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cuments\INGENIERIA\informes\4 Informe financiero\2023\01 Enero\"/>
    </mc:Choice>
  </mc:AlternateContent>
  <xr:revisionPtr revIDLastSave="0" documentId="13_ncr:1_{68BFDA33-1A7E-4449-85C9-CA067EAE567C}" xr6:coauthVersionLast="36" xr6:coauthVersionMax="36" xr10:uidLastSave="{00000000-0000-0000-0000-000000000000}"/>
  <bookViews>
    <workbookView xWindow="32760" yWindow="32760" windowWidth="20490" windowHeight="6345" tabRatio="949" xr2:uid="{00000000-000D-0000-FFFF-FFFF00000000}"/>
  </bookViews>
  <sheets>
    <sheet name="Enero - 2023" sheetId="43" r:id="rId1"/>
    <sheet name="Hoja1" sheetId="42" state="hidden" r:id="rId2"/>
    <sheet name="Adhesiones" sheetId="41" r:id="rId3"/>
    <sheet name="Conciliación Quipu" sheetId="4" r:id="rId4"/>
    <sheet name="Anexo 3-Porcion C-NC" sheetId="3" r:id="rId5"/>
    <sheet name="Cta 11100613" sheetId="6" r:id="rId6"/>
    <sheet name="Cta 29020102" sheetId="7" r:id="rId7"/>
    <sheet name="Cta 29020103 rend" sheetId="37" r:id="rId8"/>
    <sheet name="Cta 19050301" sheetId="29" r:id="rId9"/>
    <sheet name="Mov Cta BBVA" sheetId="40" r:id="rId10"/>
    <sheet name="Mov Cta OCCIDENTE" sheetId="48" r:id="rId11"/>
    <sheet name="Anexo. Matrix" sheetId="47" r:id="rId12"/>
    <sheet name="GMF" sheetId="9" r:id="rId13"/>
    <sheet name="Impuestos" sheetId="8" r:id="rId14"/>
    <sheet name="Anexo 2 Sena" sheetId="2" r:id="rId15"/>
    <sheet name="Anexo 7 Capital Semilla" sheetId="44" r:id="rId16"/>
    <sheet name="Anexo 6 Tauramena" sheetId="11" r:id="rId17"/>
    <sheet name="Anexo 5 Itagüí" sheetId="12" r:id="rId18"/>
    <sheet name="Anexo 7 Villanueva" sheetId="14" r:id="rId19"/>
    <sheet name="Anexo 8 San Juan de Urabá" sheetId="15" r:id="rId20"/>
    <sheet name="Anexo 9 Yarumal" sheetId="16" r:id="rId21"/>
    <sheet name="Anexo 10 Garzón" sheetId="17" r:id="rId22"/>
    <sheet name="Anexo 11 Dpto Sucre" sheetId="18" r:id="rId23"/>
    <sheet name="Anexo 12 Planadas" sheetId="19" r:id="rId24"/>
    <sheet name="Anexo 13 Caldas" sheetId="21" r:id="rId25"/>
    <sheet name="Anexo 14 Bugalagrande" sheetId="22" r:id="rId26"/>
    <sheet name="Anexo 15 Carmen de Viboral" sheetId="23" r:id="rId27"/>
    <sheet name="Anexo 16 Planeta Rica" sheetId="24" r:id="rId28"/>
    <sheet name="Anexo 17 Barrancabermeja" sheetId="25" r:id="rId29"/>
    <sheet name="Anexo 18 Gramalote" sheetId="26" r:id="rId30"/>
    <sheet name="Anexo 19 Pastoral Social" sheetId="27" r:id="rId31"/>
    <sheet name="Anexo 20 Minera de Cobre" sheetId="28" r:id="rId32"/>
    <sheet name="Anexo 21 Ministerio del Interio" sheetId="31" r:id="rId33"/>
    <sheet name="Anexo 22 Municipio Manizales" sheetId="34" r:id="rId34"/>
    <sheet name="Anexo 24 Municipio de la virgin" sheetId="36" r:id="rId35"/>
    <sheet name="Anexo 23 Dpto Norte de Santande" sheetId="35" r:id="rId36"/>
    <sheet name="Anexo 25 Municipio Acacias" sheetId="38" r:id="rId37"/>
    <sheet name="Anexo 26 Distrito Riohacha" sheetId="39" r:id="rId38"/>
    <sheet name="Anexo 4- Relación facturas IVA" sheetId="32" r:id="rId39"/>
  </sheets>
  <externalReferences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xlnm._FilterDatabase" localSheetId="21" hidden="1">'Anexo 10 Garzón'!#REF!</definedName>
    <definedName name="_xlnm._FilterDatabase" localSheetId="22" hidden="1">'Anexo 11 Dpto Sucre'!#REF!</definedName>
    <definedName name="_xlnm._FilterDatabase" localSheetId="23" hidden="1">'Anexo 12 Planadas'!#REF!</definedName>
    <definedName name="_xlnm._FilterDatabase" localSheetId="24" hidden="1">'Anexo 13 Caldas'!#REF!</definedName>
    <definedName name="_xlnm._FilterDatabase" localSheetId="25" hidden="1">'Anexo 14 Bugalagrande'!#REF!</definedName>
    <definedName name="_xlnm._FilterDatabase" localSheetId="26" hidden="1">'Anexo 15 Carmen de Viboral'!#REF!</definedName>
    <definedName name="_xlnm._FilterDatabase" localSheetId="27" hidden="1">'Anexo 16 Planeta Rica'!#REF!</definedName>
    <definedName name="_xlnm._FilterDatabase" localSheetId="28" hidden="1">'Anexo 17 Barrancabermeja'!#REF!</definedName>
    <definedName name="_xlnm._FilterDatabase" localSheetId="29" hidden="1">'Anexo 18 Gramalote'!#REF!</definedName>
    <definedName name="_xlnm._FilterDatabase" localSheetId="30" hidden="1">'Anexo 19 Pastoral Social'!#REF!</definedName>
    <definedName name="_xlnm._FilterDatabase" localSheetId="14" hidden="1">'Anexo 2 Sena'!#REF!</definedName>
    <definedName name="_xlnm._FilterDatabase" localSheetId="31" hidden="1">'Anexo 20 Minera de Cobre'!#REF!</definedName>
    <definedName name="_xlnm._FilterDatabase" localSheetId="32" hidden="1">'Anexo 21 Ministerio del Interio'!#REF!</definedName>
    <definedName name="_xlnm._FilterDatabase" localSheetId="33" hidden="1">'Anexo 22 Municipio Manizales'!#REF!</definedName>
    <definedName name="_xlnm._FilterDatabase" localSheetId="35" hidden="1">'Anexo 23 Dpto Norte de Santande'!#REF!</definedName>
    <definedName name="_xlnm._FilterDatabase" localSheetId="34" hidden="1">'Anexo 24 Municipio de la virgin'!#REF!</definedName>
    <definedName name="_xlnm._FilterDatabase" localSheetId="36" hidden="1">'Anexo 25 Municipio Acacias'!#REF!</definedName>
    <definedName name="_xlnm._FilterDatabase" localSheetId="37" hidden="1">'Anexo 26 Distrito Riohacha'!#REF!</definedName>
    <definedName name="_xlnm._FilterDatabase" localSheetId="17" hidden="1">'Anexo 5 Itagüí'!#REF!</definedName>
    <definedName name="_xlnm._FilterDatabase" localSheetId="16" hidden="1">'Anexo 6 Tauramena'!#REF!</definedName>
    <definedName name="_xlnm._FilterDatabase" localSheetId="15" hidden="1">'Anexo 7 Capital Semilla'!$A$2:$AC$2</definedName>
    <definedName name="_xlnm._FilterDatabase" localSheetId="18" hidden="1">'Anexo 7 Villanueva'!#REF!</definedName>
    <definedName name="_xlnm._FilterDatabase" localSheetId="19" hidden="1">'Anexo 8 San Juan de Urabá'!#REF!</definedName>
    <definedName name="_xlnm._FilterDatabase" localSheetId="20" hidden="1">'Anexo 9 Yarumal'!#REF!</definedName>
    <definedName name="_xlnm._FilterDatabase" localSheetId="5" hidden="1">'Cta 11100613'!#REF!</definedName>
    <definedName name="_xlnm._FilterDatabase" localSheetId="6" hidden="1">'Cta 29020102'!$A$9:$G$15</definedName>
    <definedName name="_xlnm._FilterDatabase" localSheetId="7" hidden="1">'Cta 29020103 rend'!$A$9:$G$10</definedName>
    <definedName name="_xlnm._FilterDatabase" localSheetId="9" hidden="1">'Mov Cta BBVA'!$A$13:$F$13</definedName>
    <definedName name="_xlnm._FilterDatabase" localSheetId="10" hidden="1">'Mov Cta OCCIDENTE'!$A$13:$F$451</definedName>
    <definedName name="_xlnm.Print_Area" localSheetId="2">Adhesiones!$A$1:$O$301</definedName>
    <definedName name="_xlnm.Print_Area" localSheetId="21">'Anexo 10 Garzón'!$A$1:$F$53</definedName>
    <definedName name="_xlnm.Print_Area" localSheetId="22">'Anexo 11 Dpto Sucre'!$A$1:$F$53</definedName>
    <definedName name="_xlnm.Print_Area" localSheetId="23">'Anexo 12 Planadas'!$A$1:$F$53</definedName>
    <definedName name="_xlnm.Print_Area" localSheetId="24">'Anexo 13 Caldas'!$A$1:$F$53</definedName>
    <definedName name="_xlnm.Print_Area" localSheetId="25">'Anexo 14 Bugalagrande'!$A$1:$F$53</definedName>
    <definedName name="_xlnm.Print_Area" localSheetId="26">'Anexo 15 Carmen de Viboral'!$A$1:$F$53</definedName>
    <definedName name="_xlnm.Print_Area" localSheetId="27">'Anexo 16 Planeta Rica'!$A$1:$F$53</definedName>
    <definedName name="_xlnm.Print_Area" localSheetId="28">'Anexo 17 Barrancabermeja'!$A$1:$F$53</definedName>
    <definedName name="_xlnm.Print_Area" localSheetId="29">'Anexo 18 Gramalote'!$A$1:$F$53</definedName>
    <definedName name="_xlnm.Print_Area" localSheetId="30">'Anexo 19 Pastoral Social'!$A$1:$F$61</definedName>
    <definedName name="_xlnm.Print_Area" localSheetId="14">'Anexo 2 Sena'!$A$1:$F$95</definedName>
    <definedName name="_xlnm.Print_Area" localSheetId="31">'Anexo 20 Minera de Cobre'!$A$1:$F$53</definedName>
    <definedName name="_xlnm.Print_Area" localSheetId="32">'Anexo 21 Ministerio del Interio'!$A$1:$F$50</definedName>
    <definedName name="_xlnm.Print_Area" localSheetId="33">'Anexo 22 Municipio Manizales'!$A$1:$F$48</definedName>
    <definedName name="_xlnm.Print_Area" localSheetId="35">'Anexo 23 Dpto Norte de Santande'!$A$1:$F$47</definedName>
    <definedName name="_xlnm.Print_Area" localSheetId="34">'Anexo 24 Municipio de la virgin'!$A$1:$F$47</definedName>
    <definedName name="_xlnm.Print_Area" localSheetId="36">'Anexo 25 Municipio Acacias'!$A$1:$F$45</definedName>
    <definedName name="_xlnm.Print_Area" localSheetId="37">'Anexo 26 Distrito Riohacha'!$A$1:$F$45</definedName>
    <definedName name="_xlnm.Print_Area" localSheetId="4">'Anexo 3-Porcion C-NC'!$A$2:$Q$82</definedName>
    <definedName name="_xlnm.Print_Area" localSheetId="17">'Anexo 5 Itagüí'!$A$1:$F$53</definedName>
    <definedName name="_xlnm.Print_Area" localSheetId="16">'Anexo 6 Tauramena'!$A$1:$F$53</definedName>
    <definedName name="_xlnm.Print_Area" localSheetId="18">'Anexo 7 Villanueva'!$A$1:$F$53</definedName>
    <definedName name="_xlnm.Print_Area" localSheetId="19">'Anexo 8 San Juan de Urabá'!$A$1:$F$53</definedName>
    <definedName name="_xlnm.Print_Area" localSheetId="20">'Anexo 9 Yarumal'!$A$1:$F$53</definedName>
    <definedName name="_xlnm.Print_Area" localSheetId="11">'Anexo. Matrix'!$A$1:$G$49</definedName>
    <definedName name="_xlnm.Print_Area" localSheetId="0">'Enero - 2023'!$A$1:$M$258</definedName>
    <definedName name="_xlnm.Print_Area" localSheetId="10">'Mov Cta OCCIDENTE'!$A$1:$I$450</definedName>
    <definedName name="_xlnm.Print_Area">#REF!</definedName>
    <definedName name="_xlnm.Auto_Open" localSheetId="21">#REF!</definedName>
    <definedName name="_xlnm.Auto_Open" localSheetId="22">#REF!</definedName>
    <definedName name="_xlnm.Auto_Open" localSheetId="23">#REF!</definedName>
    <definedName name="_xlnm.Auto_Open" localSheetId="24">#REF!</definedName>
    <definedName name="_xlnm.Auto_Open" localSheetId="25">#REF!</definedName>
    <definedName name="_xlnm.Auto_Open" localSheetId="26">#REF!</definedName>
    <definedName name="_xlnm.Auto_Open" localSheetId="27">#REF!</definedName>
    <definedName name="_xlnm.Auto_Open" localSheetId="28">#REF!</definedName>
    <definedName name="_xlnm.Auto_Open" localSheetId="29">#REF!</definedName>
    <definedName name="_xlnm.Auto_Open" localSheetId="30">#REF!</definedName>
    <definedName name="_xlnm.Auto_Open" localSheetId="14">#REF!</definedName>
    <definedName name="_xlnm.Auto_Open" localSheetId="31">#REF!</definedName>
    <definedName name="_xlnm.Auto_Open" localSheetId="32">#REF!</definedName>
    <definedName name="_xlnm.Auto_Open" localSheetId="33">#REF!</definedName>
    <definedName name="_xlnm.Auto_Open" localSheetId="35">#REF!</definedName>
    <definedName name="_xlnm.Auto_Open" localSheetId="34">#REF!</definedName>
    <definedName name="_xlnm.Auto_Open" localSheetId="36">#REF!</definedName>
    <definedName name="_xlnm.Auto_Open" localSheetId="37">#REF!</definedName>
    <definedName name="_xlnm.Auto_Open" localSheetId="17">#REF!</definedName>
    <definedName name="_xlnm.Auto_Open" localSheetId="16">#REF!</definedName>
    <definedName name="_xlnm.Auto_Open" localSheetId="18">#REF!</definedName>
    <definedName name="_xlnm.Auto_Open" localSheetId="19">#REF!</definedName>
    <definedName name="_xlnm.Auto_Open" localSheetId="20">#REF!</definedName>
    <definedName name="_xlnm.Auto_Open">#REF!</definedName>
    <definedName name="CONCIL" localSheetId="21">#REF!</definedName>
    <definedName name="CONCIL" localSheetId="22">#REF!</definedName>
    <definedName name="CONCIL" localSheetId="23">#REF!</definedName>
    <definedName name="CONCIL" localSheetId="24">#REF!</definedName>
    <definedName name="CONCIL" localSheetId="25">#REF!</definedName>
    <definedName name="CONCIL" localSheetId="26">#REF!</definedName>
    <definedName name="CONCIL" localSheetId="27">#REF!</definedName>
    <definedName name="CONCIL" localSheetId="28">#REF!</definedName>
    <definedName name="CONCIL" localSheetId="29">#REF!</definedName>
    <definedName name="CONCIL" localSheetId="30">#REF!</definedName>
    <definedName name="CONCIL" localSheetId="14">#REF!</definedName>
    <definedName name="CONCIL" localSheetId="31">#REF!</definedName>
    <definedName name="CONCIL" localSheetId="32">#REF!</definedName>
    <definedName name="CONCIL" localSheetId="33">#REF!</definedName>
    <definedName name="CONCIL" localSheetId="35">#REF!</definedName>
    <definedName name="CONCIL" localSheetId="34">#REF!</definedName>
    <definedName name="CONCIL" localSheetId="36">#REF!</definedName>
    <definedName name="CONCIL" localSheetId="37">#REF!</definedName>
    <definedName name="CONCIL" localSheetId="17">#REF!</definedName>
    <definedName name="CONCIL" localSheetId="16">#REF!</definedName>
    <definedName name="CONCIL" localSheetId="18">#REF!</definedName>
    <definedName name="CONCIL" localSheetId="19">#REF!</definedName>
    <definedName name="CONCIL" localSheetId="20">#REF!</definedName>
    <definedName name="CONCIL">#REF!</definedName>
    <definedName name="CONCIL1" localSheetId="21">#REF!</definedName>
    <definedName name="CONCIL1" localSheetId="22">#REF!</definedName>
    <definedName name="CONCIL1" localSheetId="23">#REF!</definedName>
    <definedName name="CONCIL1" localSheetId="24">#REF!</definedName>
    <definedName name="CONCIL1" localSheetId="25">#REF!</definedName>
    <definedName name="CONCIL1" localSheetId="26">#REF!</definedName>
    <definedName name="CONCIL1" localSheetId="27">#REF!</definedName>
    <definedName name="CONCIL1" localSheetId="28">#REF!</definedName>
    <definedName name="CONCIL1" localSheetId="29">#REF!</definedName>
    <definedName name="CONCIL1" localSheetId="30">#REF!</definedName>
    <definedName name="CONCIL1" localSheetId="14">#REF!</definedName>
    <definedName name="CONCIL1" localSheetId="31">#REF!</definedName>
    <definedName name="CONCIL1" localSheetId="32">#REF!</definedName>
    <definedName name="CONCIL1" localSheetId="33">#REF!</definedName>
    <definedName name="CONCIL1" localSheetId="35">#REF!</definedName>
    <definedName name="CONCIL1" localSheetId="34">#REF!</definedName>
    <definedName name="CONCIL1" localSheetId="36">#REF!</definedName>
    <definedName name="CONCIL1" localSheetId="37">#REF!</definedName>
    <definedName name="CONCIL1" localSheetId="17">#REF!</definedName>
    <definedName name="CONCIL1" localSheetId="16">#REF!</definedName>
    <definedName name="CONCIL1" localSheetId="18">#REF!</definedName>
    <definedName name="CONCIL1" localSheetId="19">#REF!</definedName>
    <definedName name="CONCIL1" localSheetId="20">#REF!</definedName>
    <definedName name="CONCIL1">#REF!</definedName>
    <definedName name="CONCIL2" localSheetId="21">#REF!</definedName>
    <definedName name="CONCIL2" localSheetId="22">#REF!</definedName>
    <definedName name="CONCIL2" localSheetId="23">#REF!</definedName>
    <definedName name="CONCIL2" localSheetId="24">#REF!</definedName>
    <definedName name="CONCIL2" localSheetId="25">#REF!</definedName>
    <definedName name="CONCIL2" localSheetId="26">#REF!</definedName>
    <definedName name="CONCIL2" localSheetId="27">#REF!</definedName>
    <definedName name="CONCIL2" localSheetId="28">#REF!</definedName>
    <definedName name="CONCIL2" localSheetId="29">#REF!</definedName>
    <definedName name="CONCIL2" localSheetId="30">#REF!</definedName>
    <definedName name="CONCIL2" localSheetId="14">#REF!</definedName>
    <definedName name="CONCIL2" localSheetId="31">#REF!</definedName>
    <definedName name="CONCIL2" localSheetId="32">#REF!</definedName>
    <definedName name="CONCIL2" localSheetId="33">#REF!</definedName>
    <definedName name="CONCIL2" localSheetId="35">#REF!</definedName>
    <definedName name="CONCIL2" localSheetId="34">#REF!</definedName>
    <definedName name="CONCIL2" localSheetId="36">#REF!</definedName>
    <definedName name="CONCIL2" localSheetId="37">#REF!</definedName>
    <definedName name="CONCIL2" localSheetId="17">#REF!</definedName>
    <definedName name="CONCIL2" localSheetId="16">#REF!</definedName>
    <definedName name="CONCIL2" localSheetId="18">#REF!</definedName>
    <definedName name="CONCIL2" localSheetId="19">#REF!</definedName>
    <definedName name="CONCIL2" localSheetId="20">#REF!</definedName>
    <definedName name="CONCIL2">#REF!</definedName>
    <definedName name="Macro1" localSheetId="21">#REF!</definedName>
    <definedName name="Macro1" localSheetId="22">#REF!</definedName>
    <definedName name="Macro1" localSheetId="23">#REF!</definedName>
    <definedName name="Macro1" localSheetId="24">#REF!</definedName>
    <definedName name="Macro1" localSheetId="25">#REF!</definedName>
    <definedName name="Macro1" localSheetId="26">#REF!</definedName>
    <definedName name="Macro1" localSheetId="27">#REF!</definedName>
    <definedName name="Macro1" localSheetId="28">#REF!</definedName>
    <definedName name="Macro1" localSheetId="29">#REF!</definedName>
    <definedName name="Macro1" localSheetId="30">#REF!</definedName>
    <definedName name="Macro1" localSheetId="14">#REF!</definedName>
    <definedName name="Macro1" localSheetId="31">#REF!</definedName>
    <definedName name="Macro1" localSheetId="32">#REF!</definedName>
    <definedName name="Macro1" localSheetId="33">#REF!</definedName>
    <definedName name="Macro1" localSheetId="35">#REF!</definedName>
    <definedName name="Macro1" localSheetId="34">#REF!</definedName>
    <definedName name="Macro1" localSheetId="36">#REF!</definedName>
    <definedName name="Macro1" localSheetId="37">#REF!</definedName>
    <definedName name="Macro1" localSheetId="17">#REF!</definedName>
    <definedName name="Macro1" localSheetId="16">#REF!</definedName>
    <definedName name="Macro1" localSheetId="18">#REF!</definedName>
    <definedName name="Macro1" localSheetId="19">#REF!</definedName>
    <definedName name="Macro1" localSheetId="20">#REF!</definedName>
    <definedName name="Macro1">#REF!</definedName>
    <definedName name="Macro2" localSheetId="21">#REF!</definedName>
    <definedName name="Macro2" localSheetId="22">#REF!</definedName>
    <definedName name="Macro2" localSheetId="23">#REF!</definedName>
    <definedName name="Macro2" localSheetId="24">#REF!</definedName>
    <definedName name="Macro2" localSheetId="25">#REF!</definedName>
    <definedName name="Macro2" localSheetId="26">#REF!</definedName>
    <definedName name="Macro2" localSheetId="27">#REF!</definedName>
    <definedName name="Macro2" localSheetId="28">#REF!</definedName>
    <definedName name="Macro2" localSheetId="29">#REF!</definedName>
    <definedName name="Macro2" localSheetId="30">#REF!</definedName>
    <definedName name="Macro2" localSheetId="14">#REF!</definedName>
    <definedName name="Macro2" localSheetId="31">#REF!</definedName>
    <definedName name="Macro2" localSheetId="32">#REF!</definedName>
    <definedName name="Macro2" localSheetId="33">#REF!</definedName>
    <definedName name="Macro2" localSheetId="35">#REF!</definedName>
    <definedName name="Macro2" localSheetId="34">#REF!</definedName>
    <definedName name="Macro2" localSheetId="36">#REF!</definedName>
    <definedName name="Macro2" localSheetId="37">#REF!</definedName>
    <definedName name="Macro2" localSheetId="17">#REF!</definedName>
    <definedName name="Macro2" localSheetId="16">#REF!</definedName>
    <definedName name="Macro2" localSheetId="18">#REF!</definedName>
    <definedName name="Macro2" localSheetId="19">#REF!</definedName>
    <definedName name="Macro2" localSheetId="20">#REF!</definedName>
    <definedName name="Macro2">#REF!</definedName>
    <definedName name="Macro3" localSheetId="21">#REF!</definedName>
    <definedName name="Macro3" localSheetId="22">#REF!</definedName>
    <definedName name="Macro3" localSheetId="23">#REF!</definedName>
    <definedName name="Macro3" localSheetId="24">#REF!</definedName>
    <definedName name="Macro3" localSheetId="25">#REF!</definedName>
    <definedName name="Macro3" localSheetId="26">#REF!</definedName>
    <definedName name="Macro3" localSheetId="27">#REF!</definedName>
    <definedName name="Macro3" localSheetId="28">#REF!</definedName>
    <definedName name="Macro3" localSheetId="29">#REF!</definedName>
    <definedName name="Macro3" localSheetId="30">#REF!</definedName>
    <definedName name="Macro3" localSheetId="14">#REF!</definedName>
    <definedName name="Macro3" localSheetId="31">#REF!</definedName>
    <definedName name="Macro3" localSheetId="32">#REF!</definedName>
    <definedName name="Macro3" localSheetId="33">#REF!</definedName>
    <definedName name="Macro3" localSheetId="35">#REF!</definedName>
    <definedName name="Macro3" localSheetId="34">#REF!</definedName>
    <definedName name="Macro3" localSheetId="36">#REF!</definedName>
    <definedName name="Macro3" localSheetId="37">#REF!</definedName>
    <definedName name="Macro3" localSheetId="17">#REF!</definedName>
    <definedName name="Macro3" localSheetId="16">#REF!</definedName>
    <definedName name="Macro3" localSheetId="18">#REF!</definedName>
    <definedName name="Macro3" localSheetId="19">#REF!</definedName>
    <definedName name="Macro3" localSheetId="20">#REF!</definedName>
    <definedName name="Macro3">#REF!</definedName>
    <definedName name="Macro4" localSheetId="21">#REF!</definedName>
    <definedName name="Macro4" localSheetId="22">#REF!</definedName>
    <definedName name="Macro4" localSheetId="23">#REF!</definedName>
    <definedName name="Macro4" localSheetId="24">#REF!</definedName>
    <definedName name="Macro4" localSheetId="25">#REF!</definedName>
    <definedName name="Macro4" localSheetId="26">#REF!</definedName>
    <definedName name="Macro4" localSheetId="27">#REF!</definedName>
    <definedName name="Macro4" localSheetId="28">#REF!</definedName>
    <definedName name="Macro4" localSheetId="29">#REF!</definedName>
    <definedName name="Macro4" localSheetId="30">#REF!</definedName>
    <definedName name="Macro4" localSheetId="14">#REF!</definedName>
    <definedName name="Macro4" localSheetId="31">#REF!</definedName>
    <definedName name="Macro4" localSheetId="32">#REF!</definedName>
    <definedName name="Macro4" localSheetId="33">#REF!</definedName>
    <definedName name="Macro4" localSheetId="35">#REF!</definedName>
    <definedName name="Macro4" localSheetId="34">#REF!</definedName>
    <definedName name="Macro4" localSheetId="36">#REF!</definedName>
    <definedName name="Macro4" localSheetId="37">#REF!</definedName>
    <definedName name="Macro4" localSheetId="17">#REF!</definedName>
    <definedName name="Macro4" localSheetId="16">#REF!</definedName>
    <definedName name="Macro4" localSheetId="18">#REF!</definedName>
    <definedName name="Macro4" localSheetId="19">#REF!</definedName>
    <definedName name="Macro4" localSheetId="20">#REF!</definedName>
    <definedName name="Macro4">#REF!</definedName>
    <definedName name="Macro5" localSheetId="21">#REF!</definedName>
    <definedName name="Macro5" localSheetId="22">#REF!</definedName>
    <definedName name="Macro5" localSheetId="23">#REF!</definedName>
    <definedName name="Macro5" localSheetId="24">#REF!</definedName>
    <definedName name="Macro5" localSheetId="25">#REF!</definedName>
    <definedName name="Macro5" localSheetId="26">#REF!</definedName>
    <definedName name="Macro5" localSheetId="27">#REF!</definedName>
    <definedName name="Macro5" localSheetId="28">#REF!</definedName>
    <definedName name="Macro5" localSheetId="29">#REF!</definedName>
    <definedName name="Macro5" localSheetId="30">#REF!</definedName>
    <definedName name="Macro5" localSheetId="14">#REF!</definedName>
    <definedName name="Macro5" localSheetId="31">#REF!</definedName>
    <definedName name="Macro5" localSheetId="32">#REF!</definedName>
    <definedName name="Macro5" localSheetId="33">#REF!</definedName>
    <definedName name="Macro5" localSheetId="35">#REF!</definedName>
    <definedName name="Macro5" localSheetId="34">#REF!</definedName>
    <definedName name="Macro5" localSheetId="36">#REF!</definedName>
    <definedName name="Macro5" localSheetId="37">#REF!</definedName>
    <definedName name="Macro5" localSheetId="17">#REF!</definedName>
    <definedName name="Macro5" localSheetId="16">#REF!</definedName>
    <definedName name="Macro5" localSheetId="18">#REF!</definedName>
    <definedName name="Macro5" localSheetId="19">#REF!</definedName>
    <definedName name="Macro5" localSheetId="20">#REF!</definedName>
    <definedName name="Macro5">#REF!</definedName>
    <definedName name="NombreTabla">"Dummy"</definedName>
    <definedName name="Recover" localSheetId="21">#REF!</definedName>
    <definedName name="Recover" localSheetId="22">#REF!</definedName>
    <definedName name="Recover" localSheetId="23">#REF!</definedName>
    <definedName name="Recover" localSheetId="24">#REF!</definedName>
    <definedName name="Recover" localSheetId="25">#REF!</definedName>
    <definedName name="Recover" localSheetId="26">#REF!</definedName>
    <definedName name="Recover" localSheetId="27">#REF!</definedName>
    <definedName name="Recover" localSheetId="28">#REF!</definedName>
    <definedName name="Recover" localSheetId="29">#REF!</definedName>
    <definedName name="Recover" localSheetId="30">#REF!</definedName>
    <definedName name="Recover" localSheetId="14">#REF!</definedName>
    <definedName name="Recover" localSheetId="31">#REF!</definedName>
    <definedName name="Recover" localSheetId="32">#REF!</definedName>
    <definedName name="Recover" localSheetId="33">#REF!</definedName>
    <definedName name="Recover" localSheetId="35">#REF!</definedName>
    <definedName name="Recover" localSheetId="34">#REF!</definedName>
    <definedName name="Recover" localSheetId="36">#REF!</definedName>
    <definedName name="Recover" localSheetId="37">#REF!</definedName>
    <definedName name="Recover" localSheetId="17">#REF!</definedName>
    <definedName name="Recover" localSheetId="16">#REF!</definedName>
    <definedName name="Recover" localSheetId="18">#REF!</definedName>
    <definedName name="Recover" localSheetId="19">#REF!</definedName>
    <definedName name="Recover" localSheetId="20">#REF!</definedName>
    <definedName name="Recover">#REF!</definedName>
    <definedName name="TableName">"Dummy"</definedName>
    <definedName name="_xlnm.Print_Titles" localSheetId="2">Adhesiones!$1:$1</definedName>
    <definedName name="_xlnm.Print_Titles" localSheetId="0">'Enero - 2023'!$1:$3</definedName>
  </definedNames>
  <calcPr calcId="191029"/>
</workbook>
</file>

<file path=xl/calcChain.xml><?xml version="1.0" encoding="utf-8"?>
<calcChain xmlns="http://schemas.openxmlformats.org/spreadsheetml/2006/main">
  <c r="F125" i="4" l="1"/>
  <c r="F124" i="4"/>
  <c r="F123" i="4"/>
  <c r="F122" i="4"/>
  <c r="F50" i="4"/>
  <c r="G56" i="8"/>
  <c r="F56" i="8"/>
  <c r="G55" i="8"/>
  <c r="E56" i="8"/>
  <c r="D56" i="8"/>
  <c r="F55" i="8"/>
  <c r="E55" i="8"/>
  <c r="D55" i="8"/>
  <c r="D65" i="8"/>
  <c r="D64" i="8"/>
  <c r="D63" i="8"/>
  <c r="F121" i="4" l="1"/>
  <c r="G36" i="11" l="1"/>
  <c r="H36" i="11" s="1"/>
  <c r="G36" i="25"/>
  <c r="G36" i="24"/>
  <c r="G36" i="23"/>
  <c r="G36" i="21"/>
  <c r="H36" i="21" s="1"/>
  <c r="G36" i="19"/>
  <c r="I36" i="14"/>
  <c r="B65" i="3" l="1"/>
  <c r="B64" i="3"/>
  <c r="B63" i="3"/>
  <c r="B62" i="3"/>
  <c r="B61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36" i="3"/>
  <c r="I28" i="39" s="1"/>
  <c r="B35" i="3"/>
  <c r="I28" i="38" s="1"/>
  <c r="B34" i="3"/>
  <c r="I30" i="35" s="1"/>
  <c r="B33" i="3"/>
  <c r="I30" i="36" s="1"/>
  <c r="B32" i="3"/>
  <c r="I31" i="34" s="1"/>
  <c r="B30" i="3"/>
  <c r="B29" i="3"/>
  <c r="I36" i="28" s="1"/>
  <c r="B28" i="3"/>
  <c r="I36" i="25" s="1"/>
  <c r="B27" i="3"/>
  <c r="I36" i="24" s="1"/>
  <c r="B26" i="3"/>
  <c r="I36" i="23" s="1"/>
  <c r="B25" i="3"/>
  <c r="B24" i="3"/>
  <c r="I36" i="21" s="1"/>
  <c r="B23" i="3"/>
  <c r="I36" i="19" s="1"/>
  <c r="B22" i="3"/>
  <c r="I36" i="16" s="1"/>
  <c r="B21" i="3"/>
  <c r="I36" i="15" s="1"/>
  <c r="B20" i="3"/>
  <c r="I36" i="12" s="1"/>
  <c r="B19" i="3"/>
  <c r="I36" i="26" s="1"/>
  <c r="B18" i="3"/>
  <c r="I36" i="18" s="1"/>
  <c r="B17" i="3"/>
  <c r="I36" i="17" s="1"/>
  <c r="B15" i="3"/>
  <c r="I36" i="11" s="1"/>
  <c r="J36" i="11" s="1"/>
  <c r="F18" i="7"/>
  <c r="G36" i="22" l="1"/>
  <c r="B72" i="9"/>
  <c r="B70" i="9"/>
  <c r="I12" i="47"/>
  <c r="I10" i="47"/>
  <c r="I9" i="47"/>
  <c r="B43" i="3"/>
  <c r="B60" i="3"/>
  <c r="S12" i="3"/>
  <c r="E110" i="4"/>
  <c r="E57" i="4"/>
  <c r="B16" i="41"/>
  <c r="F46" i="43"/>
  <c r="F41" i="43"/>
  <c r="J9" i="48"/>
  <c r="D134" i="43"/>
  <c r="I15" i="47" l="1"/>
  <c r="F20" i="7"/>
  <c r="F19" i="7"/>
  <c r="B57" i="8" l="1"/>
  <c r="B56" i="8"/>
  <c r="B55" i="8"/>
  <c r="H5" i="40"/>
  <c r="I9" i="40"/>
  <c r="I6" i="40"/>
  <c r="A71" i="43"/>
  <c r="K7" i="32"/>
  <c r="H13" i="32" s="1"/>
  <c r="J7" i="32"/>
  <c r="H12" i="32"/>
  <c r="H14" i="32"/>
  <c r="I7" i="32"/>
  <c r="H9" i="32" s="1"/>
  <c r="H11" i="32" s="1"/>
  <c r="H7" i="32"/>
  <c r="L6" i="32"/>
  <c r="L7" i="32" s="1"/>
  <c r="L71" i="43"/>
  <c r="M71" i="43"/>
  <c r="M72" i="43" s="1"/>
  <c r="M74" i="43" s="1"/>
  <c r="L18" i="43" s="1"/>
  <c r="I10" i="48"/>
  <c r="I6" i="48"/>
  <c r="I7" i="48"/>
  <c r="H5" i="48"/>
  <c r="F42" i="47" s="1"/>
  <c r="F8" i="47" s="1"/>
  <c r="I16" i="47" s="1"/>
  <c r="H7" i="48"/>
  <c r="H9" i="48"/>
  <c r="E450" i="48"/>
  <c r="B5" i="48" s="1"/>
  <c r="D450" i="48"/>
  <c r="B6" i="48" s="1"/>
  <c r="J235" i="41"/>
  <c r="K234" i="41"/>
  <c r="K233" i="41"/>
  <c r="K232" i="41"/>
  <c r="K231" i="41"/>
  <c r="K156" i="41"/>
  <c r="J137" i="41"/>
  <c r="K135" i="41"/>
  <c r="K125" i="41"/>
  <c r="J130" i="41"/>
  <c r="J18" i="41" s="1"/>
  <c r="D135" i="43"/>
  <c r="I11" i="47" s="1"/>
  <c r="I13" i="47" s="1"/>
  <c r="E63" i="8"/>
  <c r="E62" i="8"/>
  <c r="E25" i="39"/>
  <c r="E25" i="38"/>
  <c r="F13" i="37"/>
  <c r="G13" i="37"/>
  <c r="B9" i="41"/>
  <c r="F92" i="43"/>
  <c r="G90" i="43"/>
  <c r="D65" i="3"/>
  <c r="F64" i="3"/>
  <c r="D63" i="3"/>
  <c r="D62" i="3"/>
  <c r="D61" i="3"/>
  <c r="D59" i="3"/>
  <c r="D58" i="3"/>
  <c r="F57" i="3"/>
  <c r="F56" i="3"/>
  <c r="D55" i="3"/>
  <c r="F54" i="3"/>
  <c r="D53" i="3"/>
  <c r="D52" i="3"/>
  <c r="F51" i="3"/>
  <c r="D50" i="3"/>
  <c r="D49" i="3"/>
  <c r="D48" i="3"/>
  <c r="F47" i="3"/>
  <c r="D46" i="3"/>
  <c r="F45" i="3"/>
  <c r="F44" i="3"/>
  <c r="H30" i="3"/>
  <c r="H36" i="3"/>
  <c r="F35" i="3"/>
  <c r="F34" i="3"/>
  <c r="H33" i="3"/>
  <c r="D32" i="3"/>
  <c r="H28" i="3"/>
  <c r="H27" i="3"/>
  <c r="F26" i="3"/>
  <c r="C100" i="3"/>
  <c r="H24" i="3"/>
  <c r="F23" i="3"/>
  <c r="D22" i="3"/>
  <c r="G36" i="15"/>
  <c r="H36" i="15" s="1"/>
  <c r="J36" i="15" s="1"/>
  <c r="C95" i="3"/>
  <c r="C94" i="3"/>
  <c r="C92" i="3"/>
  <c r="C90" i="3"/>
  <c r="E65" i="8"/>
  <c r="B33" i="8"/>
  <c r="C36" i="4"/>
  <c r="E36" i="4" s="1"/>
  <c r="F56" i="2"/>
  <c r="I11" i="40"/>
  <c r="G15" i="6"/>
  <c r="F15" i="6"/>
  <c r="F18" i="6" s="1"/>
  <c r="K72" i="43"/>
  <c r="J72" i="43"/>
  <c r="L16" i="43" s="1"/>
  <c r="K280" i="41"/>
  <c r="K245" i="41"/>
  <c r="K227" i="41"/>
  <c r="D64" i="41"/>
  <c r="D84" i="41"/>
  <c r="E84" i="41"/>
  <c r="E32" i="17"/>
  <c r="F14" i="40"/>
  <c r="F15" i="40" s="1"/>
  <c r="F16" i="40" s="1"/>
  <c r="F17" i="40" s="1"/>
  <c r="F18" i="40" s="1"/>
  <c r="G32" i="17"/>
  <c r="C91" i="3"/>
  <c r="B32" i="8"/>
  <c r="G18" i="7"/>
  <c r="J204" i="41"/>
  <c r="J21" i="41"/>
  <c r="J149" i="41"/>
  <c r="J16" i="41"/>
  <c r="K16" i="41"/>
  <c r="D86" i="41"/>
  <c r="E78" i="2"/>
  <c r="F79" i="2" s="1"/>
  <c r="E79" i="2"/>
  <c r="D86" i="43"/>
  <c r="F14" i="48"/>
  <c r="F15" i="48" s="1"/>
  <c r="F16" i="48" s="1"/>
  <c r="F17" i="48" s="1"/>
  <c r="F18" i="48" s="1"/>
  <c r="F19" i="48" s="1"/>
  <c r="F20" i="48" s="1"/>
  <c r="F21" i="48" s="1"/>
  <c r="F22" i="48" s="1"/>
  <c r="F23" i="48" s="1"/>
  <c r="F24" i="48" s="1"/>
  <c r="F25" i="48" s="1"/>
  <c r="F26" i="48" s="1"/>
  <c r="F27" i="48" s="1"/>
  <c r="F28" i="48" s="1"/>
  <c r="F29" i="48" s="1"/>
  <c r="F30" i="48" s="1"/>
  <c r="F31" i="48" s="1"/>
  <c r="F32" i="48" s="1"/>
  <c r="F33" i="48" s="1"/>
  <c r="F34" i="48" s="1"/>
  <c r="F35" i="48" s="1"/>
  <c r="F36" i="48" s="1"/>
  <c r="F37" i="48" s="1"/>
  <c r="F38" i="48" s="1"/>
  <c r="F39" i="48" s="1"/>
  <c r="F40" i="48" s="1"/>
  <c r="F41" i="48" s="1"/>
  <c r="F42" i="48" s="1"/>
  <c r="F43" i="48" s="1"/>
  <c r="F44" i="48" s="1"/>
  <c r="F45" i="48" s="1"/>
  <c r="F46" i="48" s="1"/>
  <c r="F47" i="48" s="1"/>
  <c r="F48" i="48" s="1"/>
  <c r="F49" i="48" s="1"/>
  <c r="F50" i="48" s="1"/>
  <c r="F51" i="48" s="1"/>
  <c r="F52" i="48" s="1"/>
  <c r="F53" i="48" s="1"/>
  <c r="F54" i="48" s="1"/>
  <c r="F55" i="48" s="1"/>
  <c r="F56" i="48" s="1"/>
  <c r="F57" i="48" s="1"/>
  <c r="F58" i="48" s="1"/>
  <c r="F59" i="48" s="1"/>
  <c r="F60" i="48" s="1"/>
  <c r="F61" i="48" s="1"/>
  <c r="F62" i="48" s="1"/>
  <c r="F63" i="48" s="1"/>
  <c r="F64" i="48" s="1"/>
  <c r="F65" i="48" s="1"/>
  <c r="F66" i="48" s="1"/>
  <c r="F67" i="48" s="1"/>
  <c r="F68" i="48" s="1"/>
  <c r="F69" i="48" s="1"/>
  <c r="F70" i="48" s="1"/>
  <c r="F71" i="48" s="1"/>
  <c r="F72" i="48" s="1"/>
  <c r="F73" i="48" s="1"/>
  <c r="F74" i="48" s="1"/>
  <c r="F75" i="48" s="1"/>
  <c r="F76" i="48" s="1"/>
  <c r="F77" i="48" s="1"/>
  <c r="F78" i="48" s="1"/>
  <c r="F79" i="48" s="1"/>
  <c r="F80" i="48" s="1"/>
  <c r="F81" i="48" s="1"/>
  <c r="F82" i="48" s="1"/>
  <c r="F83" i="48" s="1"/>
  <c r="F84" i="48" s="1"/>
  <c r="F85" i="48" s="1"/>
  <c r="F86" i="48" s="1"/>
  <c r="F87" i="48" s="1"/>
  <c r="F88" i="48" s="1"/>
  <c r="F89" i="48" s="1"/>
  <c r="F90" i="48" s="1"/>
  <c r="F91" i="48" s="1"/>
  <c r="F92" i="48" s="1"/>
  <c r="F93" i="48" s="1"/>
  <c r="F94" i="48" s="1"/>
  <c r="F95" i="48" s="1"/>
  <c r="F96" i="48" s="1"/>
  <c r="F97" i="48" s="1"/>
  <c r="F98" i="48" s="1"/>
  <c r="F99" i="48" s="1"/>
  <c r="F100" i="48" s="1"/>
  <c r="F101" i="48" s="1"/>
  <c r="F102" i="48" s="1"/>
  <c r="F103" i="48" s="1"/>
  <c r="F104" i="48" s="1"/>
  <c r="F105" i="48" s="1"/>
  <c r="F106" i="48" s="1"/>
  <c r="F107" i="48" s="1"/>
  <c r="F108" i="48" s="1"/>
  <c r="F109" i="48" s="1"/>
  <c r="F110" i="48" s="1"/>
  <c r="F111" i="48" s="1"/>
  <c r="F112" i="48" s="1"/>
  <c r="F113" i="48" s="1"/>
  <c r="F114" i="48" s="1"/>
  <c r="F115" i="48" s="1"/>
  <c r="F116" i="48" s="1"/>
  <c r="F117" i="48" s="1"/>
  <c r="F118" i="48" s="1"/>
  <c r="F119" i="48" s="1"/>
  <c r="F120" i="48" s="1"/>
  <c r="F121" i="48" s="1"/>
  <c r="F122" i="48" s="1"/>
  <c r="F123" i="48" s="1"/>
  <c r="F124" i="48" s="1"/>
  <c r="F125" i="48" s="1"/>
  <c r="F126" i="48" s="1"/>
  <c r="F127" i="48" s="1"/>
  <c r="F128" i="48" s="1"/>
  <c r="F129" i="48" s="1"/>
  <c r="F130" i="48" s="1"/>
  <c r="F131" i="48" s="1"/>
  <c r="F132" i="48" s="1"/>
  <c r="F133" i="48" s="1"/>
  <c r="F134" i="48" s="1"/>
  <c r="F135" i="48" s="1"/>
  <c r="F136" i="48" s="1"/>
  <c r="F137" i="48" s="1"/>
  <c r="F138" i="48" s="1"/>
  <c r="F139" i="48" s="1"/>
  <c r="F140" i="48" s="1"/>
  <c r="F141" i="48" s="1"/>
  <c r="F142" i="48" s="1"/>
  <c r="F143" i="48" s="1"/>
  <c r="F144" i="48" s="1"/>
  <c r="F145" i="48" s="1"/>
  <c r="F146" i="48" s="1"/>
  <c r="F147" i="48" s="1"/>
  <c r="F148" i="48" s="1"/>
  <c r="F149" i="48" s="1"/>
  <c r="F150" i="48" s="1"/>
  <c r="F151" i="48" s="1"/>
  <c r="F152" i="48" s="1"/>
  <c r="F153" i="48" s="1"/>
  <c r="F154" i="48" s="1"/>
  <c r="F155" i="48" s="1"/>
  <c r="F156" i="48" s="1"/>
  <c r="F157" i="48" s="1"/>
  <c r="F158" i="48" s="1"/>
  <c r="F159" i="48" s="1"/>
  <c r="F160" i="48" s="1"/>
  <c r="F161" i="48" s="1"/>
  <c r="F162" i="48" s="1"/>
  <c r="F163" i="48" s="1"/>
  <c r="F164" i="48" s="1"/>
  <c r="F165" i="48" s="1"/>
  <c r="F166" i="48" s="1"/>
  <c r="F167" i="48" s="1"/>
  <c r="F168" i="48" s="1"/>
  <c r="F169" i="48" s="1"/>
  <c r="F170" i="48" s="1"/>
  <c r="F171" i="48" s="1"/>
  <c r="F172" i="48" s="1"/>
  <c r="F173" i="48" s="1"/>
  <c r="F174" i="48" s="1"/>
  <c r="F175" i="48" s="1"/>
  <c r="F176" i="48" s="1"/>
  <c r="F177" i="48" s="1"/>
  <c r="F178" i="48" s="1"/>
  <c r="F179" i="48" s="1"/>
  <c r="F180" i="48" s="1"/>
  <c r="F181" i="48" s="1"/>
  <c r="F182" i="48" s="1"/>
  <c r="F183" i="48" s="1"/>
  <c r="F184" i="48" s="1"/>
  <c r="F185" i="48" s="1"/>
  <c r="F186" i="48" s="1"/>
  <c r="F187" i="48" s="1"/>
  <c r="F188" i="48" s="1"/>
  <c r="F189" i="48" s="1"/>
  <c r="F190" i="48" s="1"/>
  <c r="F191" i="48" s="1"/>
  <c r="F192" i="48" s="1"/>
  <c r="F193" i="48" s="1"/>
  <c r="F194" i="48" s="1"/>
  <c r="F195" i="48" s="1"/>
  <c r="F196" i="48" s="1"/>
  <c r="F197" i="48" s="1"/>
  <c r="F198" i="48" s="1"/>
  <c r="F199" i="48" s="1"/>
  <c r="F200" i="48" s="1"/>
  <c r="F201" i="48" s="1"/>
  <c r="F202" i="48" s="1"/>
  <c r="F203" i="48" s="1"/>
  <c r="F204" i="48" s="1"/>
  <c r="F205" i="48" s="1"/>
  <c r="F206" i="48" s="1"/>
  <c r="F207" i="48" s="1"/>
  <c r="F208" i="48" s="1"/>
  <c r="F209" i="48" s="1"/>
  <c r="F210" i="48" s="1"/>
  <c r="F211" i="48" s="1"/>
  <c r="F212" i="48" s="1"/>
  <c r="F213" i="48" s="1"/>
  <c r="F214" i="48" s="1"/>
  <c r="F215" i="48" s="1"/>
  <c r="F216" i="48" s="1"/>
  <c r="F217" i="48" s="1"/>
  <c r="F218" i="48" s="1"/>
  <c r="F219" i="48" s="1"/>
  <c r="F220" i="48" s="1"/>
  <c r="F221" i="48" s="1"/>
  <c r="F222" i="48" s="1"/>
  <c r="F223" i="48" s="1"/>
  <c r="F224" i="48" s="1"/>
  <c r="F225" i="48" s="1"/>
  <c r="F226" i="48" s="1"/>
  <c r="F227" i="48" s="1"/>
  <c r="F228" i="48" s="1"/>
  <c r="F229" i="48" s="1"/>
  <c r="F230" i="48" s="1"/>
  <c r="F231" i="48" s="1"/>
  <c r="F232" i="48" s="1"/>
  <c r="F233" i="48" s="1"/>
  <c r="F234" i="48" s="1"/>
  <c r="F235" i="48" s="1"/>
  <c r="F236" i="48" s="1"/>
  <c r="F237" i="48" s="1"/>
  <c r="F238" i="48" s="1"/>
  <c r="F239" i="48" s="1"/>
  <c r="F240" i="48" s="1"/>
  <c r="F241" i="48" s="1"/>
  <c r="F242" i="48" s="1"/>
  <c r="F243" i="48" s="1"/>
  <c r="F244" i="48" s="1"/>
  <c r="F245" i="48" s="1"/>
  <c r="F246" i="48" s="1"/>
  <c r="F247" i="48" s="1"/>
  <c r="F248" i="48" s="1"/>
  <c r="F249" i="48" s="1"/>
  <c r="F250" i="48" s="1"/>
  <c r="F251" i="48" s="1"/>
  <c r="F252" i="48" s="1"/>
  <c r="F253" i="48" s="1"/>
  <c r="F254" i="48" s="1"/>
  <c r="F255" i="48" s="1"/>
  <c r="F256" i="48" s="1"/>
  <c r="F257" i="48" s="1"/>
  <c r="F258" i="48" s="1"/>
  <c r="F259" i="48" s="1"/>
  <c r="F260" i="48" s="1"/>
  <c r="F261" i="48" s="1"/>
  <c r="F262" i="48" s="1"/>
  <c r="F263" i="48" s="1"/>
  <c r="F264" i="48" s="1"/>
  <c r="F265" i="48" s="1"/>
  <c r="F266" i="48" s="1"/>
  <c r="F267" i="48" s="1"/>
  <c r="F268" i="48" s="1"/>
  <c r="F269" i="48" s="1"/>
  <c r="F270" i="48" s="1"/>
  <c r="F271" i="48" s="1"/>
  <c r="F272" i="48" s="1"/>
  <c r="F273" i="48" s="1"/>
  <c r="F274" i="48" s="1"/>
  <c r="F275" i="48" s="1"/>
  <c r="F276" i="48" s="1"/>
  <c r="F277" i="48" s="1"/>
  <c r="F278" i="48" s="1"/>
  <c r="F279" i="48" s="1"/>
  <c r="F280" i="48" s="1"/>
  <c r="F281" i="48" s="1"/>
  <c r="F282" i="48" s="1"/>
  <c r="F283" i="48" s="1"/>
  <c r="F284" i="48" s="1"/>
  <c r="F285" i="48" s="1"/>
  <c r="F286" i="48" s="1"/>
  <c r="F287" i="48" s="1"/>
  <c r="F288" i="48" s="1"/>
  <c r="F289" i="48" s="1"/>
  <c r="F290" i="48" s="1"/>
  <c r="F291" i="48" s="1"/>
  <c r="F292" i="48" s="1"/>
  <c r="F293" i="48" s="1"/>
  <c r="F294" i="48" s="1"/>
  <c r="F295" i="48" s="1"/>
  <c r="F296" i="48" s="1"/>
  <c r="F297" i="48" s="1"/>
  <c r="F298" i="48" s="1"/>
  <c r="F299" i="48" s="1"/>
  <c r="F300" i="48" s="1"/>
  <c r="F301" i="48" s="1"/>
  <c r="F302" i="48" s="1"/>
  <c r="F303" i="48" s="1"/>
  <c r="F304" i="48" s="1"/>
  <c r="F305" i="48" s="1"/>
  <c r="F306" i="48" s="1"/>
  <c r="F307" i="48" s="1"/>
  <c r="F308" i="48" s="1"/>
  <c r="F309" i="48" s="1"/>
  <c r="F310" i="48" s="1"/>
  <c r="F311" i="48" s="1"/>
  <c r="F312" i="48" s="1"/>
  <c r="F313" i="48" s="1"/>
  <c r="F314" i="48" s="1"/>
  <c r="F315" i="48" s="1"/>
  <c r="F316" i="48" s="1"/>
  <c r="F317" i="48" s="1"/>
  <c r="F318" i="48" s="1"/>
  <c r="F319" i="48" s="1"/>
  <c r="F320" i="48" s="1"/>
  <c r="F321" i="48" s="1"/>
  <c r="F322" i="48" s="1"/>
  <c r="F323" i="48" s="1"/>
  <c r="F324" i="48" s="1"/>
  <c r="F325" i="48" s="1"/>
  <c r="F326" i="48" s="1"/>
  <c r="F327" i="48" s="1"/>
  <c r="F328" i="48" s="1"/>
  <c r="F329" i="48" s="1"/>
  <c r="F330" i="48" s="1"/>
  <c r="F331" i="48" s="1"/>
  <c r="F332" i="48" s="1"/>
  <c r="F333" i="48" s="1"/>
  <c r="F334" i="48" s="1"/>
  <c r="F335" i="48" s="1"/>
  <c r="F336" i="48" s="1"/>
  <c r="F337" i="48" s="1"/>
  <c r="F338" i="48" s="1"/>
  <c r="F339" i="48" s="1"/>
  <c r="F340" i="48" s="1"/>
  <c r="F341" i="48" s="1"/>
  <c r="F342" i="48" s="1"/>
  <c r="F343" i="48" s="1"/>
  <c r="F344" i="48" s="1"/>
  <c r="F345" i="48" s="1"/>
  <c r="F346" i="48" s="1"/>
  <c r="F347" i="48" s="1"/>
  <c r="F348" i="48" s="1"/>
  <c r="F349" i="48" s="1"/>
  <c r="F350" i="48" s="1"/>
  <c r="F351" i="48" s="1"/>
  <c r="F352" i="48" s="1"/>
  <c r="F353" i="48" s="1"/>
  <c r="F354" i="48" s="1"/>
  <c r="F355" i="48" s="1"/>
  <c r="F356" i="48" s="1"/>
  <c r="F357" i="48" s="1"/>
  <c r="F358" i="48" s="1"/>
  <c r="F359" i="48" s="1"/>
  <c r="F360" i="48" s="1"/>
  <c r="F361" i="48" s="1"/>
  <c r="F362" i="48" s="1"/>
  <c r="F363" i="48" s="1"/>
  <c r="F364" i="48" s="1"/>
  <c r="F365" i="48" s="1"/>
  <c r="F366" i="48" s="1"/>
  <c r="F367" i="48" s="1"/>
  <c r="F368" i="48" s="1"/>
  <c r="F369" i="48" s="1"/>
  <c r="F370" i="48" s="1"/>
  <c r="F371" i="48" s="1"/>
  <c r="F372" i="48" s="1"/>
  <c r="F373" i="48" s="1"/>
  <c r="F374" i="48" s="1"/>
  <c r="F375" i="48" s="1"/>
  <c r="F376" i="48" s="1"/>
  <c r="F377" i="48" s="1"/>
  <c r="F378" i="48" s="1"/>
  <c r="F379" i="48" s="1"/>
  <c r="F380" i="48" s="1"/>
  <c r="F381" i="48" s="1"/>
  <c r="F382" i="48" s="1"/>
  <c r="F383" i="48" s="1"/>
  <c r="F384" i="48" s="1"/>
  <c r="F385" i="48" s="1"/>
  <c r="F386" i="48" s="1"/>
  <c r="F387" i="48" s="1"/>
  <c r="F388" i="48" s="1"/>
  <c r="F389" i="48" s="1"/>
  <c r="F390" i="48" s="1"/>
  <c r="F391" i="48" s="1"/>
  <c r="F392" i="48" s="1"/>
  <c r="F393" i="48" s="1"/>
  <c r="F394" i="48" s="1"/>
  <c r="F395" i="48" s="1"/>
  <c r="F396" i="48" s="1"/>
  <c r="F397" i="48" s="1"/>
  <c r="F398" i="48" s="1"/>
  <c r="F399" i="48" s="1"/>
  <c r="F400" i="48" s="1"/>
  <c r="F401" i="48" s="1"/>
  <c r="F402" i="48" s="1"/>
  <c r="F403" i="48" s="1"/>
  <c r="F404" i="48" s="1"/>
  <c r="F405" i="48" s="1"/>
  <c r="F406" i="48" s="1"/>
  <c r="F407" i="48" s="1"/>
  <c r="F408" i="48" s="1"/>
  <c r="F409" i="48" s="1"/>
  <c r="F410" i="48" s="1"/>
  <c r="F411" i="48" s="1"/>
  <c r="F412" i="48" s="1"/>
  <c r="F413" i="48" s="1"/>
  <c r="F414" i="48" s="1"/>
  <c r="F415" i="48" s="1"/>
  <c r="F416" i="48" s="1"/>
  <c r="F417" i="48" s="1"/>
  <c r="F418" i="48" s="1"/>
  <c r="F419" i="48" s="1"/>
  <c r="F420" i="48" s="1"/>
  <c r="F421" i="48" s="1"/>
  <c r="F422" i="48" s="1"/>
  <c r="F423" i="48" s="1"/>
  <c r="F424" i="48" s="1"/>
  <c r="F425" i="48" s="1"/>
  <c r="F426" i="48" s="1"/>
  <c r="F427" i="48" s="1"/>
  <c r="F428" i="48" s="1"/>
  <c r="F429" i="48" s="1"/>
  <c r="F430" i="48" s="1"/>
  <c r="F431" i="48" s="1"/>
  <c r="F432" i="48" s="1"/>
  <c r="F433" i="48" s="1"/>
  <c r="F434" i="48" s="1"/>
  <c r="F435" i="48" s="1"/>
  <c r="F436" i="48" s="1"/>
  <c r="F437" i="48" s="1"/>
  <c r="F438" i="48" s="1"/>
  <c r="F439" i="48" s="1"/>
  <c r="F440" i="48" s="1"/>
  <c r="F441" i="48" s="1"/>
  <c r="F442" i="48" s="1"/>
  <c r="F443" i="48" s="1"/>
  <c r="F444" i="48" s="1"/>
  <c r="F445" i="48" s="1"/>
  <c r="F446" i="48" s="1"/>
  <c r="F447" i="48" s="1"/>
  <c r="F448" i="48" s="1"/>
  <c r="F449" i="48" s="1"/>
  <c r="D122" i="43"/>
  <c r="G17" i="29"/>
  <c r="J182" i="41"/>
  <c r="J11" i="41" s="1"/>
  <c r="K289" i="41"/>
  <c r="K276" i="41"/>
  <c r="K275" i="41"/>
  <c r="K274" i="41"/>
  <c r="K213" i="41"/>
  <c r="K126" i="41"/>
  <c r="K124" i="41"/>
  <c r="K123" i="41"/>
  <c r="F23" i="41"/>
  <c r="B22" i="41"/>
  <c r="K111" i="43"/>
  <c r="K229" i="41"/>
  <c r="J103" i="43"/>
  <c r="K105" i="43" s="1"/>
  <c r="K292" i="41"/>
  <c r="K291" i="41"/>
  <c r="K290" i="41"/>
  <c r="K288" i="41"/>
  <c r="K256" i="41"/>
  <c r="I7" i="47"/>
  <c r="K269" i="41"/>
  <c r="K246" i="41"/>
  <c r="K230" i="41"/>
  <c r="J112" i="41"/>
  <c r="J10" i="41" s="1"/>
  <c r="M10" i="41" s="1"/>
  <c r="K99" i="41"/>
  <c r="K100" i="41"/>
  <c r="J165" i="41"/>
  <c r="J13" i="41" s="1"/>
  <c r="M13" i="41" s="1"/>
  <c r="J219" i="41"/>
  <c r="J22" i="41"/>
  <c r="E52" i="41" s="1"/>
  <c r="J20" i="41"/>
  <c r="J263" i="41"/>
  <c r="J25" i="41" s="1"/>
  <c r="E54" i="41" s="1"/>
  <c r="F44" i="2"/>
  <c r="F40" i="2"/>
  <c r="F52" i="2"/>
  <c r="H43" i="2"/>
  <c r="G43" i="2"/>
  <c r="H17" i="37"/>
  <c r="K287" i="41"/>
  <c r="K281" i="41"/>
  <c r="K279" i="41"/>
  <c r="K278" i="41"/>
  <c r="K277" i="41"/>
  <c r="K273" i="41"/>
  <c r="K272" i="41"/>
  <c r="K271" i="41"/>
  <c r="K270" i="41"/>
  <c r="K257" i="41"/>
  <c r="K255" i="41"/>
  <c r="K211" i="41"/>
  <c r="K180" i="41"/>
  <c r="K158" i="41"/>
  <c r="L66" i="43"/>
  <c r="L67" i="43" s="1"/>
  <c r="J106" i="41"/>
  <c r="J8" i="41"/>
  <c r="M8" i="41"/>
  <c r="E28" i="4"/>
  <c r="J90" i="41"/>
  <c r="J5" i="41"/>
  <c r="M5" i="41"/>
  <c r="J293" i="41"/>
  <c r="J27" i="41"/>
  <c r="J282" i="41"/>
  <c r="J26" i="41" s="1"/>
  <c r="E55" i="41" s="1"/>
  <c r="K268" i="41"/>
  <c r="K262" i="41"/>
  <c r="K261" i="41"/>
  <c r="K260" i="41"/>
  <c r="K259" i="41"/>
  <c r="K258" i="41"/>
  <c r="K254" i="41"/>
  <c r="K253" i="41"/>
  <c r="K242" i="41"/>
  <c r="K241" i="41"/>
  <c r="K226" i="41"/>
  <c r="K217" i="41"/>
  <c r="K216" i="41"/>
  <c r="K215" i="41"/>
  <c r="K214" i="41"/>
  <c r="K198" i="41"/>
  <c r="K197" i="41"/>
  <c r="K196" i="41"/>
  <c r="K181" i="41"/>
  <c r="K182" i="41" s="1"/>
  <c r="K179" i="41"/>
  <c r="K178" i="41"/>
  <c r="K177" i="41"/>
  <c r="K129" i="41"/>
  <c r="K128" i="41"/>
  <c r="B57" i="41"/>
  <c r="E22" i="31"/>
  <c r="F17" i="29"/>
  <c r="G20" i="29"/>
  <c r="D91" i="4"/>
  <c r="D92" i="4" s="1"/>
  <c r="K286" i="41"/>
  <c r="K252" i="41"/>
  <c r="J247" i="41"/>
  <c r="J24" i="41" s="1"/>
  <c r="K244" i="41"/>
  <c r="K243" i="41"/>
  <c r="K240" i="41"/>
  <c r="K225" i="41"/>
  <c r="K228" i="41"/>
  <c r="K210" i="41"/>
  <c r="K219" i="41" s="1"/>
  <c r="K212" i="41"/>
  <c r="K218" i="41"/>
  <c r="J95" i="41"/>
  <c r="J6" i="41"/>
  <c r="E36" i="41" s="1"/>
  <c r="E19" i="35"/>
  <c r="G19" i="35"/>
  <c r="E19" i="36"/>
  <c r="G19" i="36"/>
  <c r="E20" i="34"/>
  <c r="G20" i="34"/>
  <c r="E21" i="31"/>
  <c r="G22" i="31"/>
  <c r="E25" i="28"/>
  <c r="G25" i="28"/>
  <c r="E25" i="27"/>
  <c r="G25" i="27"/>
  <c r="E25" i="26"/>
  <c r="G25" i="26"/>
  <c r="E25" i="25"/>
  <c r="G25" i="25"/>
  <c r="E25" i="24"/>
  <c r="G25" i="24"/>
  <c r="E25" i="23"/>
  <c r="G25" i="23"/>
  <c r="E25" i="22"/>
  <c r="G25" i="22"/>
  <c r="E25" i="21"/>
  <c r="G25" i="21"/>
  <c r="E25" i="19"/>
  <c r="G25" i="19"/>
  <c r="E25" i="18"/>
  <c r="G25" i="18"/>
  <c r="E25" i="17"/>
  <c r="G25" i="17"/>
  <c r="E25" i="16"/>
  <c r="G25" i="16"/>
  <c r="E25" i="15"/>
  <c r="G25" i="15"/>
  <c r="E25" i="14"/>
  <c r="G25" i="14"/>
  <c r="E25" i="12"/>
  <c r="G25" i="12"/>
  <c r="E25" i="11"/>
  <c r="G25" i="11"/>
  <c r="H49" i="8"/>
  <c r="K224" i="41"/>
  <c r="K235" i="41" s="1"/>
  <c r="K199" i="41"/>
  <c r="K200" i="41"/>
  <c r="K201" i="41"/>
  <c r="G18" i="35"/>
  <c r="D84" i="43"/>
  <c r="G18" i="36"/>
  <c r="G19" i="34"/>
  <c r="G21" i="31"/>
  <c r="G24" i="15"/>
  <c r="G24" i="14"/>
  <c r="G24" i="12"/>
  <c r="H48" i="8"/>
  <c r="H39" i="8"/>
  <c r="H38" i="8"/>
  <c r="B7" i="9"/>
  <c r="F67" i="2"/>
  <c r="C57" i="41"/>
  <c r="D57" i="41"/>
  <c r="K195" i="41"/>
  <c r="K204" i="41" s="1"/>
  <c r="K202" i="41"/>
  <c r="K203" i="41"/>
  <c r="K209" i="41"/>
  <c r="K155" i="41"/>
  <c r="K157" i="41"/>
  <c r="K127" i="41"/>
  <c r="C80" i="41"/>
  <c r="H80" i="41"/>
  <c r="C81" i="41"/>
  <c r="H81" i="41" s="1"/>
  <c r="C82" i="41"/>
  <c r="H82" i="41"/>
  <c r="C83" i="41"/>
  <c r="H83" i="41" s="1"/>
  <c r="D28" i="41"/>
  <c r="G28" i="41"/>
  <c r="H28" i="41"/>
  <c r="I28" i="41"/>
  <c r="F24" i="41"/>
  <c r="C24" i="41"/>
  <c r="F25" i="41"/>
  <c r="C25" i="41" s="1"/>
  <c r="F26" i="41"/>
  <c r="C26" i="41"/>
  <c r="F27" i="41"/>
  <c r="E27" i="41" s="1"/>
  <c r="L8" i="43"/>
  <c r="E19" i="40"/>
  <c r="B5" i="40" s="1"/>
  <c r="D19" i="40"/>
  <c r="K194" i="41"/>
  <c r="K89" i="41"/>
  <c r="K90" i="41"/>
  <c r="E17" i="28"/>
  <c r="G18" i="31"/>
  <c r="G18" i="28"/>
  <c r="G18" i="27"/>
  <c r="G18" i="26"/>
  <c r="G18" i="25"/>
  <c r="G18" i="24"/>
  <c r="G18" i="23"/>
  <c r="G16" i="23"/>
  <c r="G16" i="22"/>
  <c r="G18" i="21"/>
  <c r="G18" i="19"/>
  <c r="G19" i="18"/>
  <c r="G16" i="17"/>
  <c r="G18" i="16"/>
  <c r="G18" i="14"/>
  <c r="G18" i="11"/>
  <c r="G16" i="11"/>
  <c r="G21" i="15"/>
  <c r="J171" i="41"/>
  <c r="J14" i="41" s="1"/>
  <c r="K188" i="41"/>
  <c r="K187" i="41"/>
  <c r="K189" i="41" s="1"/>
  <c r="K176" i="41"/>
  <c r="K164" i="41"/>
  <c r="K165" i="41"/>
  <c r="K154" i="41"/>
  <c r="C62" i="41"/>
  <c r="H62" i="41" s="1"/>
  <c r="C73" i="41"/>
  <c r="H73" i="41" s="1"/>
  <c r="E113" i="4"/>
  <c r="J189" i="41"/>
  <c r="J19" i="41" s="1"/>
  <c r="K142" i="41"/>
  <c r="K143" i="41"/>
  <c r="I46" i="43"/>
  <c r="E18" i="31"/>
  <c r="F33" i="31" s="1"/>
  <c r="E21" i="15"/>
  <c r="F36" i="15" s="1"/>
  <c r="H54" i="43"/>
  <c r="H56" i="43"/>
  <c r="D105" i="3"/>
  <c r="D112" i="3" s="1"/>
  <c r="E23" i="4"/>
  <c r="J159" i="41"/>
  <c r="J17" i="41"/>
  <c r="J15" i="41"/>
  <c r="K136" i="41"/>
  <c r="K137" i="41"/>
  <c r="J117" i="41"/>
  <c r="J9" i="41" s="1"/>
  <c r="C78" i="41"/>
  <c r="H78" i="41"/>
  <c r="B31" i="3"/>
  <c r="I33" i="31" s="1"/>
  <c r="F21" i="41"/>
  <c r="C21" i="41"/>
  <c r="C77" i="41"/>
  <c r="H77" i="41" s="1"/>
  <c r="F20" i="41"/>
  <c r="C20" i="41"/>
  <c r="C76" i="41"/>
  <c r="H76" i="41" s="1"/>
  <c r="F19" i="41"/>
  <c r="E19" i="41"/>
  <c r="F50" i="43"/>
  <c r="K122" i="41"/>
  <c r="E19" i="18"/>
  <c r="F36" i="18" s="1"/>
  <c r="G36" i="18" s="1"/>
  <c r="H36" i="18" s="1"/>
  <c r="J36" i="18" s="1"/>
  <c r="E112" i="3"/>
  <c r="C75" i="41"/>
  <c r="H75" i="41"/>
  <c r="F18" i="41"/>
  <c r="E18" i="41"/>
  <c r="C63" i="41"/>
  <c r="H63" i="41"/>
  <c r="C64" i="41"/>
  <c r="C65" i="41"/>
  <c r="H65" i="41"/>
  <c r="C67" i="41"/>
  <c r="H67" i="41" s="1"/>
  <c r="C68" i="41"/>
  <c r="H68" i="41"/>
  <c r="C69" i="41"/>
  <c r="H69" i="41" s="1"/>
  <c r="C70" i="41"/>
  <c r="H70" i="41"/>
  <c r="C71" i="41"/>
  <c r="H71" i="41" s="1"/>
  <c r="C72" i="41"/>
  <c r="H72" i="41"/>
  <c r="C74" i="41"/>
  <c r="H74" i="41" s="1"/>
  <c r="K111" i="41"/>
  <c r="K112" i="41"/>
  <c r="J100" i="41"/>
  <c r="J7" i="41" s="1"/>
  <c r="E37" i="41" s="1"/>
  <c r="H37" i="41" s="1"/>
  <c r="K95" i="41"/>
  <c r="F30" i="35"/>
  <c r="K103" i="43"/>
  <c r="K106" i="43"/>
  <c r="K113" i="43"/>
  <c r="J53" i="43"/>
  <c r="I55" i="43"/>
  <c r="J55" i="43"/>
  <c r="E21" i="4"/>
  <c r="A8" i="42"/>
  <c r="B8" i="42" s="1"/>
  <c r="A9" i="42" s="1"/>
  <c r="F8" i="43"/>
  <c r="F21" i="43"/>
  <c r="F25" i="43"/>
  <c r="I32" i="43"/>
  <c r="J32" i="43" s="1"/>
  <c r="I33" i="43"/>
  <c r="J33" i="43"/>
  <c r="I34" i="43"/>
  <c r="J34" i="43" s="1"/>
  <c r="I35" i="43"/>
  <c r="J35" i="43"/>
  <c r="I36" i="43"/>
  <c r="J36" i="43" s="1"/>
  <c r="I37" i="43"/>
  <c r="J37" i="43"/>
  <c r="I38" i="43"/>
  <c r="J38" i="43" s="1"/>
  <c r="I39" i="43"/>
  <c r="J39" i="43"/>
  <c r="I40" i="43"/>
  <c r="J40" i="43" s="1"/>
  <c r="I41" i="43"/>
  <c r="I42" i="43"/>
  <c r="J42" i="43" s="1"/>
  <c r="I43" i="43"/>
  <c r="J43" i="43"/>
  <c r="I44" i="43"/>
  <c r="J44" i="43" s="1"/>
  <c r="I45" i="43"/>
  <c r="J45" i="43"/>
  <c r="I47" i="43"/>
  <c r="J47" i="43" s="1"/>
  <c r="I48" i="43"/>
  <c r="J48" i="43"/>
  <c r="I49" i="43"/>
  <c r="J49" i="43" s="1"/>
  <c r="I51" i="43"/>
  <c r="J51" i="43"/>
  <c r="I52" i="43"/>
  <c r="J52" i="43" s="1"/>
  <c r="J66" i="43"/>
  <c r="K66" i="43"/>
  <c r="P3" i="42"/>
  <c r="P4" i="42"/>
  <c r="P5" i="42"/>
  <c r="P6" i="42"/>
  <c r="P7" i="42"/>
  <c r="P8" i="42"/>
  <c r="P9" i="42"/>
  <c r="P10" i="42"/>
  <c r="P11" i="42"/>
  <c r="P12" i="42"/>
  <c r="P13" i="42"/>
  <c r="P14" i="42"/>
  <c r="P15" i="42"/>
  <c r="P16" i="42"/>
  <c r="P17" i="42"/>
  <c r="P18" i="42"/>
  <c r="P19" i="42"/>
  <c r="P20" i="42"/>
  <c r="P21" i="42"/>
  <c r="P22" i="42"/>
  <c r="P23" i="42"/>
  <c r="P24" i="42"/>
  <c r="P25" i="42"/>
  <c r="P26" i="42"/>
  <c r="P27" i="42"/>
  <c r="P28" i="42"/>
  <c r="P29" i="42"/>
  <c r="P30" i="42"/>
  <c r="P31" i="42"/>
  <c r="P32" i="42"/>
  <c r="P33" i="42"/>
  <c r="P34" i="42"/>
  <c r="P35" i="42"/>
  <c r="P36" i="42"/>
  <c r="P37" i="42"/>
  <c r="P38" i="42"/>
  <c r="P39" i="42"/>
  <c r="P40" i="42"/>
  <c r="P41" i="42"/>
  <c r="P42" i="42"/>
  <c r="P43" i="42"/>
  <c r="P44" i="42"/>
  <c r="P45" i="42"/>
  <c r="P46" i="42"/>
  <c r="P47" i="42"/>
  <c r="P48" i="42"/>
  <c r="P49" i="42"/>
  <c r="P50" i="42"/>
  <c r="P51" i="42"/>
  <c r="P52" i="42"/>
  <c r="P53" i="42"/>
  <c r="P2" i="42"/>
  <c r="C12" i="4"/>
  <c r="E12" i="4" s="1"/>
  <c r="F32" i="2"/>
  <c r="E20" i="4"/>
  <c r="F17" i="41"/>
  <c r="E17" i="41" s="1"/>
  <c r="L17" i="41" s="1"/>
  <c r="F15" i="41"/>
  <c r="C15" i="41"/>
  <c r="K15" i="41" s="1"/>
  <c r="F14" i="41"/>
  <c r="E14" i="41"/>
  <c r="F10" i="41"/>
  <c r="E10" i="41" s="1"/>
  <c r="F8" i="41"/>
  <c r="C8" i="41"/>
  <c r="F7" i="41"/>
  <c r="C7" i="41" s="1"/>
  <c r="F37" i="41" s="1"/>
  <c r="F6" i="41"/>
  <c r="C6" i="41"/>
  <c r="F5" i="41"/>
  <c r="C5" i="41" s="1"/>
  <c r="F28" i="39"/>
  <c r="F8" i="39" s="1"/>
  <c r="F28" i="38"/>
  <c r="F30" i="36"/>
  <c r="F31" i="34"/>
  <c r="F8" i="34"/>
  <c r="E18" i="27"/>
  <c r="F8" i="27" s="1"/>
  <c r="F44" i="27" s="1"/>
  <c r="G44" i="27" s="1"/>
  <c r="H44" i="27" s="1"/>
  <c r="J44" i="27" s="1"/>
  <c r="E18" i="26"/>
  <c r="F36" i="26" s="1"/>
  <c r="E18" i="28"/>
  <c r="F36" i="28"/>
  <c r="E18" i="25"/>
  <c r="F36" i="25" s="1"/>
  <c r="E18" i="24"/>
  <c r="F36" i="24"/>
  <c r="E18" i="23"/>
  <c r="E18" i="21"/>
  <c r="F36" i="21" s="1"/>
  <c r="E18" i="19"/>
  <c r="F36" i="19"/>
  <c r="E18" i="16"/>
  <c r="F36" i="16"/>
  <c r="E18" i="14"/>
  <c r="F36" i="14"/>
  <c r="F8" i="14" s="1"/>
  <c r="E18" i="11"/>
  <c r="F36" i="11" s="1"/>
  <c r="F8" i="11" s="1"/>
  <c r="K104" i="41"/>
  <c r="K105" i="41"/>
  <c r="E16" i="23"/>
  <c r="F36" i="23" s="1"/>
  <c r="E16" i="22"/>
  <c r="F36" i="22"/>
  <c r="F8" i="22" s="1"/>
  <c r="E16" i="17"/>
  <c r="F36" i="17"/>
  <c r="E10" i="12"/>
  <c r="F36" i="12"/>
  <c r="F8" i="12" s="1"/>
  <c r="E16" i="11"/>
  <c r="F8" i="2"/>
  <c r="F16" i="2"/>
  <c r="F20" i="2"/>
  <c r="F28" i="2"/>
  <c r="B11" i="8"/>
  <c r="C57" i="8"/>
  <c r="K12" i="37"/>
  <c r="E7" i="4"/>
  <c r="E8" i="4"/>
  <c r="C9" i="4"/>
  <c r="E9" i="4" s="1"/>
  <c r="E10" i="4"/>
  <c r="E11" i="4"/>
  <c r="E13" i="4"/>
  <c r="E14" i="4"/>
  <c r="E15" i="4"/>
  <c r="E16" i="4"/>
  <c r="E18" i="4"/>
  <c r="E19" i="4"/>
  <c r="F11" i="41"/>
  <c r="E11" i="41"/>
  <c r="F12" i="41"/>
  <c r="E12" i="41" s="1"/>
  <c r="F13" i="41"/>
  <c r="E22" i="4"/>
  <c r="E24" i="4"/>
  <c r="E25" i="4"/>
  <c r="E26" i="4"/>
  <c r="E27" i="4"/>
  <c r="E114" i="4"/>
  <c r="H50" i="8"/>
  <c r="J143" i="41"/>
  <c r="J12" i="41"/>
  <c r="M12" i="41" s="1"/>
  <c r="O12" i="41" s="1"/>
  <c r="E29" i="4"/>
  <c r="E30" i="4"/>
  <c r="E31" i="4"/>
  <c r="E32" i="4"/>
  <c r="K117" i="41"/>
  <c r="E33" i="4"/>
  <c r="B6" i="40"/>
  <c r="K171" i="41"/>
  <c r="E34" i="4"/>
  <c r="E36" i="27"/>
  <c r="F35" i="27"/>
  <c r="E111" i="3"/>
  <c r="F111" i="3"/>
  <c r="C36" i="3"/>
  <c r="E90" i="3"/>
  <c r="F90" i="3" s="1"/>
  <c r="K15" i="3" s="1"/>
  <c r="E101" i="3"/>
  <c r="F101" i="3"/>
  <c r="K26" i="3" s="1"/>
  <c r="E106" i="3"/>
  <c r="F106" i="3" s="1"/>
  <c r="C31" i="3" s="1"/>
  <c r="E109" i="3"/>
  <c r="F109" i="3" s="1"/>
  <c r="C34" i="3" s="1"/>
  <c r="E92" i="3"/>
  <c r="F92" i="3"/>
  <c r="E91" i="3"/>
  <c r="F91" i="3" s="1"/>
  <c r="E96" i="3"/>
  <c r="F96" i="3" s="1"/>
  <c r="C21" i="3" s="1"/>
  <c r="E100" i="3"/>
  <c r="F100" i="3" s="1"/>
  <c r="E97" i="3"/>
  <c r="F97" i="3"/>
  <c r="E102" i="3"/>
  <c r="F102" i="3" s="1"/>
  <c r="E110" i="3"/>
  <c r="F110" i="3"/>
  <c r="C35" i="3"/>
  <c r="E104" i="3"/>
  <c r="F104" i="3" s="1"/>
  <c r="E108" i="3"/>
  <c r="F108" i="3" s="1"/>
  <c r="C33" i="3" s="1"/>
  <c r="E99" i="3"/>
  <c r="F99" i="3" s="1"/>
  <c r="E105" i="3"/>
  <c r="F105" i="3"/>
  <c r="C30" i="3" s="1"/>
  <c r="E98" i="3"/>
  <c r="F98" i="3"/>
  <c r="K23" i="3"/>
  <c r="E107" i="3"/>
  <c r="F107" i="3" s="1"/>
  <c r="C32" i="3" s="1"/>
  <c r="E93" i="3"/>
  <c r="F93" i="3"/>
  <c r="C18" i="3" s="1"/>
  <c r="E94" i="3"/>
  <c r="F94" i="3" s="1"/>
  <c r="E103" i="3"/>
  <c r="F103" i="3"/>
  <c r="K28" i="3" s="1"/>
  <c r="E95" i="3"/>
  <c r="F95" i="3" s="1"/>
  <c r="K20" i="3" s="1"/>
  <c r="C101" i="3"/>
  <c r="D16" i="3"/>
  <c r="H16" i="3"/>
  <c r="F16" i="3"/>
  <c r="I54" i="43"/>
  <c r="J54" i="43"/>
  <c r="E35" i="4"/>
  <c r="F8" i="21"/>
  <c r="D81" i="4"/>
  <c r="G16" i="37"/>
  <c r="F61" i="3"/>
  <c r="F36" i="3"/>
  <c r="F15" i="3"/>
  <c r="F29" i="3"/>
  <c r="H22" i="3"/>
  <c r="H26" i="3"/>
  <c r="D26" i="3"/>
  <c r="F58" i="3"/>
  <c r="E106" i="4"/>
  <c r="E107" i="4" s="1"/>
  <c r="F48" i="3"/>
  <c r="H34" i="3"/>
  <c r="F22" i="3"/>
  <c r="D56" i="3"/>
  <c r="D123" i="43"/>
  <c r="E38" i="41"/>
  <c r="H38" i="41"/>
  <c r="C14" i="41"/>
  <c r="E25" i="41"/>
  <c r="G54" i="41"/>
  <c r="J54" i="41" s="1"/>
  <c r="E43" i="41"/>
  <c r="H43" i="41" s="1"/>
  <c r="E20" i="41"/>
  <c r="K106" i="41"/>
  <c r="K21" i="41"/>
  <c r="K282" i="41"/>
  <c r="K159" i="41"/>
  <c r="F16" i="41"/>
  <c r="C11" i="41"/>
  <c r="E8" i="41"/>
  <c r="L8" i="41"/>
  <c r="K293" i="41"/>
  <c r="K36" i="3"/>
  <c r="C27" i="41"/>
  <c r="K27" i="41"/>
  <c r="C12" i="41"/>
  <c r="K12" i="41"/>
  <c r="E24" i="41"/>
  <c r="L24" i="41"/>
  <c r="E5" i="41"/>
  <c r="L5" i="41"/>
  <c r="E15" i="41"/>
  <c r="L15" i="41"/>
  <c r="C18" i="41"/>
  <c r="C19" i="41"/>
  <c r="K19" i="41" s="1"/>
  <c r="L27" i="41"/>
  <c r="E45" i="41"/>
  <c r="H45" i="41"/>
  <c r="M15" i="41"/>
  <c r="E48" i="41"/>
  <c r="H48" i="41" s="1"/>
  <c r="M18" i="41"/>
  <c r="O18" i="41"/>
  <c r="K6" i="41"/>
  <c r="L9" i="41"/>
  <c r="M9" i="41"/>
  <c r="N9" i="41"/>
  <c r="F66" i="41" s="1"/>
  <c r="I25" i="3" s="1"/>
  <c r="K9" i="41"/>
  <c r="E39" i="41"/>
  <c r="L11" i="41"/>
  <c r="M14" i="41"/>
  <c r="O14" i="41" s="1"/>
  <c r="E6" i="41"/>
  <c r="E21" i="41"/>
  <c r="O21" i="41" s="1"/>
  <c r="K130" i="41"/>
  <c r="F54" i="41"/>
  <c r="I54" i="41" s="1"/>
  <c r="K247" i="41"/>
  <c r="K263" i="41"/>
  <c r="K25" i="41"/>
  <c r="M25" i="41"/>
  <c r="C10" i="41"/>
  <c r="K10" i="41" s="1"/>
  <c r="E26" i="41"/>
  <c r="O26" i="41" s="1"/>
  <c r="L26" i="41"/>
  <c r="K149" i="41"/>
  <c r="C15" i="3"/>
  <c r="C23" i="3"/>
  <c r="N12" i="41"/>
  <c r="F69" i="41"/>
  <c r="I22" i="3" s="1"/>
  <c r="E46" i="41"/>
  <c r="M16" i="41"/>
  <c r="L16" i="41"/>
  <c r="F31" i="3"/>
  <c r="C106" i="3"/>
  <c r="K26" i="41"/>
  <c r="M26" i="41"/>
  <c r="E49" i="41"/>
  <c r="L19" i="41"/>
  <c r="M19" i="41"/>
  <c r="K20" i="41"/>
  <c r="E50" i="41"/>
  <c r="G36" i="12"/>
  <c r="H36" i="12" s="1"/>
  <c r="J36" i="12" s="1"/>
  <c r="L12" i="41"/>
  <c r="E42" i="41"/>
  <c r="I37" i="41"/>
  <c r="K24" i="41"/>
  <c r="K7" i="41"/>
  <c r="K5" i="41"/>
  <c r="J28" i="41"/>
  <c r="K22" i="41"/>
  <c r="M22" i="41"/>
  <c r="O10" i="41"/>
  <c r="H54" i="41"/>
  <c r="F38" i="41"/>
  <c r="I38" i="41"/>
  <c r="M27" i="41"/>
  <c r="L10" i="41"/>
  <c r="L22" i="41"/>
  <c r="L25" i="41"/>
  <c r="M7" i="41"/>
  <c r="N7" i="41"/>
  <c r="F64" i="41" s="1"/>
  <c r="I17" i="3" s="1"/>
  <c r="E13" i="41"/>
  <c r="C13" i="41"/>
  <c r="K13" i="41" s="1"/>
  <c r="H64" i="41"/>
  <c r="M17" i="41"/>
  <c r="O17" i="41" s="1"/>
  <c r="F9" i="41"/>
  <c r="C66" i="41"/>
  <c r="H66" i="41" s="1"/>
  <c r="K21" i="3"/>
  <c r="E35" i="41"/>
  <c r="E40" i="41"/>
  <c r="M6" i="41"/>
  <c r="N6" i="41"/>
  <c r="F63" i="41"/>
  <c r="I15" i="3" s="1"/>
  <c r="B28" i="41"/>
  <c r="M21" i="41"/>
  <c r="E56" i="41"/>
  <c r="E47" i="41"/>
  <c r="H47" i="41" s="1"/>
  <c r="E7" i="41"/>
  <c r="L7" i="41" s="1"/>
  <c r="C17" i="41"/>
  <c r="K17" i="41"/>
  <c r="L14" i="41"/>
  <c r="K8" i="41"/>
  <c r="B7" i="48"/>
  <c r="C22" i="3"/>
  <c r="K22" i="3"/>
  <c r="C17" i="3"/>
  <c r="K17" i="3"/>
  <c r="K32" i="3"/>
  <c r="N8" i="41"/>
  <c r="F65" i="41"/>
  <c r="K31" i="3"/>
  <c r="K18" i="3"/>
  <c r="D54" i="3"/>
  <c r="D44" i="3"/>
  <c r="D23" i="3"/>
  <c r="C103" i="3"/>
  <c r="D28" i="3"/>
  <c r="D45" i="3"/>
  <c r="F59" i="3"/>
  <c r="H23" i="3"/>
  <c r="O25" i="41"/>
  <c r="N13" i="41"/>
  <c r="F70" i="41" s="1"/>
  <c r="O5" i="41"/>
  <c r="O8" i="41"/>
  <c r="G43" i="41"/>
  <c r="J43" i="41" s="1"/>
  <c r="L13" i="41"/>
  <c r="O13" i="41"/>
  <c r="O9" i="41"/>
  <c r="G38" i="41"/>
  <c r="J38" i="41"/>
  <c r="G37" i="41"/>
  <c r="J37" i="41"/>
  <c r="N18" i="41"/>
  <c r="F75" i="41"/>
  <c r="O7" i="41"/>
  <c r="N10" i="41"/>
  <c r="F67" i="41" s="1"/>
  <c r="G67" i="41" s="1"/>
  <c r="I67" i="41"/>
  <c r="O15" i="41"/>
  <c r="G48" i="41"/>
  <c r="J48" i="41"/>
  <c r="G36" i="41"/>
  <c r="J36" i="41" s="1"/>
  <c r="N15" i="41"/>
  <c r="F72" i="41"/>
  <c r="N25" i="41"/>
  <c r="F81" i="41"/>
  <c r="I34" i="3" s="1"/>
  <c r="G81" i="41"/>
  <c r="I81" i="41" s="1"/>
  <c r="H39" i="41"/>
  <c r="F39" i="41"/>
  <c r="I39" i="41"/>
  <c r="G39" i="41"/>
  <c r="J39" i="41" s="1"/>
  <c r="F48" i="41"/>
  <c r="I48" i="41"/>
  <c r="N14" i="41"/>
  <c r="F71" i="41"/>
  <c r="G71" i="41" s="1"/>
  <c r="I71" i="41" s="1"/>
  <c r="F36" i="41"/>
  <c r="I36" i="41" s="1"/>
  <c r="H36" i="41"/>
  <c r="F45" i="41"/>
  <c r="I45" i="41"/>
  <c r="G45" i="41"/>
  <c r="J45" i="41"/>
  <c r="O27" i="41"/>
  <c r="N27" i="41"/>
  <c r="F83" i="41"/>
  <c r="G83" i="41" s="1"/>
  <c r="N22" i="41"/>
  <c r="F79" i="41" s="1"/>
  <c r="O22" i="41"/>
  <c r="H42" i="41"/>
  <c r="G42" i="41"/>
  <c r="J42" i="41" s="1"/>
  <c r="F42" i="41"/>
  <c r="I42" i="41"/>
  <c r="F56" i="41"/>
  <c r="I56" i="41" s="1"/>
  <c r="H56" i="41"/>
  <c r="G56" i="41"/>
  <c r="J56" i="41"/>
  <c r="F43" i="41"/>
  <c r="I43" i="41"/>
  <c r="G49" i="41"/>
  <c r="J49" i="41" s="1"/>
  <c r="F49" i="41"/>
  <c r="I49" i="41" s="1"/>
  <c r="H49" i="41"/>
  <c r="N26" i="41"/>
  <c r="F82" i="41"/>
  <c r="I35" i="3" s="1"/>
  <c r="F40" i="41"/>
  <c r="I40" i="41" s="1"/>
  <c r="H40" i="41"/>
  <c r="G40" i="41"/>
  <c r="J40" i="41"/>
  <c r="G50" i="41"/>
  <c r="J50" i="41" s="1"/>
  <c r="F50" i="41"/>
  <c r="I50" i="41"/>
  <c r="H50" i="41"/>
  <c r="O19" i="41"/>
  <c r="N19" i="41"/>
  <c r="F76" i="41"/>
  <c r="I18" i="3" s="1"/>
  <c r="N16" i="41"/>
  <c r="F73" i="41" s="1"/>
  <c r="O16" i="41"/>
  <c r="N21" i="41"/>
  <c r="F78" i="41" s="1"/>
  <c r="H35" i="41"/>
  <c r="F55" i="41"/>
  <c r="I55" i="41"/>
  <c r="H55" i="41"/>
  <c r="G55" i="41"/>
  <c r="J55" i="41" s="1"/>
  <c r="G46" i="41"/>
  <c r="J46" i="41" s="1"/>
  <c r="H46" i="41"/>
  <c r="F46" i="41"/>
  <c r="I46" i="41" s="1"/>
  <c r="J6" i="48"/>
  <c r="I24" i="3"/>
  <c r="G65" i="41"/>
  <c r="I65" i="41" s="1"/>
  <c r="I26" i="3"/>
  <c r="I19" i="3"/>
  <c r="G75" i="41"/>
  <c r="I75" i="41" s="1"/>
  <c r="I83" i="41"/>
  <c r="I36" i="3"/>
  <c r="I11" i="48"/>
  <c r="D82" i="4"/>
  <c r="E90" i="4"/>
  <c r="F56" i="43"/>
  <c r="L9" i="43" s="1"/>
  <c r="L10" i="43" s="1"/>
  <c r="D61" i="8"/>
  <c r="D137" i="43"/>
  <c r="L26" i="43" s="1"/>
  <c r="J11" i="3" s="1"/>
  <c r="M73" i="43"/>
  <c r="M75" i="43" s="1"/>
  <c r="L24" i="43" s="1"/>
  <c r="F49" i="3"/>
  <c r="C98" i="3"/>
  <c r="K107" i="43"/>
  <c r="K112" i="43"/>
  <c r="D90" i="43"/>
  <c r="F90" i="43" s="1"/>
  <c r="L17" i="43"/>
  <c r="D37" i="4" s="1"/>
  <c r="L15" i="43"/>
  <c r="L72" i="43"/>
  <c r="D87" i="43"/>
  <c r="I87" i="43" s="1"/>
  <c r="F19" i="3"/>
  <c r="D19" i="3"/>
  <c r="H19" i="3"/>
  <c r="J19" i="3" s="1"/>
  <c r="C102" i="3"/>
  <c r="C105" i="3"/>
  <c r="F63" i="3"/>
  <c r="G30" i="36"/>
  <c r="H30" i="36" s="1"/>
  <c r="J30" i="36" s="1"/>
  <c r="D51" i="3"/>
  <c r="F33" i="3"/>
  <c r="D17" i="3"/>
  <c r="D21" i="3"/>
  <c r="D29" i="3"/>
  <c r="C104" i="3"/>
  <c r="H29" i="3"/>
  <c r="F53" i="3"/>
  <c r="D15" i="3"/>
  <c r="H15" i="3"/>
  <c r="G21" i="7" l="1"/>
  <c r="E43" i="4" s="1"/>
  <c r="B35" i="8"/>
  <c r="B60" i="8" s="1"/>
  <c r="B62" i="8" s="1"/>
  <c r="F28" i="3"/>
  <c r="C108" i="3"/>
  <c r="D64" i="3"/>
  <c r="D57" i="3"/>
  <c r="H20" i="3"/>
  <c r="E64" i="8"/>
  <c r="E66" i="8" s="1"/>
  <c r="D66" i="8"/>
  <c r="F17" i="3"/>
  <c r="H17" i="3"/>
  <c r="J17" i="3" s="1"/>
  <c r="L17" i="3" s="1"/>
  <c r="J22" i="3"/>
  <c r="P22" i="3" s="1"/>
  <c r="C110" i="3"/>
  <c r="F8" i="35"/>
  <c r="K19" i="3"/>
  <c r="C19" i="3"/>
  <c r="C16" i="3"/>
  <c r="K16" i="3"/>
  <c r="K24" i="3"/>
  <c r="C24" i="3"/>
  <c r="K25" i="3"/>
  <c r="C25" i="3"/>
  <c r="C29" i="3"/>
  <c r="K29" i="3"/>
  <c r="K33" i="3"/>
  <c r="K27" i="3"/>
  <c r="K30" i="3"/>
  <c r="C27" i="3"/>
  <c r="K35" i="3"/>
  <c r="K34" i="3"/>
  <c r="C28" i="3"/>
  <c r="C26" i="3"/>
  <c r="J15" i="3"/>
  <c r="L15" i="3" s="1"/>
  <c r="C20" i="3"/>
  <c r="D33" i="3"/>
  <c r="F65" i="3"/>
  <c r="F30" i="3"/>
  <c r="F46" i="3"/>
  <c r="D30" i="3"/>
  <c r="D47" i="3"/>
  <c r="F62" i="3"/>
  <c r="F50" i="3"/>
  <c r="C97" i="3"/>
  <c r="H11" i="48"/>
  <c r="C96" i="3"/>
  <c r="F27" i="3"/>
  <c r="F52" i="3"/>
  <c r="C99" i="3"/>
  <c r="G28" i="38"/>
  <c r="H28" i="38" s="1"/>
  <c r="J28" i="38" s="1"/>
  <c r="H35" i="3"/>
  <c r="J35" i="3" s="1"/>
  <c r="F55" i="3"/>
  <c r="D35" i="3"/>
  <c r="D27" i="3"/>
  <c r="H11" i="3"/>
  <c r="E73" i="4"/>
  <c r="E46" i="4"/>
  <c r="E50" i="4" s="1"/>
  <c r="I31" i="3"/>
  <c r="G78" i="41"/>
  <c r="I78" i="41" s="1"/>
  <c r="G70" i="41"/>
  <c r="I70" i="41" s="1"/>
  <c r="I23" i="3"/>
  <c r="J23" i="3" s="1"/>
  <c r="I14" i="47"/>
  <c r="G73" i="41"/>
  <c r="I73" i="41" s="1"/>
  <c r="I30" i="3"/>
  <c r="J30" i="3" s="1"/>
  <c r="G79" i="41"/>
  <c r="I32" i="3"/>
  <c r="G76" i="41"/>
  <c r="I76" i="41" s="1"/>
  <c r="G35" i="41"/>
  <c r="G69" i="41"/>
  <c r="I69" i="41" s="1"/>
  <c r="F47" i="41"/>
  <c r="I47" i="41" s="1"/>
  <c r="D38" i="4"/>
  <c r="E37" i="4"/>
  <c r="E38" i="4" s="1"/>
  <c r="F35" i="41"/>
  <c r="G63" i="41"/>
  <c r="I63" i="41" s="1"/>
  <c r="G47" i="41"/>
  <c r="J47" i="41" s="1"/>
  <c r="F18" i="3"/>
  <c r="D18" i="3"/>
  <c r="H18" i="3"/>
  <c r="J18" i="3" s="1"/>
  <c r="F21" i="3"/>
  <c r="H21" i="3"/>
  <c r="J24" i="3"/>
  <c r="N24" i="3" s="1"/>
  <c r="G82" i="41"/>
  <c r="I82" i="41" s="1"/>
  <c r="I27" i="3"/>
  <c r="J27" i="3" s="1"/>
  <c r="N27" i="3" s="1"/>
  <c r="I56" i="43"/>
  <c r="J56" i="43" s="1"/>
  <c r="G64" i="41"/>
  <c r="I64" i="41" s="1"/>
  <c r="N17" i="41"/>
  <c r="F74" i="41" s="1"/>
  <c r="G72" i="41"/>
  <c r="I72" i="41" s="1"/>
  <c r="I28" i="3"/>
  <c r="J28" i="3" s="1"/>
  <c r="G66" i="41"/>
  <c r="I66" i="41" s="1"/>
  <c r="L6" i="41"/>
  <c r="O6" i="41"/>
  <c r="J34" i="3"/>
  <c r="L34" i="3" s="1"/>
  <c r="J26" i="3"/>
  <c r="K18" i="41"/>
  <c r="L18" i="41"/>
  <c r="G19" i="37"/>
  <c r="F24" i="3"/>
  <c r="D24" i="3"/>
  <c r="F8" i="36"/>
  <c r="F8" i="15"/>
  <c r="K14" i="41"/>
  <c r="E44" i="41"/>
  <c r="M24" i="41"/>
  <c r="E53" i="41"/>
  <c r="L20" i="41"/>
  <c r="M20" i="41"/>
  <c r="J36" i="21"/>
  <c r="H36" i="25"/>
  <c r="J36" i="25" s="1"/>
  <c r="F8" i="25"/>
  <c r="F8" i="31"/>
  <c r="G33" i="31"/>
  <c r="H33" i="31" s="1"/>
  <c r="J33" i="31" s="1"/>
  <c r="H52" i="41"/>
  <c r="G52" i="41"/>
  <c r="J52" i="41" s="1"/>
  <c r="F52" i="41"/>
  <c r="I52" i="41" s="1"/>
  <c r="K11" i="41"/>
  <c r="K28" i="41" s="1"/>
  <c r="M11" i="41"/>
  <c r="E41" i="41"/>
  <c r="I50" i="43"/>
  <c r="G18" i="37"/>
  <c r="E88" i="4"/>
  <c r="F60" i="3"/>
  <c r="H36" i="23"/>
  <c r="J36" i="23" s="1"/>
  <c r="F8" i="23"/>
  <c r="H36" i="19"/>
  <c r="J36" i="19" s="1"/>
  <c r="F8" i="19"/>
  <c r="F8" i="24"/>
  <c r="H36" i="24"/>
  <c r="J36" i="24" s="1"/>
  <c r="H31" i="3"/>
  <c r="J31" i="3" s="1"/>
  <c r="D31" i="3"/>
  <c r="N5" i="41"/>
  <c r="F22" i="41"/>
  <c r="F28" i="41" s="1"/>
  <c r="C79" i="41"/>
  <c r="E51" i="41"/>
  <c r="L21" i="41"/>
  <c r="H11" i="40"/>
  <c r="E65" i="2"/>
  <c r="C38" i="4"/>
  <c r="B5" i="9" s="1"/>
  <c r="B9" i="9" s="1"/>
  <c r="B11" i="9" s="1"/>
  <c r="B75" i="9" s="1"/>
  <c r="H90" i="43"/>
  <c r="B11" i="3"/>
  <c r="D11" i="3" s="1"/>
  <c r="E119" i="4"/>
  <c r="C11" i="3"/>
  <c r="E103" i="4"/>
  <c r="E54" i="4"/>
  <c r="B7" i="40"/>
  <c r="E66" i="4" s="1"/>
  <c r="E97" i="4"/>
  <c r="J6" i="40"/>
  <c r="F8" i="38"/>
  <c r="F8" i="28"/>
  <c r="G36" i="28"/>
  <c r="H36" i="28" s="1"/>
  <c r="J36" i="28" s="1"/>
  <c r="F8" i="26"/>
  <c r="G36" i="26"/>
  <c r="H36" i="26" s="1"/>
  <c r="J36" i="26" s="1"/>
  <c r="H36" i="22"/>
  <c r="J36" i="22" s="1"/>
  <c r="F8" i="18"/>
  <c r="F8" i="17"/>
  <c r="G36" i="17"/>
  <c r="H36" i="17" s="1"/>
  <c r="J36" i="17" s="1"/>
  <c r="G36" i="16"/>
  <c r="H36" i="16" s="1"/>
  <c r="J36" i="16" s="1"/>
  <c r="F8" i="16"/>
  <c r="G36" i="14"/>
  <c r="H36" i="14" s="1"/>
  <c r="J36" i="14" s="1"/>
  <c r="C9" i="42"/>
  <c r="C10" i="42" s="1"/>
  <c r="D9" i="42"/>
  <c r="J36" i="3"/>
  <c r="G28" i="39"/>
  <c r="H28" i="39" s="1"/>
  <c r="J28" i="39" s="1"/>
  <c r="N19" i="3"/>
  <c r="L19" i="3"/>
  <c r="P19" i="3"/>
  <c r="D25" i="3"/>
  <c r="H25" i="3"/>
  <c r="J25" i="3" s="1"/>
  <c r="C107" i="3"/>
  <c r="D34" i="3"/>
  <c r="B9" i="42"/>
  <c r="F25" i="3"/>
  <c r="F20" i="3"/>
  <c r="F32" i="3"/>
  <c r="P15" i="3"/>
  <c r="B37" i="3"/>
  <c r="D20" i="3"/>
  <c r="C93" i="3"/>
  <c r="H32" i="3"/>
  <c r="J32" i="3" s="1"/>
  <c r="G30" i="35"/>
  <c r="H30" i="35" s="1"/>
  <c r="J30" i="35" s="1"/>
  <c r="C109" i="3"/>
  <c r="D36" i="3"/>
  <c r="C111" i="3"/>
  <c r="N34" i="3" l="1"/>
  <c r="N22" i="3"/>
  <c r="E85" i="4"/>
  <c r="E86" i="4" s="1"/>
  <c r="E111" i="4"/>
  <c r="P34" i="3"/>
  <c r="L22" i="3"/>
  <c r="B38" i="3"/>
  <c r="D67" i="8"/>
  <c r="P30" i="3"/>
  <c r="L30" i="3"/>
  <c r="N17" i="3"/>
  <c r="N15" i="3"/>
  <c r="P17" i="3"/>
  <c r="L24" i="3"/>
  <c r="F37" i="3"/>
  <c r="L23" i="3"/>
  <c r="P23" i="3"/>
  <c r="N23" i="3"/>
  <c r="L28" i="3"/>
  <c r="P28" i="3"/>
  <c r="N28" i="3"/>
  <c r="N20" i="41"/>
  <c r="F77" i="41" s="1"/>
  <c r="O20" i="41"/>
  <c r="O28" i="41" s="1"/>
  <c r="N26" i="3"/>
  <c r="P26" i="3"/>
  <c r="F62" i="41"/>
  <c r="D37" i="3"/>
  <c r="D38" i="3" s="1"/>
  <c r="P24" i="3"/>
  <c r="D60" i="3"/>
  <c r="H51" i="41"/>
  <c r="F51" i="41"/>
  <c r="I51" i="41" s="1"/>
  <c r="G51" i="41"/>
  <c r="J51" i="41" s="1"/>
  <c r="G41" i="41"/>
  <c r="J41" i="41" s="1"/>
  <c r="H41" i="41"/>
  <c r="F41" i="41"/>
  <c r="I41" i="41" s="1"/>
  <c r="F53" i="41"/>
  <c r="I53" i="41" s="1"/>
  <c r="H53" i="41"/>
  <c r="G53" i="41"/>
  <c r="J53" i="41" s="1"/>
  <c r="P35" i="3"/>
  <c r="L35" i="3"/>
  <c r="N35" i="3"/>
  <c r="I35" i="41"/>
  <c r="I57" i="41" s="1"/>
  <c r="H44" i="41"/>
  <c r="F44" i="41"/>
  <c r="I44" i="41" s="1"/>
  <c r="G44" i="41"/>
  <c r="J44" i="41" s="1"/>
  <c r="J35" i="41"/>
  <c r="J57" i="41" s="1"/>
  <c r="L27" i="3"/>
  <c r="N30" i="3"/>
  <c r="L28" i="41"/>
  <c r="D91" i="43" s="1"/>
  <c r="L26" i="3"/>
  <c r="P27" i="3"/>
  <c r="F64" i="2"/>
  <c r="F71" i="2" s="1"/>
  <c r="D83" i="4"/>
  <c r="E76" i="4" s="1"/>
  <c r="H79" i="41"/>
  <c r="C84" i="41"/>
  <c r="P31" i="3"/>
  <c r="N31" i="3"/>
  <c r="L31" i="3"/>
  <c r="O11" i="41"/>
  <c r="M28" i="41"/>
  <c r="N11" i="41"/>
  <c r="F68" i="41" s="1"/>
  <c r="N24" i="41"/>
  <c r="F80" i="41" s="1"/>
  <c r="O24" i="41"/>
  <c r="I29" i="3"/>
  <c r="J29" i="3" s="1"/>
  <c r="G74" i="41"/>
  <c r="I74" i="41" s="1"/>
  <c r="E57" i="41"/>
  <c r="F11" i="3"/>
  <c r="F38" i="3" s="1"/>
  <c r="E112" i="4"/>
  <c r="E61" i="4"/>
  <c r="E64" i="4" s="1"/>
  <c r="E68" i="4" s="1"/>
  <c r="E10" i="42"/>
  <c r="S2" i="42" s="1"/>
  <c r="E9" i="42"/>
  <c r="A1" i="42" s="1"/>
  <c r="F10" i="42"/>
  <c r="N25" i="3"/>
  <c r="P25" i="3"/>
  <c r="L25" i="3"/>
  <c r="E115" i="4"/>
  <c r="E117" i="4" s="1"/>
  <c r="E121" i="4" s="1"/>
  <c r="F120" i="4" s="1"/>
  <c r="P36" i="3"/>
  <c r="N36" i="3"/>
  <c r="L36" i="3"/>
  <c r="P32" i="3"/>
  <c r="L32" i="3"/>
  <c r="N32" i="3"/>
  <c r="P18" i="3"/>
  <c r="N18" i="3"/>
  <c r="L18" i="3"/>
  <c r="H37" i="3"/>
  <c r="H38" i="3" s="1"/>
  <c r="E95" i="4" l="1"/>
  <c r="E99" i="4" s="1"/>
  <c r="D95" i="43"/>
  <c r="L19" i="43"/>
  <c r="D92" i="43"/>
  <c r="F57" i="41"/>
  <c r="G68" i="41"/>
  <c r="I68" i="41" s="1"/>
  <c r="I16" i="3"/>
  <c r="N28" i="41"/>
  <c r="E92" i="43" s="1"/>
  <c r="G92" i="43" s="1"/>
  <c r="N29" i="3"/>
  <c r="L29" i="3"/>
  <c r="P29" i="3"/>
  <c r="G71" i="2"/>
  <c r="G62" i="41"/>
  <c r="I20" i="3"/>
  <c r="J20" i="3" s="1"/>
  <c r="F84" i="41"/>
  <c r="G77" i="41"/>
  <c r="I77" i="41" s="1"/>
  <c r="I21" i="3"/>
  <c r="J21" i="3" s="1"/>
  <c r="G80" i="41"/>
  <c r="I80" i="41" s="1"/>
  <c r="I33" i="3"/>
  <c r="J33" i="3" s="1"/>
  <c r="G31" i="34"/>
  <c r="H31" i="34" s="1"/>
  <c r="J31" i="34" s="1"/>
  <c r="H84" i="41"/>
  <c r="G57" i="41"/>
  <c r="H57" i="41"/>
  <c r="I79" i="41"/>
  <c r="F48" i="42"/>
  <c r="K8" i="42"/>
  <c r="E59" i="42"/>
  <c r="E28" i="42"/>
  <c r="E40" i="42"/>
  <c r="K16" i="42"/>
  <c r="E25" i="42"/>
  <c r="E31" i="42"/>
  <c r="E47" i="42"/>
  <c r="E29" i="42"/>
  <c r="E21" i="42"/>
  <c r="E34" i="42"/>
  <c r="E33" i="42"/>
  <c r="E50" i="42"/>
  <c r="E48" i="42"/>
  <c r="E36" i="42"/>
  <c r="E41" i="42"/>
  <c r="E23" i="42"/>
  <c r="E35" i="42"/>
  <c r="E26" i="42"/>
  <c r="E27" i="42"/>
  <c r="E45" i="42"/>
  <c r="E38" i="42"/>
  <c r="E43" i="42"/>
  <c r="E32" i="42"/>
  <c r="E51" i="42"/>
  <c r="E44" i="42"/>
  <c r="E61" i="42"/>
  <c r="E46" i="42"/>
  <c r="E30" i="42"/>
  <c r="E60" i="42"/>
  <c r="E49" i="42"/>
  <c r="E24" i="42"/>
  <c r="E58" i="42"/>
  <c r="E52" i="42"/>
  <c r="E37" i="42"/>
  <c r="E22" i="42"/>
  <c r="E53" i="42"/>
  <c r="E39" i="42"/>
  <c r="E54" i="42"/>
  <c r="E57" i="42"/>
  <c r="E42" i="42"/>
  <c r="E55" i="42"/>
  <c r="E56" i="42"/>
  <c r="P38" i="3"/>
  <c r="J16" i="3" l="1"/>
  <c r="I37" i="3"/>
  <c r="L33" i="3"/>
  <c r="N33" i="3"/>
  <c r="P33" i="3"/>
  <c r="N21" i="3"/>
  <c r="L21" i="3"/>
  <c r="P21" i="3"/>
  <c r="G84" i="41"/>
  <c r="I62" i="41"/>
  <c r="I84" i="41" s="1"/>
  <c r="E95" i="43"/>
  <c r="D96" i="43"/>
  <c r="G96" i="43" s="1"/>
  <c r="L20" i="43"/>
  <c r="L20" i="3"/>
  <c r="P20" i="3"/>
  <c r="N20" i="3"/>
  <c r="L21" i="43"/>
  <c r="L23" i="43" s="1"/>
  <c r="D43" i="3"/>
  <c r="D66" i="3" s="1"/>
  <c r="B66" i="3"/>
  <c r="F43" i="3"/>
  <c r="F66" i="3" s="1"/>
  <c r="G98" i="43" l="1"/>
  <c r="D98" i="43"/>
  <c r="N16" i="3"/>
  <c r="N37" i="3" s="1"/>
  <c r="P16" i="3"/>
  <c r="L16" i="3"/>
  <c r="L37" i="3" s="1"/>
  <c r="J37" i="3"/>
  <c r="P37" i="3" s="1"/>
  <c r="L25" i="43" l="1"/>
  <c r="E98" i="43"/>
  <c r="H98" i="43" s="1"/>
  <c r="I11" i="3" l="1"/>
  <c r="L27" i="43"/>
  <c r="M27" i="43" s="1"/>
  <c r="M29" i="43" s="1"/>
  <c r="K11" i="3" l="1"/>
  <c r="I38" i="3"/>
  <c r="J38" i="3" s="1"/>
  <c r="M11" i="3" l="1"/>
  <c r="N38" i="3" s="1"/>
  <c r="Q11" i="3"/>
  <c r="R12" i="3" s="1"/>
  <c r="L11" i="3"/>
  <c r="O11" i="3"/>
  <c r="L3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D6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-2,791,413 por error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S12" authorId="0" shapeId="0" xr:uid="{68EDEE7C-2971-4769-BB82-AD4AB78C1F52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letras en blanco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B58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40MM DEL GMF DE MATRIX</t>
        </r>
      </text>
    </comment>
    <comment ref="B60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40MM DEL GMF DE MATRIX</t>
        </r>
      </text>
    </comment>
  </commentList>
</comments>
</file>

<file path=xl/sharedStrings.xml><?xml version="1.0" encoding="utf-8"?>
<sst xmlns="http://schemas.openxmlformats.org/spreadsheetml/2006/main" count="6740" uniqueCount="2074">
  <si>
    <t>R E S U M E N</t>
  </si>
  <si>
    <t>RECURSOS FONDO EMPRENDER</t>
  </si>
  <si>
    <t>VALOR APORTE</t>
  </si>
  <si>
    <t>APORTES COMPROMETIDOS EN ADHESIONES AL CONTRATO INTERADMINISTRATIVO</t>
  </si>
  <si>
    <t>RECURSOS SENA MONETIZACION CUOTA APRENDIZAJE</t>
  </si>
  <si>
    <t>TOTAL CONTRAPARTIDA SENA POR ADHESIONES ( Recursos incluidos dentro del total de Recursos del FE)</t>
  </si>
  <si>
    <t>TOTAL APORTES ENTIDADES ADHERENTES AL CONTRATO INTERADMINISTRATIVO</t>
  </si>
  <si>
    <t>TOTAL INGRESOS Y APORTES AL CONTRATO INTERADMINISTRATIVO</t>
  </si>
  <si>
    <t>APORTES DEL PRESUPUESTO NACIONAL</t>
  </si>
  <si>
    <t>RECURSOS FINANCIEROS ORGANISMOS INTERNACIONALES</t>
  </si>
  <si>
    <t xml:space="preserve">RECURSOS DE FONDOS DE INVERSION PUBLICA Y PRIVADA </t>
  </si>
  <si>
    <t>EJECUCIÓN DEL PRESENTE INFORME</t>
  </si>
  <si>
    <t>DONACIONES</t>
  </si>
  <si>
    <t>GASTOS CUOTA DE GERENCIA</t>
  </si>
  <si>
    <t>TOTAL RENDIMIENTOS GENERADOS POR LOS RECURSOS DEL FONDO</t>
  </si>
  <si>
    <t>GASTOS COSTOS DE OPERACIÓN</t>
  </si>
  <si>
    <t>(Ver relación adjunta)</t>
  </si>
  <si>
    <t>GASTOS CAPITAL SEMILLA</t>
  </si>
  <si>
    <t>IVA</t>
  </si>
  <si>
    <t>TOTAL RECURSOS DISPONIBLES FONDO EMPRENDER</t>
  </si>
  <si>
    <t>GMF</t>
  </si>
  <si>
    <t>INGRESOS RECURSOS FONDO EMPRENDER</t>
  </si>
  <si>
    <t>DETALLE  APORTES ADHERENTES</t>
  </si>
  <si>
    <t>No. De Adhesion</t>
  </si>
  <si>
    <t>FECHA DE CONTRATO</t>
  </si>
  <si>
    <t>NOMBRE DE LA ENTIDAD ADHERENTE</t>
  </si>
  <si>
    <t>NIT</t>
  </si>
  <si>
    <t>VALOR APORTADO POR 
EL ENTE ADHERENTE</t>
  </si>
  <si>
    <t>TOTAL APORTES</t>
  </si>
  <si>
    <t>RELACION DETALLADA DE LOS PAGOS EN LA EJECUCION</t>
  </si>
  <si>
    <t>1. PLAN OPERATIVO - CUOTA DE GERENCIA</t>
  </si>
  <si>
    <t>FECHA DE PAGO</t>
  </si>
  <si>
    <t xml:space="preserve">No. CPTE </t>
  </si>
  <si>
    <t>CUENTA PLAN OPERATIVO</t>
  </si>
  <si>
    <t>TIPO DE CONTRATO</t>
  </si>
  <si>
    <t>No. DE CONTRATO</t>
  </si>
  <si>
    <t>CONCEPTO</t>
  </si>
  <si>
    <t>NOMBRE</t>
  </si>
  <si>
    <t>VR BRUTO DEL BIEN O SERVICIO</t>
  </si>
  <si>
    <t>I.V.A.</t>
  </si>
  <si>
    <t>VR. TOTAL DE LA FACTURA</t>
  </si>
  <si>
    <t xml:space="preserve">SUBTOTALES </t>
  </si>
  <si>
    <t>2. EJECUCION PLAN OPERATIVO - COSTOS DE OPERACIÓN</t>
  </si>
  <si>
    <t>IMPUESTO GMF</t>
  </si>
  <si>
    <t xml:space="preserve">TOTAL RELACION DE GASTOS </t>
  </si>
  <si>
    <t>VALOR TOTAL DE LA ADHESION</t>
  </si>
  <si>
    <t>% DE PARTICIPACION ADHERENTE</t>
  </si>
  <si>
    <t>Universidad Nacional de Colombia</t>
  </si>
  <si>
    <t>Contrato 1471299  de 2020 - UN-SENA FE</t>
  </si>
  <si>
    <t>TOTAL RENDIMIENTOS GENERADOS POR LOS RECURSOS DEL FONDO DE JULIO A DICIEMBRE 2020</t>
  </si>
  <si>
    <t>Rendimientos financieros al 31 de julio de 2020</t>
  </si>
  <si>
    <t>Rendimientos financieros al 31 de agosto de 2020</t>
  </si>
  <si>
    <t>Rendimientos financieros al 30 de septiembre de 2020</t>
  </si>
  <si>
    <t>Rendimientos financieros al 31 de octubre de 2020</t>
  </si>
  <si>
    <t>Rendimientos financieros al 30 de noviembre de 2020</t>
  </si>
  <si>
    <t>MENOS:</t>
  </si>
  <si>
    <t>TOTAL RENDIMIENTOS GENERADOS POR RECURSOS DEL FONDO DE ENERO A JUNIO 2021</t>
  </si>
  <si>
    <t>Vr Total Proyecto</t>
  </si>
  <si>
    <t>SENA</t>
  </si>
  <si>
    <t>Corte</t>
  </si>
  <si>
    <t>% de Ejecución al corte</t>
  </si>
  <si>
    <t>Corriente</t>
  </si>
  <si>
    <t>%</t>
  </si>
  <si>
    <t>No Corriente</t>
  </si>
  <si>
    <t>Saldo por Ejecutar Inf. SENA</t>
  </si>
  <si>
    <t>Diferencia</t>
  </si>
  <si>
    <t>Adhesiones</t>
  </si>
  <si>
    <t>Saldo Contable</t>
  </si>
  <si>
    <t>Total Adhesiones</t>
  </si>
  <si>
    <t>Total Saldo Aportes</t>
  </si>
  <si>
    <t>Conciliaciones Contables</t>
  </si>
  <si>
    <t>1. Informe todas las vigencias &amp; Informe Sena</t>
  </si>
  <si>
    <t>TOTAL PAGOS TODAS LAS VIGENCIAS</t>
  </si>
  <si>
    <t>INFORME SENA- incluido GMF</t>
  </si>
  <si>
    <t>DIFERENCIA $</t>
  </si>
  <si>
    <t>OBSERVACIONES</t>
  </si>
  <si>
    <t>MES</t>
  </si>
  <si>
    <t>VALOR</t>
  </si>
  <si>
    <t xml:space="preserve">TOTAL  </t>
  </si>
  <si>
    <t>2. Conciliación Informe SENA Vs Cta 29020102</t>
  </si>
  <si>
    <t>Saldo cuenta 29020102</t>
  </si>
  <si>
    <t>3.  Conciliación cuenta contable  11100613 &amp;  Extracto Bancario</t>
  </si>
  <si>
    <t>Saldo en libros cuenta Cuenta 11100613</t>
  </si>
  <si>
    <t>Mas:</t>
  </si>
  <si>
    <t>Menos:</t>
  </si>
  <si>
    <t>TOTAL</t>
  </si>
  <si>
    <t>4. Conciliación Informe Sena &amp; Extracto Bancario</t>
  </si>
  <si>
    <t>Saldo informe Sena</t>
  </si>
  <si>
    <t>Impuestos Trasladados (ver hoja Impuestos)</t>
  </si>
  <si>
    <t>5. Conciliación cuenta  11100613 Vs 29020102</t>
  </si>
  <si>
    <t>Saldo cuenta 11100613</t>
  </si>
  <si>
    <t xml:space="preserve">Diferencia </t>
  </si>
  <si>
    <t xml:space="preserve">RESUMEN </t>
  </si>
  <si>
    <t>RESUMEN MOVIMIENTO MENSUAL</t>
  </si>
  <si>
    <t>SALDO ANTERIOR</t>
  </si>
  <si>
    <t>DEBITO</t>
  </si>
  <si>
    <t>CREDITO</t>
  </si>
  <si>
    <t>NUEVO SALDO</t>
  </si>
  <si>
    <t>TOTALES</t>
  </si>
  <si>
    <t>DIA</t>
  </si>
  <si>
    <t>TRANSACCIÓN</t>
  </si>
  <si>
    <t>IDENT.</t>
  </si>
  <si>
    <t>DEBITOS</t>
  </si>
  <si>
    <t>CREDITOS</t>
  </si>
  <si>
    <t>SALDO</t>
  </si>
  <si>
    <t xml:space="preserve">MOVIMIENTOS POR MAYOR - AUXILIAR: </t>
  </si>
  <si>
    <t xml:space="preserve"> </t>
  </si>
  <si>
    <t>Empresa: 2018 - FACULTAD INGENIERIA SEDE BOGOTA</t>
  </si>
  <si>
    <t>Cuenta Mayor: 11100613 - BANCO BBVA</t>
  </si>
  <si>
    <t>Auxiliar: 309045797 - CONTRATO SENA 2020  CO1.PCCNTR 1471299</t>
  </si>
  <si>
    <t xml:space="preserve">TpCo Genérico </t>
  </si>
  <si>
    <t xml:space="preserve">Específico </t>
  </si>
  <si>
    <t>Número</t>
  </si>
  <si>
    <t>Detalle</t>
  </si>
  <si>
    <t>Fecha Comp</t>
  </si>
  <si>
    <t>Valor Débito</t>
  </si>
  <si>
    <t>Valor Crédito</t>
  </si>
  <si>
    <t>Movimiento</t>
  </si>
  <si>
    <t>Saldo Anterior</t>
  </si>
  <si>
    <t>Saldo Final</t>
  </si>
  <si>
    <t>Auxiliar: 899999034 - SERVICIO NACIONAL DE APRENDIZAJE SENA</t>
  </si>
  <si>
    <t>EJECUCIÓN GASTOS PROYECTO</t>
  </si>
  <si>
    <t>Relación impuestos Rete fuente, Rete Ica y AFC</t>
  </si>
  <si>
    <t>Rete fuente - Ica- Rete Iva</t>
  </si>
  <si>
    <t>AFC</t>
  </si>
  <si>
    <t>Sub - Total Impuestos Liquidados</t>
  </si>
  <si>
    <t>Giros  Ban BBVA  a  Banco Popular</t>
  </si>
  <si>
    <t>Sub - Total  giros Unal</t>
  </si>
  <si>
    <t>Análisis GMF</t>
  </si>
  <si>
    <t>Todas las vigencias</t>
  </si>
  <si>
    <t>SIN GMF</t>
  </si>
  <si>
    <t>Valor GMF Info SENA</t>
  </si>
  <si>
    <t>Mes</t>
  </si>
  <si>
    <t>Valor</t>
  </si>
  <si>
    <t>Comprobante</t>
  </si>
  <si>
    <t>IVÁN GÓMEZ SIERRA</t>
  </si>
  <si>
    <t>Registros Cuenta Bancos 11100613</t>
  </si>
  <si>
    <t>Rendimientos financieros mes de abril de 2021</t>
  </si>
  <si>
    <t>Rendimientos financieros mes de mayo de 2021</t>
  </si>
  <si>
    <t>Rendimientos financieros mes de junio de 2021</t>
  </si>
  <si>
    <t>Rendimientos financieros mes de enero de 2021</t>
  </si>
  <si>
    <r>
      <t xml:space="preserve">PRIMER GIRO </t>
    </r>
    <r>
      <rPr>
        <b/>
        <sz val="12"/>
        <rFont val="Ancizar Sans"/>
        <family val="2"/>
      </rPr>
      <t>02 de julio de 2020</t>
    </r>
  </si>
  <si>
    <r>
      <t xml:space="preserve">RECURSOS CONTRAPARTIDA SENA POR ADHESIONES </t>
    </r>
    <r>
      <rPr>
        <sz val="12"/>
        <rFont val="Ancizar Sans"/>
        <family val="2"/>
      </rPr>
      <t>(Recursos incluidos dentro del Total de Recursos FE)</t>
    </r>
  </si>
  <si>
    <r>
      <t>VALOR CONTRAPARTIDA SENA POR ADHESIONES</t>
    </r>
    <r>
      <rPr>
        <b/>
        <sz val="12"/>
        <color indexed="62"/>
        <rFont val="Ancizar Sans"/>
        <family val="2"/>
      </rPr>
      <t xml:space="preserve"> </t>
    </r>
    <r>
      <rPr>
        <b/>
        <sz val="9"/>
        <color indexed="62"/>
        <rFont val="Ancizar Sans"/>
        <family val="2"/>
      </rPr>
      <t>(1)</t>
    </r>
  </si>
  <si>
    <r>
      <t xml:space="preserve">SEGUNDO GIRO </t>
    </r>
    <r>
      <rPr>
        <b/>
        <sz val="12"/>
        <rFont val="Ancizar Sans"/>
        <family val="2"/>
      </rPr>
      <t>30 de septiembre de 2020</t>
    </r>
  </si>
  <si>
    <t>Supervisor Financiero</t>
  </si>
  <si>
    <r>
      <t xml:space="preserve">TERCER GIRO </t>
    </r>
    <r>
      <rPr>
        <b/>
        <sz val="12"/>
        <rFont val="Ancizar Sans"/>
        <family val="2"/>
      </rPr>
      <t>20 de octubre de 2020</t>
    </r>
  </si>
  <si>
    <t xml:space="preserve">Pago Comisión Fiducia </t>
  </si>
  <si>
    <t>Transferencias al exterior</t>
  </si>
  <si>
    <t>FECHA CPTE</t>
  </si>
  <si>
    <t>No. CPTE</t>
  </si>
  <si>
    <t>No. FACTURA PROVEEDOR</t>
  </si>
  <si>
    <t>FECHA FACTURA PROVEEDOR</t>
  </si>
  <si>
    <t>NIT PROVEEDOR</t>
  </si>
  <si>
    <t>CONCEPTO DE LA FACTURA</t>
  </si>
  <si>
    <t>VALOR FACTURA ANTES DE IVA</t>
  </si>
  <si>
    <t>VALOR BASE DE IVA</t>
  </si>
  <si>
    <t>VALOR TOTAL IVA 19%</t>
  </si>
  <si>
    <t>VALOR TOTAL IVA 5%</t>
  </si>
  <si>
    <t>TOTAL FACTURA</t>
  </si>
  <si>
    <t>BASE DE IVA 19%</t>
  </si>
  <si>
    <t>BASE DE IVA 5%</t>
  </si>
  <si>
    <t>BASE DE IVA TOTAL</t>
  </si>
  <si>
    <t>VALOR IVA 19%</t>
  </si>
  <si>
    <t>VALOR IVA 5%</t>
  </si>
  <si>
    <t>TOTAL IVA</t>
  </si>
  <si>
    <t>Sede Bogotá</t>
  </si>
  <si>
    <t>Se ajustó presupuestalmente en Diciembre através del REI 1 correspondiente a la ODC 120 por el GMF por valor de $706.657</t>
  </si>
  <si>
    <r>
      <t xml:space="preserve">CUARTO GIRO </t>
    </r>
    <r>
      <rPr>
        <b/>
        <sz val="12"/>
        <rFont val="Ancizar Sans"/>
        <family val="2"/>
      </rPr>
      <t>11 de diciembre de 2020</t>
    </r>
  </si>
  <si>
    <t>MUNICIPIO DE YARUMAL</t>
  </si>
  <si>
    <t>MUNICIPIO DE TAURAMENA</t>
  </si>
  <si>
    <t>RETENCIONES</t>
  </si>
  <si>
    <t>Retenciones Septiembre</t>
  </si>
  <si>
    <t>GMF de Fygp</t>
  </si>
  <si>
    <t>Pago 1 FYGP</t>
  </si>
  <si>
    <t>Neoserra</t>
  </si>
  <si>
    <t>Evaluadores, firma digital y FYGP</t>
  </si>
  <si>
    <t>Impuestos Octubre</t>
  </si>
  <si>
    <t>Diferencia registrada de menos en GMF</t>
  </si>
  <si>
    <t>MUNICIPIO DE VILLANUEVA</t>
  </si>
  <si>
    <t>MUNICIPIO DE SAN JUAN DE URABÁ</t>
  </si>
  <si>
    <t>MUNICIPIO DE PLANADAS TOLIMA</t>
  </si>
  <si>
    <t>MUNICIPIO DE CALDAS</t>
  </si>
  <si>
    <t>MUNICIPIO DE BUGALAGRANDE</t>
  </si>
  <si>
    <t>MUNICIPIO DEL CARMEN DE VIBORAL</t>
  </si>
  <si>
    <t>MUNICIPIO PLANETA RICA</t>
  </si>
  <si>
    <t>DISTRITO DE BARRANCABERMEJA</t>
  </si>
  <si>
    <t>SOCIEDAD MINERA DE COBRE QUEBRADONA S.A.S. BIC.</t>
  </si>
  <si>
    <t>BANCO DAVIVIENDA CUENTA AHORRO No. 007700868925</t>
  </si>
  <si>
    <t>Rendimientos financieros mes de febrero de 2021</t>
  </si>
  <si>
    <t>Rendimientos financieros mes de marzo de 2021</t>
  </si>
  <si>
    <t>BANCO DAVIVIENDA CUENTA AHORRO No. 007700868958</t>
  </si>
  <si>
    <t>BANCO DAVIVIENDA CUENTA AHORRO No. 007700868933</t>
  </si>
  <si>
    <t>BANCO DAVIVIENDA CUENTA AHORRO No. 007700869055</t>
  </si>
  <si>
    <t>BANCO DAVIVIENDA CUENTA AHORRO No. 007700869022</t>
  </si>
  <si>
    <t>BANCO DAVIVIENDA CUENTA AHORRO No. 007700868941</t>
  </si>
  <si>
    <t>BANCO DAVIVIENDA CUENTA AHORRO No. 007700869063</t>
  </si>
  <si>
    <t>BANCO DAVIVIENDA CUENTA AHORRO No. 007700868966</t>
  </si>
  <si>
    <t>BANCO DAVIVIENDA CUENTA AHORRO No. 007700869014</t>
  </si>
  <si>
    <t>BANCO DAVIVIENDA CUENTA AHORRO No. 007700868974</t>
  </si>
  <si>
    <t>BANCO DAVIVIENDA CUENTA AHORRO No. 007700868990</t>
  </si>
  <si>
    <t>BANCO DAVIVIENDA CUENTA AHORRO No. 007700869089</t>
  </si>
  <si>
    <t>BANCO DAVIVIENDA CUENTA AHORRO No. 007700868982</t>
  </si>
  <si>
    <t>BANCO DAVIVIENDA CUENTA AHORRO No. 007700869097</t>
  </si>
  <si>
    <t>BANCO DAVIVIENDA CUENTA AHORRO No. 007700869105</t>
  </si>
  <si>
    <t>DETALLE DE MOVIMIENTOS BANCARIOS NO INCLUIDOS EN INFORME DE EJECUCIÓN FINANCIERA</t>
  </si>
  <si>
    <t>BANCO DAVIVIENDA CUENTA AHORRO No. 007700869113</t>
  </si>
  <si>
    <t>Nombre Adherente</t>
  </si>
  <si>
    <t>MUNICIPIO DE ITAGÜÍ</t>
  </si>
  <si>
    <t>MUNICIPIO DE GARZÓN</t>
  </si>
  <si>
    <t>DEPARTAMENTO DE SUCRE</t>
  </si>
  <si>
    <t>GRAMALOTE LIMITED</t>
  </si>
  <si>
    <t>Rendimientos financieros AL 31 DE ENERO DE 2021</t>
  </si>
  <si>
    <t>Rendimientos financieros AL 31 DE DICIEMBRE DE 2020</t>
  </si>
  <si>
    <t>FYG y Alejandro Munar</t>
  </si>
  <si>
    <t>GMF transferencias de Diciembre</t>
  </si>
  <si>
    <t>Rendimientos financieros AL 31 de diciembre de 2020</t>
  </si>
  <si>
    <t>Impuestos Diciembre y enero</t>
  </si>
  <si>
    <t xml:space="preserve">Giro Rendimientos semestrales mes de Febrero/2021 Cpte </t>
  </si>
  <si>
    <t>GMF por Rendimientos girados en el mes de febrero/2021</t>
  </si>
  <si>
    <t>GRAMALOTE COLOMBIA LIMITED</t>
  </si>
  <si>
    <t>MUNICIPIO DE ITAGUI</t>
  </si>
  <si>
    <t>SECRETARIADO NACIONAL DE PASTORIAL SOCIAL CARITAS COLOMBIANA</t>
  </si>
  <si>
    <t>Rendimientos financieros al 28 DE FEBRERO DE 2021</t>
  </si>
  <si>
    <t>GMF Transferencias Enero</t>
  </si>
  <si>
    <t>RENDIMIENTOS FINANCIEROS</t>
  </si>
  <si>
    <t>Menor valor trasladado</t>
  </si>
  <si>
    <t>Auxiliar: 800141235 - FIDUCIARIA POPULAR S A</t>
  </si>
  <si>
    <t>Cuenta Mayor: 19050301 - COMISIONES ENCARGOS FIDUCIARIOS</t>
  </si>
  <si>
    <t>Comisión de fiducia pendiente por amortizar</t>
  </si>
  <si>
    <t>GMF de impuestos girados en Febrero</t>
  </si>
  <si>
    <t>Rendimientos financieros al 31 DE MARZO DE 2021</t>
  </si>
  <si>
    <t xml:space="preserve">Evaluadores </t>
  </si>
  <si>
    <t>N/a</t>
  </si>
  <si>
    <t>MUNICIPIO DE SAMANIEGO</t>
  </si>
  <si>
    <t>JUVENTUDES - JÓVENES DEL TERRITORIO NACIONAL</t>
  </si>
  <si>
    <t>MINISTERIO DEL INTERIOR</t>
  </si>
  <si>
    <t>Diferencia corresponde a pago anticipado de la comisión fiduciaria 904-402-2655 más GMF</t>
  </si>
  <si>
    <t>TRANSFERENCIAS UNAL A FIDUCIA</t>
  </si>
  <si>
    <t>12 DE MARZO DE 2021</t>
  </si>
  <si>
    <t>TOTAL DINERO TRANSFERIDO A FIDUCIA</t>
  </si>
  <si>
    <t>Evaluadores y FYGP</t>
  </si>
  <si>
    <t>GMF Transferencias Marzo</t>
  </si>
  <si>
    <t>Rendimientos financieros AL 30 DE ABRIL DE 2021</t>
  </si>
  <si>
    <t>Rendimientos financieros al 30 DE ABRIL DE 2021</t>
  </si>
  <si>
    <t>Rendimientos financieros AL 31 DE MARZO DE 2021</t>
  </si>
  <si>
    <t>GMF comisión fiduciaria</t>
  </si>
  <si>
    <t>No. CONVOCATORIA</t>
  </si>
  <si>
    <t>No.CONTRATO COOPERACION</t>
  </si>
  <si>
    <t>NIT EMPRENDEDOR</t>
  </si>
  <si>
    <t xml:space="preserve">NOMBRE DE PROYECTO </t>
  </si>
  <si>
    <t>ID DE PROYECTO</t>
  </si>
  <si>
    <t>REGIONAL</t>
  </si>
  <si>
    <t>VR. BRUTO</t>
  </si>
  <si>
    <t>Antioquia</t>
  </si>
  <si>
    <t>Tolima</t>
  </si>
  <si>
    <t>Caldas</t>
  </si>
  <si>
    <t>Santander</t>
  </si>
  <si>
    <t>Risaralda</t>
  </si>
  <si>
    <t>Norte de Santander</t>
  </si>
  <si>
    <t>La Guajira</t>
  </si>
  <si>
    <t>APLICADO</t>
  </si>
  <si>
    <t>Impuestos Abril, marzo y enero</t>
  </si>
  <si>
    <t>GMF Transferencias Abril</t>
  </si>
  <si>
    <t>GMF impuestos pendiente por girar</t>
  </si>
  <si>
    <t>FYGP</t>
  </si>
  <si>
    <t>Mayor valor recibido</t>
  </si>
  <si>
    <t>Saldo Contable por Ejecutar</t>
  </si>
  <si>
    <t xml:space="preserve">Saldo por Ejecutar </t>
  </si>
  <si>
    <t>Unal</t>
  </si>
  <si>
    <t>Total por Ejecutar Inf. SENA</t>
  </si>
  <si>
    <t>Fidupopular</t>
  </si>
  <si>
    <t>MUNICIPIO DE MANIZALES</t>
  </si>
  <si>
    <t>UNAL</t>
  </si>
  <si>
    <t>FIDUPOPULAR</t>
  </si>
  <si>
    <t>Rendimientos financieros AL 31 DE MAYO DE 2021</t>
  </si>
  <si>
    <t>BANCO DAVIVIENDA CUENTA AHORRO No. 007700869733</t>
  </si>
  <si>
    <t>Mayor valor consignado por devolución de comisión de fiducia</t>
  </si>
  <si>
    <t>GMF CAPITAL SEMILLA</t>
  </si>
  <si>
    <t>Rendimientos financieros AL 30 DE JUNIO DE 2021</t>
  </si>
  <si>
    <t>(+) CREDITOS</t>
  </si>
  <si>
    <t>(-) DEBITOS</t>
  </si>
  <si>
    <t>GMF Transferencias Mayo</t>
  </si>
  <si>
    <t>Impuestos mayo</t>
  </si>
  <si>
    <t>Archipiélago de San Andrés</t>
  </si>
  <si>
    <t>GMF de impuestos pendientes por girar</t>
  </si>
  <si>
    <t>GMF Comisión fiduciaria</t>
  </si>
  <si>
    <t>BANCO DAVIVIENDA CUENTA AHORRO No. 007700870228</t>
  </si>
  <si>
    <t>BANCO DAVIVIENDA CUENTA AHORRO No. 007700870384</t>
  </si>
  <si>
    <t>BANCO DAVIVIENDA CUENTA AHORRO No. 007770358153</t>
  </si>
  <si>
    <t>Proyección GMF contratos de adhesión vigentes</t>
  </si>
  <si>
    <t>SALDO GMF POR GIRAR A LA FIDUCIARIA</t>
  </si>
  <si>
    <t xml:space="preserve">Giro a fiducia de GMF contratos de adhesión grupo 2 y 3 </t>
  </si>
  <si>
    <t>GMF Transferencias Junio</t>
  </si>
  <si>
    <t>Impuestos junio</t>
  </si>
  <si>
    <t>Evaluadores</t>
  </si>
  <si>
    <t>Rendimientos financieros mes de julio de 2021</t>
  </si>
  <si>
    <t>Rendimientos financieros para cubrir GMF adhesiones</t>
  </si>
  <si>
    <t>Rendimientos financieros AL 31 DE JULIO DE 2021</t>
  </si>
  <si>
    <t>DEPARTAMENTO DE NORTE DE SANTANDER</t>
  </si>
  <si>
    <t>MUNICIPIO DE LA VIRGINIA</t>
  </si>
  <si>
    <t>22 DE JULIO DE 2021 (SENA)</t>
  </si>
  <si>
    <t>Amortización facturas mayo y junio de la fiduciaria comprobantes 905 -501-95 y 96</t>
  </si>
  <si>
    <t>MUNICIPIO DE ACACÍAS</t>
  </si>
  <si>
    <t>Casanare</t>
  </si>
  <si>
    <t>EJECUCIÓN CONTRATO DE COOPERACION</t>
  </si>
  <si>
    <t>Amortización fiduciaria Julio comprobante 905-503-119</t>
  </si>
  <si>
    <t>Cuenta Mayor: 29020103 - RENDIMIENTOS –MANDATO (CONVENIOS Y CONTRATOS DE MEDIOS)</t>
  </si>
  <si>
    <t>GMF Transferencias Julio</t>
  </si>
  <si>
    <t>Rendimientos financieros mes de agosto de 2021</t>
  </si>
  <si>
    <t>TOTAL RENDIMIENTOS GENERADOS POR RECURSOS DEL FONDO DE JULIO A DICIEMBRE 2021</t>
  </si>
  <si>
    <t xml:space="preserve">Giro Rendimientos semestrales mes de Agosto/2021 </t>
  </si>
  <si>
    <t>GMF por Rendimientos girados en el mes de agosto/2021</t>
  </si>
  <si>
    <t>Rendimientos financieros AL 31 DE AGOSTO DE 2021</t>
  </si>
  <si>
    <t>BANCO BBVA CUENTA AHORRO No.0309000200048510</t>
  </si>
  <si>
    <t>BANCO BBVA CUENTA AHORRO No.0309000200048544</t>
  </si>
  <si>
    <t>Saldo de intereses para cubrir GMF de adhesion</t>
  </si>
  <si>
    <t>BANCO DE BBVA CUENTA AHORROS No. 001303090200045797</t>
  </si>
  <si>
    <t>TOTAL APORTE</t>
  </si>
  <si>
    <t>EJECUCIÓN</t>
  </si>
  <si>
    <t>% EJECUCIÓN</t>
  </si>
  <si>
    <t>GMF de egresos  9117 y 9177</t>
  </si>
  <si>
    <t>*(Ver detalle Informe de Ejecución de Adhesiones)</t>
  </si>
  <si>
    <t>EJECUCION CAPITAL  ADHESIONES</t>
  </si>
  <si>
    <t>VALOR APORTADO POR EL ENTE ADHERENTE</t>
  </si>
  <si>
    <t xml:space="preserve">PARTICIPACION APORTE ADHERENTE </t>
  </si>
  <si>
    <t>VALOR APORTADO POR SENA</t>
  </si>
  <si>
    <t xml:space="preserve">PARTICIPACION APORTE SENA </t>
  </si>
  <si>
    <t>TOTAL VALOR DE LA ADHESION</t>
  </si>
  <si>
    <t>EJECUCION ACUMULADA MES ANTERIOR</t>
  </si>
  <si>
    <t xml:space="preserve">EJECUCION MENSUAL </t>
  </si>
  <si>
    <t xml:space="preserve">TOTAL EJECUTADO CAPITAL </t>
  </si>
  <si>
    <t xml:space="preserve">CAPITAL SEMILLA - ADHESIONES </t>
  </si>
  <si>
    <t xml:space="preserve"> APORTES ADHERENTES</t>
  </si>
  <si>
    <t>EJECUCIÓN APORTE SENA (1)</t>
  </si>
  <si>
    <t xml:space="preserve">CAPITAL </t>
  </si>
  <si>
    <t>EJECUCION APORTES ADHERENTES</t>
  </si>
  <si>
    <t xml:space="preserve">EJECUCION GMF- ADHESIONES </t>
  </si>
  <si>
    <t xml:space="preserve">TOTAL GMF </t>
  </si>
  <si>
    <t>EJECUCIÓN ADHERENTES</t>
  </si>
  <si>
    <t xml:space="preserve">EJECUCIÓN SENA </t>
  </si>
  <si>
    <t>TOTAL GMF</t>
  </si>
  <si>
    <t>DETALLE EJECUCIÓN ADHERENTES</t>
  </si>
  <si>
    <t xml:space="preserve">No. CONVOCATORIA </t>
  </si>
  <si>
    <t>Valor Aporte Adherente</t>
  </si>
  <si>
    <t xml:space="preserve">EJECUCION APORTES ADHERENTES </t>
  </si>
  <si>
    <t>SALDO POR EJECUTAR EN UNAL</t>
  </si>
  <si>
    <t>SALDO TOTAL POR EJECUTAR ADHESIONES</t>
  </si>
  <si>
    <t>EJECUCIÓN MUNICIPIO DE ITAGÜÍ</t>
  </si>
  <si>
    <t xml:space="preserve">EJECUCIÓN MUNICIPIO DE TAURAMENA </t>
  </si>
  <si>
    <t>EJECUCIÓN MUNICIPIO DE GARZÓN</t>
  </si>
  <si>
    <t>Municipio de Itagüí</t>
  </si>
  <si>
    <t>Municipio de Tauramena</t>
  </si>
  <si>
    <t>Municipio de Garzón</t>
  </si>
  <si>
    <t>EJECUCIÓN MUNICIPIO DE CALDAS</t>
  </si>
  <si>
    <t>Municipio de Caldas</t>
  </si>
  <si>
    <t>(1) La ejecución correspondiente a SENA se registra con cargo a los recursos del Capital Semilla por valor de $108.935.190.000. Ver hoja Principal del Informe</t>
  </si>
  <si>
    <t xml:space="preserve">TOTAL EJECUTADO GMF </t>
  </si>
  <si>
    <t>Valor traslado a Fiducia</t>
  </si>
  <si>
    <t>Municipio de Bugalagrande</t>
  </si>
  <si>
    <t xml:space="preserve">SALDO POR EJECUTAR EN FIDUCIA </t>
  </si>
  <si>
    <t>JULIO</t>
  </si>
  <si>
    <t>AGOSTO</t>
  </si>
  <si>
    <t xml:space="preserve">RENDIMIENTOS FINANCIEROS </t>
  </si>
  <si>
    <t xml:space="preserve">Total Rendimientos Financieros </t>
  </si>
  <si>
    <t>Nombre cuenta</t>
  </si>
  <si>
    <t>SENA BBVA</t>
  </si>
  <si>
    <t xml:space="preserve">Rendimientos disponibles </t>
  </si>
  <si>
    <t>NOMBRE O RAZON SOCIAL PROVEEDOR</t>
  </si>
  <si>
    <t>17 DE SEPTIEMBRE DE 2021 (GRUPO 4)</t>
  </si>
  <si>
    <t>Rendimientos financieros mes de septiembre de 2021</t>
  </si>
  <si>
    <t>Rendimientos financieros AL 30 DE SEPTIEMBRE DE 2021</t>
  </si>
  <si>
    <t>Municipio de Carmen de Viboral</t>
  </si>
  <si>
    <t>EJECUCIÓN MUNICIPIO DE CARMEN DE VIBORAL</t>
  </si>
  <si>
    <t>EJECUCIÓN MUNICIPIO DE BUGALAGRANDE</t>
  </si>
  <si>
    <t>Giro a fiducia de GMF contratos de adhesión grupo 4</t>
  </si>
  <si>
    <t xml:space="preserve">Municipio de Villanueva </t>
  </si>
  <si>
    <t>Municipio de Yarumal</t>
  </si>
  <si>
    <t>Municipio de Planadas</t>
  </si>
  <si>
    <t>Municipio de Planeta Rica</t>
  </si>
  <si>
    <t>Municipio de Barrancabermeja</t>
  </si>
  <si>
    <t>Secretariado Nacional de Pastoral Social Caritas Colombiana</t>
  </si>
  <si>
    <t>Sociedad Minera de Cobre Quebradona S.A.S. BIC.</t>
  </si>
  <si>
    <t>Gramalote Limited</t>
  </si>
  <si>
    <t>Amortización fiduciaria Agosto comprobante 905-503-133</t>
  </si>
  <si>
    <t>DISTRITO ESPECIAL TURISTICO Y CULTURAL DE RIOHACHA</t>
  </si>
  <si>
    <t>Evaluadores, FYGP</t>
  </si>
  <si>
    <t>Impuestos Agosto</t>
  </si>
  <si>
    <t>GMF Transferencias Agosto</t>
  </si>
  <si>
    <t>GMF de los impuestos por trasladar</t>
  </si>
  <si>
    <t>CONVOCATORIA</t>
  </si>
  <si>
    <t>MUNICIPIO DE ACACIAS</t>
  </si>
  <si>
    <t>FEBRERO</t>
  </si>
  <si>
    <t>ENERO</t>
  </si>
  <si>
    <t>MARZO</t>
  </si>
  <si>
    <t>ABRIL</t>
  </si>
  <si>
    <t>MAYO</t>
  </si>
  <si>
    <t>JUNIO</t>
  </si>
  <si>
    <t>SEPTIEMBRE</t>
  </si>
  <si>
    <t>OCTUBRE</t>
  </si>
  <si>
    <t>NOVIEMBRE</t>
  </si>
  <si>
    <t>DICIEMBRE</t>
  </si>
  <si>
    <t xml:space="preserve">TOTAL RENDIMIENTOS DISPONIBLES AL </t>
  </si>
  <si>
    <t xml:space="preserve">Rendimientos financieros AL </t>
  </si>
  <si>
    <t xml:space="preserve">UNIVERSIDAD NACIONAL DE COLOMBIA
NIT.  899.999.063-3
CONTRATO INTERADMINISTRATIVO  1471299
ANEXO 6:  RENDIMIENTOS FINANCIEROS CUENTA ITAGÜÍ  
AL </t>
  </si>
  <si>
    <t xml:space="preserve">UNIVERSIDAD NACIONAL DE COLOMBIA
NIT.  899.999.063-3
CONTRATO INTERADMINISTRATIVO  1471299
ANEXO 6:  RENDIMIENTOS FINANCIEROS CUENTA VILLANUEVA  
AL </t>
  </si>
  <si>
    <t xml:space="preserve">UNIVERSIDAD NACIONAL DE COLOMBIA
NIT.  899.999.063-3
CONTRATO INTERADMINISTRATIVO  1471299
ANEXO 6:  RENDIMIENTOS FINANCIEROS CUENTA SAN JUAN DE URABÁ  
AL </t>
  </si>
  <si>
    <t xml:space="preserve">UNIVERSIDAD NACIONAL DE COLOMBIA
NIT.  899.999.063-3
CONTRATO INTERADMINISTRATIVO  1471299
ANEXO 6:  RENDIMIENTOS FINANCIEROS CUENTA YARUMAL 
AL </t>
  </si>
  <si>
    <t xml:space="preserve">UNIVERSIDAD NACIONAL DE COLOMBIA
NIT.  899.999.063-3
CONTRATO INTERADMINISTRATIVO  1471299
ANEXO 6:  RENDIMIENTOS FINANCIEROS CUENTA 
DEPARTAMENTO DE SUCRE 
AL </t>
  </si>
  <si>
    <t xml:space="preserve">UNIVERSIDAD NACIONAL DE COLOMBIA
NIT.  899.999.063-3
CONTRATO INTERADMINISTRATIVO  1471299
ANEXO 6:  RENDIMIENTOS FINANCIEROS CUENTA PLANADAS
AL </t>
  </si>
  <si>
    <t xml:space="preserve">UNIVERSIDAD NACIONAL DE COLOMBIA
NIT.  899.999.063-3
CONTRATO INTERADMINISTRATIVO  1471299
ANEXO 6:  RENDIMIENTOS FINANCIEROS CUENTA CALDAS
AL </t>
  </si>
  <si>
    <t xml:space="preserve">UNIVERSIDAD NACIONAL DE COLOMBIA
NIT.  899.999.063-3
CONTRATO INTERADMINISTRATIVO  1471299
ANEXO 6:  RENDIMIENTOS FINANCIEROS CUENTA CARMEN DE VIBORAL
AL </t>
  </si>
  <si>
    <t xml:space="preserve">UNIVERSIDAD NACIONAL DE COLOMBIA
NIT.  899.999.063-3
CONTRATO INTERADMINISTRATIVO  1471299
ANEXO 6:  RENDIMIENTOS FINANCIEROS CUENTA PLANETA RICA
AL </t>
  </si>
  <si>
    <t xml:space="preserve">UNIVERSIDAD NACIONAL DE COLOMBIA
NIT.  899.999.063-3
CONTRATO INTERADMINISTRATIVO  1471299
ANEXO 6:  RENDIMIENTOS FINANCIEROS CUENTA BARRANCABERMEJA
AL </t>
  </si>
  <si>
    <t xml:space="preserve">UNIVERSIDAD NACIONAL DE COLOMBIA
NIT.  899.999.063-3
CONTRATO INTERADMINISTRATIVO  1471299
ANEXO 6:  RENDIMIENTOS FINANCIEROS CUENTA GRAMALOTE
AL </t>
  </si>
  <si>
    <t xml:space="preserve">UNIVERSIDAD NACIONAL DE COLOMBIA
NIT.  899.999.063-3
CONTRATO INTERADMINISTRATIVO  1471299
ANEXO 6:  RENDIMIENTOS FINANCIEROS CUENTA PASTORAL SOCIAL CARITAS
AL </t>
  </si>
  <si>
    <t xml:space="preserve">UNIVERSIDAD NACIONAL DE COLOMBIA
NIT.  899.999.063-3
CONTRATO INTERADMINISTRATIVO  1471299
ANEXO 6:  RENDIMIENTOS FINANCIEROS CUENTA MINERA DE COBRE 
QUEBRADONA
AL </t>
  </si>
  <si>
    <t xml:space="preserve">UNIVERSIDAD NACIONAL DE COLOMBIA
NIT.  899.999.063-3
CONTRATO INTERADMINISTRATIVO  1471299
ANEXO 6:  RENDIMIENTOS FINANCIEROS CUENTA MINISTERIO DEL INTERIOR
AL </t>
  </si>
  <si>
    <t xml:space="preserve">UNIVERSIDAD NACIONAL DE COLOMBIA
NIT.  899.999.063-3
CONTRATO INTERADMINISTRATIVO  1471299
ANEXO 6:  RENDIMIENTOS FINANCIEROS CUENTA MUNICIPIO MANIZALES
AL </t>
  </si>
  <si>
    <t xml:space="preserve">UNIVERSIDAD NACIONAL DE COLOMBIA
NIT.  899.999.063-3
CONTRATO INTERADMINISTRATIVO  1471299
ANEXO 6:  RENDIMIENTOS FINANCIEROS CUENTA MUNICIPIO DE LA VIRGINIA
AL </t>
  </si>
  <si>
    <t xml:space="preserve">UNIVERSIDAD NACIONAL DE COLOMBIA
NIT.  899.999.063-3
CONTRATO INTERADMINISTRATIVO  1471299
ANEXO 6:  RENDIMIENTOS FINANCIEROS CUENTA MUNICIPIO DE LA ACACÍAS
AL </t>
  </si>
  <si>
    <t xml:space="preserve">UNIVERSIDAD NACIONAL DE COLOMBIA
NIT.  899.999.063-3
CONTRATO INTERADMINISTRATIVO  1471299
ANEXO 6:  RENDIMIENTOS FINANCIEROS CUENTA DISTRITO 
ESPECIAL TURISTICO Y CULTURAL DE RIOHACHA
AL </t>
  </si>
  <si>
    <t xml:space="preserve">TOTAL RENDIMIENTOS GENERADOS POR LOS RECURSOS DEL FONDO DE </t>
  </si>
  <si>
    <t xml:space="preserve">UNIVERSIDAD NACIONAL DE COLOMBIA
NIT.  899.999.063-3
CONTRATO INTERADMINISTRATIVO  1471299
ANEXO 6:  RENDIMIENTOS FINANCIEROS CUENTA GARZON 
AL </t>
  </si>
  <si>
    <t xml:space="preserve">UNIVERSIDAD NACIONAL DE COLOMBIA
NIT.  899.999.063-3
CONTRATO INTERADMINISTRATIVO  1471299
INFORME DE EJECUCION ADHESIONES 
DEL 1 AL </t>
  </si>
  <si>
    <t xml:space="preserve">UNIVERSIDAD NACIONAL DE COLOMBIA
NIT.  899.999.063-3
CONTRATO INTERADMINISTRATIVO  1471299
ANEXO 7: EJECUCION CAPITAL SEMILLA 
DEL 1 AL </t>
  </si>
  <si>
    <t xml:space="preserve">UNIVERSIDAD NACIONAL DE COLOMBIA
NIT.  899.999.063-3
CONTRATO INTERADMINISTRATIVO  1471299
ANEXO 2:  RENDIMIENTOS FINANCIEROS CUENTA SENA  
AL </t>
  </si>
  <si>
    <t xml:space="preserve">UNIVERSIDAD NACIONAL DE COLOMBIA
NIT.  899.999.063-3
CONTRATO INTERADMINISTRATIVO  1471299
ANEXO 6:  RENDIMIENTOS FINANCIEROS CUENTA BUGALAGRANDE
AL </t>
  </si>
  <si>
    <t xml:space="preserve">UNIVERSIDAD NACIONAL DE COLOMBIA
NIT.  899.999.063-3
CONTRATO INTERADMINISTRATIVO  1471299
ANEXO 6:  RENDIMIENTOS FINANCIEROS CUENTA DEPARTAMENTO DE NORTE DE SANTANDER
AL </t>
  </si>
  <si>
    <t xml:space="preserve">UNIVERSIDAD NACIONAL DE COLOMBIA
NIT.  899.999.063-3
CONTRATO INTERADMINISTRATIVO  1471299
ANEXO 4:  RELACIÓN FACTURAS CON IVA  
AL </t>
  </si>
  <si>
    <t xml:space="preserve">UNIVERSIDAD NACIONAL DE COLOMBIA
NIT.  899.999.063-3
CONTRATO INTERADMINISTRATIVO  1471299
ANEXO 3:  RELACION CORRIENTE /NO CORRIENTE SALDO POR EJECUTAR
AL </t>
  </si>
  <si>
    <t xml:space="preserve">UNIVERSIDAD NACIONAL DE COLOMBIA
NIT.  899.999.063-3
CONTRATO INTERADMINISTRATIVO  1471299
ANEXO 6:  RENDIMIENTOS FINANCIEROS CUENTA TAURAMENA 
AL </t>
  </si>
  <si>
    <t xml:space="preserve">UNIVERSIDAD NACIONAL DE COLOMBIA
NIT.  899.999.063-3
CONTRATO INTERADMINISTRATIVO  1471299
INFORME DE EJECUCION FINANCIERA No. </t>
  </si>
  <si>
    <t>Rendimientos financieros AL 31 DE OCTUBRE DE 2021</t>
  </si>
  <si>
    <t>20 DE OCTUBRE DE 2021 (GRUPO 5)</t>
  </si>
  <si>
    <t>Rendimientos financieros mes de octubre de 2021</t>
  </si>
  <si>
    <t>Giro a fiducia de GMF contratos de adhesión grupo 5</t>
  </si>
  <si>
    <t>EJECUCIÓN GRAMALOTE</t>
  </si>
  <si>
    <t>EJECUCIÓN MUNICIPIO DE BARRANCABERMEJA</t>
  </si>
  <si>
    <t>EJECUCIÓN MUNICIPIO DE YARUMAL</t>
  </si>
  <si>
    <t>EJECUCIÓN  PASTORAL SOCIAL</t>
  </si>
  <si>
    <t>EJECUCIÓN  QUEBRADONA</t>
  </si>
  <si>
    <t>Departamento de Sucre</t>
  </si>
  <si>
    <t>Amortización fiduciaria Septiembre comprobante 905-503-178</t>
  </si>
  <si>
    <t>Evaluadores y red de emprendedores</t>
  </si>
  <si>
    <t>Impuestos Septiembre</t>
  </si>
  <si>
    <t>GMF Transferencias Septiembre</t>
  </si>
  <si>
    <t># DE PROYECTO</t>
  </si>
  <si>
    <t>NIT/CC</t>
  </si>
  <si>
    <t>BENEFICIARIO</t>
  </si>
  <si>
    <t xml:space="preserve">No, DOCUMENTO A PAGAR </t>
  </si>
  <si>
    <t>No, DE CUENTA</t>
  </si>
  <si>
    <t>No. DE SOLICITUD</t>
  </si>
  <si>
    <t>FECHA OP</t>
  </si>
  <si>
    <t>VR. RTEFTE</t>
  </si>
  <si>
    <t>VR. RETEIVA</t>
  </si>
  <si>
    <t>VR. RETEICA</t>
  </si>
  <si>
    <t>VR, RETECREE</t>
  </si>
  <si>
    <t>VR, PAGADO</t>
  </si>
  <si>
    <t># ACH</t>
  </si>
  <si>
    <t>FECHA DE MOVIMIENTO</t>
  </si>
  <si>
    <t>VALOR APROBADO EN ACTA CDN</t>
  </si>
  <si>
    <t>HERAZO MERLANO JUAN CARLOS</t>
  </si>
  <si>
    <t>OSORIO RIOS VIVIANA ANDREA</t>
  </si>
  <si>
    <t>16341560521</t>
  </si>
  <si>
    <t>Gramalote Colombia Limited</t>
  </si>
  <si>
    <t>Municipio de Villanueva</t>
  </si>
  <si>
    <t>MUNICIPIO DE PLANADAS</t>
  </si>
  <si>
    <t>MUNICIPIO DE PLANETA RICA</t>
  </si>
  <si>
    <t>Secretariado Nacional De Pastoral Social Caritas Colombiana</t>
  </si>
  <si>
    <t>SECRETARIADO NACIONAL DE PASTORAL SOCIAL CARITAS COLOMBIANA</t>
  </si>
  <si>
    <t>Rendimientos financieros AL 30 DE NOVIEMBRE DE 2021</t>
  </si>
  <si>
    <t>EJECUCIÓN PLANADAS TOLIMA</t>
  </si>
  <si>
    <t>Cuenta Mayor: 29020102 - EN ADMINISTRACIÓN –MANDATO (CONVENIOS Y CONTRATOS DE MEDIOS)</t>
  </si>
  <si>
    <t>Auxiliar: 899999034 - SERVICIO NACIONAL DE APRENDIZAJE</t>
  </si>
  <si>
    <t>Rendimientos financieros mes de noviembre de 2021</t>
  </si>
  <si>
    <t>GMF Transferencias Octubre</t>
  </si>
  <si>
    <t>Impuestos Octubre 2021</t>
  </si>
  <si>
    <t>No INFORME</t>
  </si>
  <si>
    <t>No</t>
  </si>
  <si>
    <t>BUGALAGRANDE – VALLE DEL CAUCA - Primer Cierre</t>
  </si>
  <si>
    <t xml:space="preserve">TOTAL REINTEGRO </t>
  </si>
  <si>
    <t>GMF REINTEGRO</t>
  </si>
  <si>
    <t xml:space="preserve">TOTAL NETO CAPITAL </t>
  </si>
  <si>
    <t>TOTAL NETO GMF</t>
  </si>
  <si>
    <t>22 DE DICIEMBRE DE 2021 (GRUPO 6)</t>
  </si>
  <si>
    <t>Municipio de San Juan de Urabá</t>
  </si>
  <si>
    <t>Ministerio del Interior</t>
  </si>
  <si>
    <t>Municipio de Manizales</t>
  </si>
  <si>
    <t>EJECUCIÓN MUNICIPIO DE  PLANETA RICA</t>
  </si>
  <si>
    <t>EJECUCIÓN MUNICIPIO DE  VILLANUEVA</t>
  </si>
  <si>
    <t>EJECUCIÓN DEPARTAMENTO DE SUCRE</t>
  </si>
  <si>
    <t>Departamento de Sucre-2 Cierre</t>
  </si>
  <si>
    <t>Sucre</t>
  </si>
  <si>
    <t>Amortización fiduciaria Octubre comprobante 905-503-203</t>
  </si>
  <si>
    <t>Rendimientos financieros mes de diciembre de 2021</t>
  </si>
  <si>
    <t>Giro a fiducia de GMF contratos de adhesión grupo 6</t>
  </si>
  <si>
    <t>GMF Transferencias Noviembre</t>
  </si>
  <si>
    <t>TIPO DE CUENTA</t>
  </si>
  <si>
    <t>MOTIVO DE RECHAZO</t>
  </si>
  <si>
    <t>FECHA DE RECHAZO</t>
  </si>
  <si>
    <t>INTERVENTOR LÍDER</t>
  </si>
  <si>
    <t>PROF ENLACE</t>
  </si>
  <si>
    <t>04</t>
  </si>
  <si>
    <t>Paula Mendoza</t>
  </si>
  <si>
    <t>Alirio Rodriguez</t>
  </si>
  <si>
    <t>Diego Gutierres</t>
  </si>
  <si>
    <t>01</t>
  </si>
  <si>
    <t>Rendimientos financieros AL 31 DE DICIEMBRE DE 2021</t>
  </si>
  <si>
    <t>Menos</t>
  </si>
  <si>
    <t>Rendimientos reintegrados según solicitud 22/12/2021</t>
  </si>
  <si>
    <r>
      <t xml:space="preserve">[1] </t>
    </r>
    <r>
      <rPr>
        <sz val="12"/>
        <rFont val="Ancizar Sans"/>
        <family val="2"/>
      </rPr>
      <t>El valor de Contrapartida SENA por $21.844.247.198  esta incluido dentro del total de los recursos del Fondo Emprender por valor de $108.935.190.000 y hacen parte del Capital Semilla, según lo aprobado en el anexo 3 del contrato interadministrativo No.CO1 .PCCNTR. 1471299  del 23 de abril  de 2020</t>
    </r>
  </si>
  <si>
    <t>352-175-2021</t>
  </si>
  <si>
    <t>SAMPUÍ SAS</t>
  </si>
  <si>
    <t>Rendimientos financieros mes de enero de 2022</t>
  </si>
  <si>
    <t>TOTAL RENDIMIENTOS GENERADOS POR RECURSOS DEL FONDO DE ENERO A JUNIO 2022</t>
  </si>
  <si>
    <t>ABONO INTERESES GANADOS</t>
  </si>
  <si>
    <t>Amortización fiduciaria Noviembre y Diciembre comprobante 905-503-2 y 905-503-3</t>
  </si>
  <si>
    <t>Rendimientos financieros AL 31 DE ENERO DE 2022</t>
  </si>
  <si>
    <t>RONDON HERRERA OSCAR FERNANDO</t>
  </si>
  <si>
    <t>05997035927</t>
  </si>
  <si>
    <t>Quebradona (Antioquia) - 2 cierre</t>
  </si>
  <si>
    <t>DORIS CUERVO PARRA</t>
  </si>
  <si>
    <t>TP-21043-T</t>
  </si>
  <si>
    <t>GMF Transferencias Diciembre</t>
  </si>
  <si>
    <t>Impuestos, Gravamen de los impuestos, retenciones</t>
  </si>
  <si>
    <t xml:space="preserve">Giro Rendimientos semestrales mes de Febrero/2022 Cpte </t>
  </si>
  <si>
    <t>GMF por Rendimientos girados en el mes de febrero/2022</t>
  </si>
  <si>
    <t>EJECUCIÓN MINISTERIO DEL INTERIOR</t>
  </si>
  <si>
    <t>TRASLADO DE IMPUESTOS DE DICIEMBRE 2021 PROYECTO 309010025881</t>
  </si>
  <si>
    <t>Rendimientos financieros mes de febrero de 2022</t>
  </si>
  <si>
    <t>4 POR MIL</t>
  </si>
  <si>
    <t>PAGO A PROVEEDORES</t>
  </si>
  <si>
    <t>IMPUESTO DECRETO</t>
  </si>
  <si>
    <t>CARGO DOMI. 899999063</t>
  </si>
  <si>
    <t>DEVOLUCION RENDIMIENTOS</t>
  </si>
  <si>
    <t>CORCHO ROMERO ANABEL</t>
  </si>
  <si>
    <t>Municipio de Caldas (Antioquia) -3 Cierre</t>
  </si>
  <si>
    <t>ALZATE LÓPEZ CLAUDIA ELENA</t>
  </si>
  <si>
    <t>FERNÁNDEZ CEBALLOS ELIANA MARCELA</t>
  </si>
  <si>
    <t>VELILLA AVILEZ DALILA DEL ROSARIO</t>
  </si>
  <si>
    <t>GAVIRIA RIVERA JORGE IMER</t>
  </si>
  <si>
    <t>FLOREZ DIAZ HERMINSUL</t>
  </si>
  <si>
    <t>ZULUAGA MORENO MARIA ISABEL</t>
  </si>
  <si>
    <t>MAFLA CANO YULI YANED</t>
  </si>
  <si>
    <t>San Andres (Ministerio del Interior) - 1 cierre</t>
  </si>
  <si>
    <t>SILGADO MIRANDA JULIA CATALINA</t>
  </si>
  <si>
    <t>34865534681</t>
  </si>
  <si>
    <t>QUINTERO GÓMEZ GLORIA MARCELA</t>
  </si>
  <si>
    <t>65550720649</t>
  </si>
  <si>
    <t>Municipio de Carmen de Viboral (Antioquia) - 2 cierre</t>
  </si>
  <si>
    <t>Amortización fiduciaria Enero comprobante 905-503-8 y su gmf correspondiente (911-156-22)</t>
  </si>
  <si>
    <t>Rendimientos financieros AL 28 DE FEBRERO DE 2022</t>
  </si>
  <si>
    <t>Saldo Balance</t>
  </si>
  <si>
    <t>GIOVANNI FERNANDO HURTADO VANEGAS</t>
  </si>
  <si>
    <t>TP-122632-T</t>
  </si>
  <si>
    <t>Contador</t>
  </si>
  <si>
    <t>Rendimientos financieros AL 31 DE MARZO DE 2022</t>
  </si>
  <si>
    <t>30 DE MARZO DE 2022</t>
  </si>
  <si>
    <t>9 DE MARZO DE 2022 (GRUPO 7)</t>
  </si>
  <si>
    <t>Giro a fiducia de GMF contratos de adhesión grupo 7</t>
  </si>
  <si>
    <t>La Viginia</t>
  </si>
  <si>
    <t>Acacias</t>
  </si>
  <si>
    <t>Rioacha</t>
  </si>
  <si>
    <t>373-178-2021</t>
  </si>
  <si>
    <t>CAOLIN</t>
  </si>
  <si>
    <t>Gramalote (Antioquia) - 3 cierre</t>
  </si>
  <si>
    <t>Pastoral Social (Caquetá) - 2 cierre</t>
  </si>
  <si>
    <t>397-184-2021</t>
  </si>
  <si>
    <t>APICOLA SANTA LAURA</t>
  </si>
  <si>
    <t>399-184-2021</t>
  </si>
  <si>
    <t>AHUMADOS DE VALLECITOS</t>
  </si>
  <si>
    <t>Municipio de Planadas (Tolima) -3 Cierre</t>
  </si>
  <si>
    <t>Municipio de Villanueva (Casanare) - 3</t>
  </si>
  <si>
    <t>416-169-2021</t>
  </si>
  <si>
    <t xml:space="preserve">FITOCANNA GRANOS Y SEMILLAS SAS  </t>
  </si>
  <si>
    <t>439-187-2021</t>
  </si>
  <si>
    <t>RUBIOH</t>
  </si>
  <si>
    <t>445-187-2021</t>
  </si>
  <si>
    <t>THE FOOD LAB</t>
  </si>
  <si>
    <t>446-187-2021</t>
  </si>
  <si>
    <t>MAR Y ARENA</t>
  </si>
  <si>
    <t>Municipio de Manizales (Caldas) - 1 cierre</t>
  </si>
  <si>
    <t>451-188-2021</t>
  </si>
  <si>
    <t>HAPPY HOME</t>
  </si>
  <si>
    <t>EJECUCIÓN MANIZALES</t>
  </si>
  <si>
    <t>Amortización fiduciaria Enero comprobante 905-503-24</t>
  </si>
  <si>
    <t>TRASLADO DE IMPUESTOS DEL MES DE FEBRERO DE 2022 PROYECTO 309010025881</t>
  </si>
  <si>
    <t>Rendimientos financieros mes de marzo de 2022</t>
  </si>
  <si>
    <t>GMF Transferencias febrero</t>
  </si>
  <si>
    <t>SAMPUI SAS</t>
  </si>
  <si>
    <t>AHUMADOS DE VALLECITOS SAS</t>
  </si>
  <si>
    <t>61700002190</t>
  </si>
  <si>
    <t>THE FOOD LAB SAS</t>
  </si>
  <si>
    <t>RUBI-OH S.A.S.</t>
  </si>
  <si>
    <t>108900141111</t>
  </si>
  <si>
    <t>FERNANDEZ FERNANDEZ ARMANDO HADID</t>
  </si>
  <si>
    <t>855839379</t>
  </si>
  <si>
    <t>INVERSIONES SABANETA SAS</t>
  </si>
  <si>
    <t>Matrix (Fiduagraria)</t>
  </si>
  <si>
    <t>TRASLADO DE CAPITAL SEMILLA</t>
  </si>
  <si>
    <t>Devolución Reteiva Confecamaras</t>
  </si>
  <si>
    <t>Saldo Extracto</t>
  </si>
  <si>
    <t>Saldo Ext - Rendi</t>
  </si>
  <si>
    <t>Rendimientos financieros AL 30 DE ABRIL DE 2022</t>
  </si>
  <si>
    <t>7 DE ABRIL DE 2022 (GRUPO 8)</t>
  </si>
  <si>
    <t>414-169-2021</t>
  </si>
  <si>
    <t>GRANJA AVICOLA YUMBO</t>
  </si>
  <si>
    <t>Ministerio del Interior-2 cierre</t>
  </si>
  <si>
    <t>443-187-2021</t>
  </si>
  <si>
    <t>HAPPY WAFFY</t>
  </si>
  <si>
    <t>453-188-2021</t>
  </si>
  <si>
    <t>OFTALMOLOGIA VETERINARIA BIGOTES</t>
  </si>
  <si>
    <t>448-188-2021</t>
  </si>
  <si>
    <t>HOOKS</t>
  </si>
  <si>
    <t>EJECUCIÓN SAN JUAN DE URABA</t>
  </si>
  <si>
    <t>Municipio de San Juan de Urabá (Antioquia) - 2 cierre</t>
  </si>
  <si>
    <t>419-171-2021</t>
  </si>
  <si>
    <t>CENTER PLUS</t>
  </si>
  <si>
    <t>Municipio San Juan De Urabá (Antioquia)-4 Cierre</t>
  </si>
  <si>
    <t>464-171-2021</t>
  </si>
  <si>
    <t>ANGELS VANIDADES</t>
  </si>
  <si>
    <t>Giro a fiducia de GMF contratos de adhesión grupo 8</t>
  </si>
  <si>
    <t>Rendimientos financieros mes de abril de 2022</t>
  </si>
  <si>
    <t>TRASLADO GMF DE CAPITAL SEMILLA MATRIX</t>
  </si>
  <si>
    <t>914-140-22 GMF $40.000.000 de los $10.000.000.000</t>
  </si>
  <si>
    <t>GMF Transferencias marzo</t>
  </si>
  <si>
    <t>MUNICIPIO DE GARZON</t>
  </si>
  <si>
    <t>MUNICIPIO DE SAN JUAN DE URABA</t>
  </si>
  <si>
    <t>MUNICIPIO EL CARMEN DE VIBORAL</t>
  </si>
  <si>
    <t>MUNICIPIO DE BARRANCABERMEJA</t>
  </si>
  <si>
    <t>MINERA DE COBRE QUEBRADONA S.A.S BENEFICIO E INTERÉS COLECTIVO</t>
  </si>
  <si>
    <t>DEPARTAMENTO NORTE DE SANTANDER</t>
  </si>
  <si>
    <t>MAR Y ARENA SAI SAS</t>
  </si>
  <si>
    <t>DYKHOFF OROZCO BERTILDA ELENA</t>
  </si>
  <si>
    <t>MURILLO BORJA OLGA YENNY</t>
  </si>
  <si>
    <t>54977475581</t>
  </si>
  <si>
    <t>FECHA</t>
  </si>
  <si>
    <t>EMPRESA</t>
  </si>
  <si>
    <t>SECTOR DE LA ECONOMÍA</t>
  </si>
  <si>
    <t>PROGRAMA</t>
  </si>
  <si>
    <t>DEPARTAMENTO</t>
  </si>
  <si>
    <t>VALOR DESEMBOLSO</t>
  </si>
  <si>
    <t>CDN 29/03/2022</t>
  </si>
  <si>
    <t>PROPUESTA MATRIX - PLAZO (MESES)</t>
  </si>
  <si>
    <t>Rendimientos financieros mes de mayo de 2022</t>
  </si>
  <si>
    <t>QUINTERO VÁSQUEZ MARGARITA ROSA</t>
  </si>
  <si>
    <t>Ruth Rodriguez</t>
  </si>
  <si>
    <t>Municipio Itagüí (Antioquia)-3 cierre</t>
  </si>
  <si>
    <t>HQM SOLUTIONS</t>
  </si>
  <si>
    <t>HINCAPIÉ GUERRA LEIDY MARJORY</t>
  </si>
  <si>
    <t>Municipio Villanueva (Casanare)-4 cierre</t>
  </si>
  <si>
    <t xml:space="preserve">PLATOS VERDES SAS </t>
  </si>
  <si>
    <t>GONZÁLEZ ROA YAMILE</t>
  </si>
  <si>
    <t>VARGAMAR HOSTAL</t>
  </si>
  <si>
    <t>VANIDADES ANGELS</t>
  </si>
  <si>
    <t>67700001379</t>
  </si>
  <si>
    <t>ALZATE ALZATE GLORIA ESTELA</t>
  </si>
  <si>
    <t>CHEESE FINGGA</t>
  </si>
  <si>
    <t>Municipio Manizales (Caldas)-2 cierre</t>
  </si>
  <si>
    <t>NEURAL SPORTS</t>
  </si>
  <si>
    <t>ZULUAGA HENAO CATALINA</t>
  </si>
  <si>
    <t>OLIVER ARÉVALO RENÉ ALEXANDER</t>
  </si>
  <si>
    <t>HUMAN LEARNING</t>
  </si>
  <si>
    <t>Municipio La Virginia (Risaralda)-1 cierre</t>
  </si>
  <si>
    <t>TU WOK GRILL &amp; DRINKS (SARTÉN, PARRILLA Y BEBIDAS)</t>
  </si>
  <si>
    <t xml:space="preserve">PIÑA CELESTE </t>
  </si>
  <si>
    <t>RODRIGUEZ BONILLA NELLY</t>
  </si>
  <si>
    <t>03218129651</t>
  </si>
  <si>
    <t xml:space="preserve">PORCÍCOLA SAN JOSÉ  </t>
  </si>
  <si>
    <t>INVERSIONES TU WOK SAS BIC</t>
  </si>
  <si>
    <t>CAFÉ VIEJO FAROL</t>
  </si>
  <si>
    <t>PIÑA CELESTE S.A.S BIC</t>
  </si>
  <si>
    <t>Gobernación Norte de Santander -1 Cierre</t>
  </si>
  <si>
    <t>MERY SOLUCIONES</t>
  </si>
  <si>
    <t xml:space="preserve">OLIVEROS SANTISTEBAN SANDRA MILENA </t>
  </si>
  <si>
    <t>MAR</t>
  </si>
  <si>
    <t>COFFE GARDEN ( JARDIN DEL CAFE)</t>
  </si>
  <si>
    <t>MAR DESIGNS S.A.S</t>
  </si>
  <si>
    <t>MERY SOLUCIONES SAS BIC</t>
  </si>
  <si>
    <t>ORTEGA PIÑERES JULIO DAVID</t>
  </si>
  <si>
    <t>Municipio Rioacha (Guajira)- 1 Cierre</t>
  </si>
  <si>
    <t>457-167-2021</t>
  </si>
  <si>
    <t>460-169-2021</t>
  </si>
  <si>
    <t>444-187-2021</t>
  </si>
  <si>
    <t>449-188-2021</t>
  </si>
  <si>
    <t>474-188-2021</t>
  </si>
  <si>
    <t>462-171-2021</t>
  </si>
  <si>
    <t>EJECUCIÓN LA VIRGINIA</t>
  </si>
  <si>
    <t>483-189-2021</t>
  </si>
  <si>
    <t>485-189-2021</t>
  </si>
  <si>
    <t>482-189-2021</t>
  </si>
  <si>
    <t>479-189-2021</t>
  </si>
  <si>
    <t>EJECUCIÓN NORTE DE SANTANDER</t>
  </si>
  <si>
    <t>502-190-2021</t>
  </si>
  <si>
    <t>501-190-2021</t>
  </si>
  <si>
    <t>489-190-2021</t>
  </si>
  <si>
    <t>CONSTRUYO RED S A S y FYGP</t>
  </si>
  <si>
    <t>Rendimientos financieros AL 31 DE MAYO DE 2022</t>
  </si>
  <si>
    <t>4 POR MIL RENDIMIENTOS</t>
  </si>
  <si>
    <t>DESEMBOLSO EMPRENDEDORES</t>
  </si>
  <si>
    <t>RETEFUENTE</t>
  </si>
  <si>
    <t>Gramalote (Antioquia) – 4 cierre</t>
  </si>
  <si>
    <t>ECOREFUGIO ALICANTE</t>
  </si>
  <si>
    <t>417-169-2021</t>
  </si>
  <si>
    <t xml:space="preserve">POLINIZADOS SAS </t>
  </si>
  <si>
    <t>415-169-2021</t>
  </si>
  <si>
    <t>INVERSIONES AGRICOLAS VILLANUEVA</t>
  </si>
  <si>
    <t>440-187-2021</t>
  </si>
  <si>
    <t>INTEGRADORES INGENIERÍA</t>
  </si>
  <si>
    <t>468-187-2021</t>
  </si>
  <si>
    <t>FANTASTIC BEAUTY SPA</t>
  </si>
  <si>
    <t>465-187-2021</t>
  </si>
  <si>
    <t>BALI</t>
  </si>
  <si>
    <t>Municipio Manizales (Caldas) - 3 cierre</t>
  </si>
  <si>
    <t>526-188-2022</t>
  </si>
  <si>
    <t xml:space="preserve">KONCIENCIA </t>
  </si>
  <si>
    <t>499-190-2021</t>
  </si>
  <si>
    <t>INDUSTRIAS CREAZZO</t>
  </si>
  <si>
    <t>503-190-2021</t>
  </si>
  <si>
    <t>MUSICAL SHAPE</t>
  </si>
  <si>
    <t>EJECUCIÓN ACACIAS</t>
  </si>
  <si>
    <t>Municipio Acacias (Meta)– 1 Cierre</t>
  </si>
  <si>
    <t>510-191-2021</t>
  </si>
  <si>
    <t xml:space="preserve">AL NATURAL, VIVE SANO. </t>
  </si>
  <si>
    <t>Meta</t>
  </si>
  <si>
    <t>509-191-2021</t>
  </si>
  <si>
    <t>PALO DE MANGO</t>
  </si>
  <si>
    <t>Jefe Seccion Contabilidad Sede Bogotá</t>
  </si>
  <si>
    <t>NOMBRE CONVOCATORIA</t>
  </si>
  <si>
    <t>ARCHBOLD ROBINSON JAVIER LIBOTIO</t>
  </si>
  <si>
    <t>VILLALBA DIAZ YALENIS</t>
  </si>
  <si>
    <t>ARENAS GUERRERO CARMEN TATIANA</t>
  </si>
  <si>
    <t>CAMARGO SOLUCIONES SAS BIC</t>
  </si>
  <si>
    <t>NAVAS MURILLO CARLOS JAVIER</t>
  </si>
  <si>
    <t>89024692419</t>
  </si>
  <si>
    <t>89069896139</t>
  </si>
  <si>
    <t>TRASLADO DE IMPUESTOS ABRIL 2022 PROYECTO 309010025881</t>
  </si>
  <si>
    <t>TRASLADO IMPUESTOS MAYO 2022 PROYECTO 309010025881</t>
  </si>
  <si>
    <t>4 POR MIL DESEMBOLSOS</t>
  </si>
  <si>
    <t>INTERESES LIQUIDADOS</t>
  </si>
  <si>
    <t>BANCO DE OCCIDENTE CUENTA AHORRO No. 256-12770-5</t>
  </si>
  <si>
    <t>GIOVANNI FERNANDO HURTADO V.</t>
  </si>
  <si>
    <t>Rendimientos financieros AL 30 DE JUNIO DE 2022</t>
  </si>
  <si>
    <t>Rendimientos financieros mes de junio de 2022</t>
  </si>
  <si>
    <t>Amortización fiduciaria Abril comprobante 905-503-90 y su gmf correspondiente (911-156-57)</t>
  </si>
  <si>
    <t>TRASLADO DE IMPUESTOS DEL MES DE MARZO DE 2022 PROYECTO 309010025881</t>
  </si>
  <si>
    <t>SANDRA SOLER RETEICA</t>
  </si>
  <si>
    <t>29 DE JUNIO DE 2022</t>
  </si>
  <si>
    <t>4. PLAN OPERATIVO - CAPITAL SEMILLA MATRIX CRECER</t>
  </si>
  <si>
    <t>GMF TRANSFERENCIA UNAL A FIDUCIA MATRIX</t>
  </si>
  <si>
    <t>EJECUCIÓN ACUMULADA PLAN SEMILLA MES DE ABRIL DE 2022</t>
  </si>
  <si>
    <t>EJECUCIÓN ACUMULADA PLAN SEMILLA MES DE MAYO DE 2022</t>
  </si>
  <si>
    <t>GIOVANNI FERNANDO HURTADO V</t>
  </si>
  <si>
    <t>EJECUCIÓN ACUMULADA PLAN SEMILLA MES DE JUNIO DE 2022</t>
  </si>
  <si>
    <t>Amortizacion fiduciaria Mayo y Junio (15,027,327)comprobantes 905-503-90, 905-503-116 y sus gmf correspondientes mas 40,000,000 del GMF del traslado de los $10,000,000,000</t>
  </si>
  <si>
    <t>Municipio De Itagui</t>
  </si>
  <si>
    <t>Municipio De Tauramena</t>
  </si>
  <si>
    <t>Municipio De Garzon</t>
  </si>
  <si>
    <t>Municipio De Caldas</t>
  </si>
  <si>
    <t>Municipio De Bugalagrande</t>
  </si>
  <si>
    <t>Municipio El Carmen De Viboral</t>
  </si>
  <si>
    <t>Municipio De Villanueva</t>
  </si>
  <si>
    <t>Municipio De Yarumal</t>
  </si>
  <si>
    <t>Municipio De Planadas</t>
  </si>
  <si>
    <t>Municipio De Planeta Rica</t>
  </si>
  <si>
    <t>Municipio De Barrancabermeja</t>
  </si>
  <si>
    <t>Minera De Cobre Quebradona S.A.S Beneficio E Interés Colectivo</t>
  </si>
  <si>
    <t>Departamento De Sucre</t>
  </si>
  <si>
    <t>Municipio De San Juan De Uraba</t>
  </si>
  <si>
    <t>Ministerio Del Interior</t>
  </si>
  <si>
    <t>Municipio De Manizales</t>
  </si>
  <si>
    <t>Municipio De La Virginia</t>
  </si>
  <si>
    <t>Departamento Norte De Santander</t>
  </si>
  <si>
    <t>Municipio De Acacias</t>
  </si>
  <si>
    <t>Distrito Especial Turistico Y Cultural De Riohacha</t>
  </si>
  <si>
    <t>pendientes sept/21</t>
  </si>
  <si>
    <t>VALOR GMF TRASLADO MATRIX</t>
  </si>
  <si>
    <t>VALOR TRASLADADO MATRIX</t>
  </si>
  <si>
    <t>DESEMBOLSOS</t>
  </si>
  <si>
    <t>SALDO EN CUENTA</t>
  </si>
  <si>
    <t>PRUEBA EXTRACTO</t>
  </si>
  <si>
    <t>SALDO TOMADO DE CAPITAL</t>
  </si>
  <si>
    <t>RUBRO</t>
  </si>
  <si>
    <t>PLAN OPERATIVO - GMF</t>
  </si>
  <si>
    <t>PLAN OPERATIVO - CAPITAL SEMILLA</t>
  </si>
  <si>
    <t>CUENTA DE AHORRO BANCO DE OCCIDENTE</t>
  </si>
  <si>
    <t>MATRIX -COMUNICACIÓN DIRECTA</t>
  </si>
  <si>
    <t>VALORES</t>
  </si>
  <si>
    <t>61700002771</t>
  </si>
  <si>
    <t>ESTILO´S LENCERIA</t>
  </si>
  <si>
    <t>BALI SMOOTHIES &amp; JUICES S.A.S.</t>
  </si>
  <si>
    <t>VERGEL MIRIAM</t>
  </si>
  <si>
    <t>AL NATURAL VIVE SANO SAS</t>
  </si>
  <si>
    <t>HOOKS S.A.S</t>
  </si>
  <si>
    <t>INTEGRADORES INGENIERIA GAHO</t>
  </si>
  <si>
    <t>MIEL MEILE</t>
  </si>
  <si>
    <t>LEGUIZAMO PARDO SANDRA IBETTE</t>
  </si>
  <si>
    <t>52600010328</t>
  </si>
  <si>
    <t>89000004763</t>
  </si>
  <si>
    <t>CONECTIC PLUS SAS</t>
  </si>
  <si>
    <t>PINZON DIAZ MARIA LUZ MILA</t>
  </si>
  <si>
    <t>126360009016</t>
  </si>
  <si>
    <t>LA TIERRA PROMETIDA</t>
  </si>
  <si>
    <t>864743195</t>
  </si>
  <si>
    <t>Municipio Acacías (Meta) - 2 Cierre</t>
  </si>
  <si>
    <t>08208560647</t>
  </si>
  <si>
    <t>KONCIENCIA ECOSMETICA S.A.S</t>
  </si>
  <si>
    <t>07000002851</t>
  </si>
  <si>
    <t>D PELOS</t>
  </si>
  <si>
    <t>AMAN</t>
  </si>
  <si>
    <t>JUAN RAICES SAS</t>
  </si>
  <si>
    <t>066300111334</t>
  </si>
  <si>
    <t>ANGEL FLORES Y DETALLES</t>
  </si>
  <si>
    <t>ECOTRANSFORMADORA DE URABÁ</t>
  </si>
  <si>
    <t>ECOTRANSFORMADORA DE URABA SAS</t>
  </si>
  <si>
    <t>54900001892</t>
  </si>
  <si>
    <t>Municipio La Virginia (Risaralda) - 2 cierre</t>
  </si>
  <si>
    <t>TIENDA DE CAFE PASION COFFEE</t>
  </si>
  <si>
    <t>Rendimientos financieros AL 31 DE JULIO DE 2022</t>
  </si>
  <si>
    <t>EJECUCIÓN ACUMULADA PLAN SEMILLA MES DE JULIO DE 2022</t>
  </si>
  <si>
    <t>365-177-2021</t>
  </si>
  <si>
    <t>418-171-2021</t>
  </si>
  <si>
    <t>529-189-2022</t>
  </si>
  <si>
    <t>494-190-2021</t>
  </si>
  <si>
    <t>511-191-2021</t>
  </si>
  <si>
    <t>532-191-2022</t>
  </si>
  <si>
    <t>520-192-2021</t>
  </si>
  <si>
    <t>Rendimientos financieros mes de julio de 2022</t>
  </si>
  <si>
    <t>TRASLADO IMPUESTOS JUNIO 2022 PROYECTO 309010025881</t>
  </si>
  <si>
    <t>CONSTRUYO RED S A S y AMAYA PEREZ SANDRA MARIANA</t>
  </si>
  <si>
    <t xml:space="preserve">Giro Rendimientos semestrales mes de Julio/2022 Cpte </t>
  </si>
  <si>
    <t>GMF por Rendimientos girados en el mes de julio/2022</t>
  </si>
  <si>
    <t>TOTAL RENDIMIENTOS GENERADOS POR RECURSOS DEL FONDO DE JULIO A DICIEMBRE DE 2022</t>
  </si>
  <si>
    <t>Amortizacion fiduciaria Julio (6,180,888) comprobante 905-503-181 y su gmf correspondiente</t>
  </si>
  <si>
    <t>diferencia</t>
  </si>
  <si>
    <r>
      <t xml:space="preserve">3. PLAN OPERATIVO - CAPITAL SEMILLA </t>
    </r>
    <r>
      <rPr>
        <b/>
        <sz val="12"/>
        <color indexed="10"/>
        <rFont val="Ancizar Sans"/>
        <family val="2"/>
      </rPr>
      <t>CREAR</t>
    </r>
    <r>
      <rPr>
        <b/>
        <sz val="12"/>
        <color indexed="54"/>
        <rFont val="Ancizar Sans"/>
        <family val="2"/>
      </rPr>
      <t xml:space="preserve"> (FIDUCIA)</t>
    </r>
  </si>
  <si>
    <t>EJECUCIÓN ACUMULADA PLAN SEMILLA MES DE AGOSTO DE 2022</t>
  </si>
  <si>
    <t>31 DE AGOSTO DE 2022</t>
  </si>
  <si>
    <t>Interés Ganados cuenta ahorros BBVA agosto 2022</t>
  </si>
  <si>
    <t>BIKE AND ADVENTURE COLOMBIA</t>
  </si>
  <si>
    <t>007095227</t>
  </si>
  <si>
    <t>540253200</t>
  </si>
  <si>
    <t>NORT YURT</t>
  </si>
  <si>
    <t>VILLAMIZAR RUBIO JOSE ALFREDO</t>
  </si>
  <si>
    <t>0550488400378359</t>
  </si>
  <si>
    <t>03008874789</t>
  </si>
  <si>
    <t>LINGUA SHAPERS - TRAINING &amp; TESTING CENTER</t>
  </si>
  <si>
    <t>ALZATE GÓMEZ ALEJANDRA</t>
  </si>
  <si>
    <t>02448215817</t>
  </si>
  <si>
    <t>INDUSTRIAS COANA</t>
  </si>
  <si>
    <t>CAROL PIZZAS</t>
  </si>
  <si>
    <t>COME RICO ALFA SAS</t>
  </si>
  <si>
    <t>73900000715</t>
  </si>
  <si>
    <t>08859501282</t>
  </si>
  <si>
    <t>31800001887</t>
  </si>
  <si>
    <t>WALENA HOSTEL</t>
  </si>
  <si>
    <t>WALENA HOTEL S.A.S</t>
  </si>
  <si>
    <t>52600002470</t>
  </si>
  <si>
    <t>128300104790</t>
  </si>
  <si>
    <t>37300001449</t>
  </si>
  <si>
    <t>24113339802</t>
  </si>
  <si>
    <t>DULCE PATILLA</t>
  </si>
  <si>
    <t>APALAANCHI PESCADOS &amp; MARISCOS SAS</t>
  </si>
  <si>
    <t>55000001566</t>
  </si>
  <si>
    <t>49700003922</t>
  </si>
  <si>
    <t>323477307</t>
  </si>
  <si>
    <t>Rendimientos financieros AL 31 DE AGOSTO DE 2022</t>
  </si>
  <si>
    <t>Rendimientos financieros mes de agosto de 2022</t>
  </si>
  <si>
    <t>CONSTRUYO RED S A S y TORRES VIVAS ANDRES ORLANDO</t>
  </si>
  <si>
    <t>435-187-2021</t>
  </si>
  <si>
    <t>463-171-2021</t>
  </si>
  <si>
    <t>480-189-2021</t>
  </si>
  <si>
    <t>497-190-2021</t>
  </si>
  <si>
    <t>536-191-2022</t>
  </si>
  <si>
    <t>513-192-2021</t>
  </si>
  <si>
    <t>521-192-2021</t>
  </si>
  <si>
    <t>394-184-2021</t>
  </si>
  <si>
    <t xml:space="preserve">amortizacion fiduciaria agosto (6,270,847) comprobante 905-503-274 y su gmf correspondiente y el pago anticipado de la comision fiduciaria según comprobante 904-402-7394 (48,445,882) su gmf correspondiente </t>
  </si>
  <si>
    <t>RESUMEN MOVIMIENTO A AGOSTO 2022</t>
  </si>
  <si>
    <t>RETEFUENTE RENDIMIENTOS</t>
  </si>
  <si>
    <t>14 DE SEPTIEMBRE DE 2022</t>
  </si>
  <si>
    <t>EJECUCIÓN ACUMULADA PLAN SEMILLA MES DE SEPTIEMBRE DE 2022</t>
  </si>
  <si>
    <t>Este gasto de $160.000.000 pertenece al Gravamen causado por la transferencia realizada por la Universidad Nacional a Fiduciaria Agraria- Matrix en los meses de marzo, junio, agosto y septiembre. El GMF generado por el desembolso de los recursos a los emprendedores será compensado por los rendimientos financieros generados en la cuenta bancaria del Banco de Occidente donde se trasladaron los $40.000.000.000</t>
  </si>
  <si>
    <t>400-184-2021</t>
  </si>
  <si>
    <t>SAYFRE</t>
  </si>
  <si>
    <t>527-188-2022</t>
  </si>
  <si>
    <t>GESNOM, SOLUCIÓN INTEGRAL</t>
  </si>
  <si>
    <t>505-190-2021</t>
  </si>
  <si>
    <t xml:space="preserve">SU CAFE </t>
  </si>
  <si>
    <t>498-190-2021</t>
  </si>
  <si>
    <t>NOCA ARTE MANUAL</t>
  </si>
  <si>
    <t>506-191-2021</t>
  </si>
  <si>
    <t>TIPSCO - PLATAFORMA - DIGITAL.</t>
  </si>
  <si>
    <t>538-191-2022</t>
  </si>
  <si>
    <t>LLANOGALLETA...</t>
  </si>
  <si>
    <t>522-192-2021</t>
  </si>
  <si>
    <t>MALECON CABAÑAS</t>
  </si>
  <si>
    <t>ejecucion a septiembre</t>
  </si>
  <si>
    <t>Interés Ganados cuenta ahorros BBVA septiembre 2022</t>
  </si>
  <si>
    <t>Rendimientos financieros mes de septiembre de 2022</t>
  </si>
  <si>
    <t>Rendimientos financieros AL 30 DE SEPTIEMBRE DE 2022</t>
  </si>
  <si>
    <t>433-185-2021</t>
  </si>
  <si>
    <t>524-185-2022</t>
  </si>
  <si>
    <t>TIPSCO COLOMBIA SAS</t>
  </si>
  <si>
    <t>89000005103</t>
  </si>
  <si>
    <t>CENTRO VETERINARIO BIGOTES</t>
  </si>
  <si>
    <t>07000002491</t>
  </si>
  <si>
    <t>BRITO SOTO MARICARMEN</t>
  </si>
  <si>
    <t>THINK IN</t>
  </si>
  <si>
    <t>SAYFRE SAS</t>
  </si>
  <si>
    <t>413932033669</t>
  </si>
  <si>
    <t>864064074</t>
  </si>
  <si>
    <t>VILLAMIZAR RUBIO ROSA HAYDE</t>
  </si>
  <si>
    <t>306615220</t>
  </si>
  <si>
    <t>MUSICAL SHAPE SAS</t>
  </si>
  <si>
    <t>82400004346</t>
  </si>
  <si>
    <t>CENTRO INTEGRAL DE ATENCION CAPILAR DPELOS</t>
  </si>
  <si>
    <t>530578525</t>
  </si>
  <si>
    <t>GARCIA PATERNINA NARDELA</t>
  </si>
  <si>
    <t>013180022095</t>
  </si>
  <si>
    <t>09100006203</t>
  </si>
  <si>
    <t>TOSTADORA Y COMERCIALIZADORA DE CAFE TOSTADO Y MOLIDO SAN CALIXTO S.A.S</t>
  </si>
  <si>
    <t>451723001260</t>
  </si>
  <si>
    <t>GESNOM SAS</t>
  </si>
  <si>
    <t>108900161523</t>
  </si>
  <si>
    <t>GARCIA GARCIA LUZ ELENA</t>
  </si>
  <si>
    <t>05920685651</t>
  </si>
  <si>
    <t>BATISTA MEJIA OLIMPO JAVIER</t>
  </si>
  <si>
    <t>349717947</t>
  </si>
  <si>
    <t>AMAN SAS</t>
  </si>
  <si>
    <t>29200002359</t>
  </si>
  <si>
    <t>PALLOMARO S.A.</t>
  </si>
  <si>
    <t>TRASLADO IMPUESTOS JULIO Y AGOSTO 2022 PROYECTO 309010025881</t>
  </si>
  <si>
    <t>Interés Ganados cuenta ahorros BBVA julio 2022</t>
  </si>
  <si>
    <t>EJECUCIÓN ACUMULADA PLAN SEMILLA MES DE OCTUBRE DE 2022</t>
  </si>
  <si>
    <t>434-185-2021</t>
  </si>
  <si>
    <t>CISNES DISEÑO Y CONFECCIÓN</t>
  </si>
  <si>
    <t>413-169-2021</t>
  </si>
  <si>
    <t>CONEXIÓN MEDIOS SAS</t>
  </si>
  <si>
    <t>477-188-2021</t>
  </si>
  <si>
    <t>MANILA CERVEZA ARTESANAL DE FRUTAS</t>
  </si>
  <si>
    <t>420-171-2021</t>
  </si>
  <si>
    <t>PORCIURABA</t>
  </si>
  <si>
    <t>534-191-2022</t>
  </si>
  <si>
    <t>DELIPEZ DEL LLANO</t>
  </si>
  <si>
    <t>530-191-2022</t>
  </si>
  <si>
    <t xml:space="preserve">EXÓTICOS DE ACACIAS S.A.S </t>
  </si>
  <si>
    <t>531-191-2022</t>
  </si>
  <si>
    <t>TRÓPICOS DE ACACIAS</t>
  </si>
  <si>
    <t>516-192-2021</t>
  </si>
  <si>
    <t>PRODUCTORA OVINO CAPRINO BOSQUE SECO S.A.S.</t>
  </si>
  <si>
    <t>FIDUCIA</t>
  </si>
  <si>
    <t>CON</t>
  </si>
  <si>
    <t xml:space="preserve">amortizacion fiduciaria septiembre (5,526,691) comprobante 905-503-371 y su gmf correspondiente; amortizacion fiduciaria octubre (4,468,064) comprobante 905-503-385 y su gmf correspondiente y el pago </t>
  </si>
  <si>
    <t>Rendimientos financieros mes de octubre de 2022</t>
  </si>
  <si>
    <t>EDUCACION 21 CONSULTORES S.A.S.</t>
  </si>
  <si>
    <t>266000334067</t>
  </si>
  <si>
    <t>APÌCOLA SANTA LAURA</t>
  </si>
  <si>
    <t>37600001093</t>
  </si>
  <si>
    <t>COFFEEMANIA GROUP SAS</t>
  </si>
  <si>
    <t>128300105581</t>
  </si>
  <si>
    <t>34800002387</t>
  </si>
  <si>
    <t>06431733901</t>
  </si>
  <si>
    <t>34800002179</t>
  </si>
  <si>
    <t>CHESSE FINGA SAS</t>
  </si>
  <si>
    <t>34800002328</t>
  </si>
  <si>
    <t>ROJAS GONZÁLEZ OLGA LUCIA</t>
  </si>
  <si>
    <t>72718157430</t>
  </si>
  <si>
    <t>346002272</t>
  </si>
  <si>
    <t>34800002612</t>
  </si>
  <si>
    <t>INMOBILIARIA TONCHALA SAS</t>
  </si>
  <si>
    <t>21500180852</t>
  </si>
  <si>
    <t>CONEXION MEDIOS SAS</t>
  </si>
  <si>
    <t>30500001193</t>
  </si>
  <si>
    <t>30500001179</t>
  </si>
  <si>
    <t>LOAIZA SALGADO MARIA CAMILA</t>
  </si>
  <si>
    <t>03052205617</t>
  </si>
  <si>
    <t>ESTILO´S LENCERÍA</t>
  </si>
  <si>
    <t>31800001854</t>
  </si>
  <si>
    <t>APALAANCHI PESCADOS &amp; MARISCOS SAS ZOMAC</t>
  </si>
  <si>
    <t>52600002444</t>
  </si>
  <si>
    <t>DELIPEZ DEL LLANO SAS</t>
  </si>
  <si>
    <t>89000004986</t>
  </si>
  <si>
    <t>CAMARGO TORRES BLANCA NELCY</t>
  </si>
  <si>
    <t>646578526</t>
  </si>
  <si>
    <t>PALO DE MANGO AJ SAS</t>
  </si>
  <si>
    <t>108900153488</t>
  </si>
  <si>
    <t>NORT YURT SAS</t>
  </si>
  <si>
    <t>08800007605</t>
  </si>
  <si>
    <t>PORCI URABA SAS</t>
  </si>
  <si>
    <t>67700001200</t>
  </si>
  <si>
    <t>NOCA S.A.S</t>
  </si>
  <si>
    <t>49700004554</t>
  </si>
  <si>
    <t>GONZALEZ FLOREZ ANA MILENA</t>
  </si>
  <si>
    <t>PORCICOLA SAN JOSÉ LV S.A.S.</t>
  </si>
  <si>
    <t>72500003411</t>
  </si>
  <si>
    <t>INDUSTRIAS COANA SAS</t>
  </si>
  <si>
    <t>37600001072</t>
  </si>
  <si>
    <t>MARIN BEDOYA ANDRES MAURICIO</t>
  </si>
  <si>
    <t>24055258603</t>
  </si>
  <si>
    <t>108900140816</t>
  </si>
  <si>
    <t>CISNES COLOMBIA SAS</t>
  </si>
  <si>
    <t>00100004656</t>
  </si>
  <si>
    <t>GRANJA AVICOLA YUMBO ZOMAC SAS</t>
  </si>
  <si>
    <t>0950000200364646</t>
  </si>
  <si>
    <t>Interés Ganados cuenta ahorros BBVA octubre 2022</t>
  </si>
  <si>
    <t>Construyo red oct 2022</t>
  </si>
  <si>
    <t>Rendimientos financieros AL 31 DE OCTUBRE DE 2022</t>
  </si>
  <si>
    <t>FIDUCIARIA POPULAR S.A.</t>
  </si>
  <si>
    <t>DANIEL SALCEDO</t>
  </si>
  <si>
    <t>Coordinador Gestión Tributaria</t>
  </si>
  <si>
    <t>DEVOLUCION DE RECURSOS</t>
  </si>
  <si>
    <t>Giro a fiducia de GMF contratos de adhesión grupo 9 y 10</t>
  </si>
  <si>
    <t>falta activacion de cuenta de acacias</t>
  </si>
  <si>
    <t>FIDUCIARIA POPULAR</t>
  </si>
  <si>
    <t>EJECUCIÓN ACUMULADA PLAN SEMILLA MES DE NOVIEMBRE DE 2022</t>
  </si>
  <si>
    <t>431-185-2021</t>
  </si>
  <si>
    <t>AREPAS KMY</t>
  </si>
  <si>
    <t>455-188-2021</t>
  </si>
  <si>
    <t>TURISMO DE NATURALEZA Y CULTURA  CASA GRANDE</t>
  </si>
  <si>
    <t>528-189-2022</t>
  </si>
  <si>
    <t>CERVECERÍA ARTESANAL 2 RIOS</t>
  </si>
  <si>
    <t>488-190-2021</t>
  </si>
  <si>
    <t>CAFE VILLA CELINA SAS</t>
  </si>
  <si>
    <t>508-191-2021</t>
  </si>
  <si>
    <t>APIARIO YERBABUENA</t>
  </si>
  <si>
    <t>Amortizacion fiduciaria noviembre (4,468,064) comprobante 905-503-440 y su gmf correspondiente</t>
  </si>
  <si>
    <t>Rendimientos financieros mes de noviembre de 2022</t>
  </si>
  <si>
    <t>Rendimientos financieros AL 30 DE NOVIEMBRE DE 2022</t>
  </si>
  <si>
    <t>Interés Ganados cuenta ahorros BBVA noviembre 2022</t>
  </si>
  <si>
    <t>CONSTRUYO RED S A S</t>
  </si>
  <si>
    <t xml:space="preserve">FYGP Y SANDRA SOLER </t>
  </si>
  <si>
    <t>varios nov 2022</t>
  </si>
  <si>
    <t>TOTAL RENDIMIENTOS GENERADOS POR LOS RECURSOS DEL FONDO A NOVIEMBRE DE 2022</t>
  </si>
  <si>
    <t>.</t>
  </si>
  <si>
    <t>EJECUCIÓN RIOHACHA</t>
  </si>
  <si>
    <t>HAPPY WAFFY SAI SAS</t>
  </si>
  <si>
    <t>34800002319</t>
  </si>
  <si>
    <t>GONZALEZ PARRA ALEJANDRA</t>
  </si>
  <si>
    <t>91211014437</t>
  </si>
  <si>
    <t>CASTELLANOS GARCIA VICTOR GABRIEL</t>
  </si>
  <si>
    <t>951871602</t>
  </si>
  <si>
    <t>758175954</t>
  </si>
  <si>
    <t>TURISMO ECO CASA GRANDE SAS</t>
  </si>
  <si>
    <t>05900005673</t>
  </si>
  <si>
    <t>APIARIO YERBABUENA SAS</t>
  </si>
  <si>
    <t>108900158271</t>
  </si>
  <si>
    <t>FANTASTIC BEAUTY SPA SAS BIC</t>
  </si>
  <si>
    <t>381100001878</t>
  </si>
  <si>
    <t>09100005192</t>
  </si>
  <si>
    <t>VARGAS GONZALEZ GLORIA YORIEN</t>
  </si>
  <si>
    <t>89034812609</t>
  </si>
  <si>
    <t>HENAO BEDOYA YAMID ALEXANDER</t>
  </si>
  <si>
    <t>54937131677</t>
  </si>
  <si>
    <t>HARVEY JAMES LIZBETH SULAY</t>
  </si>
  <si>
    <t>34897415871</t>
  </si>
  <si>
    <t>CREAZZO M&amp;A SAS</t>
  </si>
  <si>
    <t>49700003882</t>
  </si>
  <si>
    <t>HUMAN LEARNING S.A.S</t>
  </si>
  <si>
    <t>05900004880</t>
  </si>
  <si>
    <t>VERA DAVILA NOELIA ALEJANDRA DEL ROSARIO</t>
  </si>
  <si>
    <t>91200784974</t>
  </si>
  <si>
    <t>VELEZ AGUIRRE YALI AUDELI</t>
  </si>
  <si>
    <t>72383524238</t>
  </si>
  <si>
    <t>0020918012</t>
  </si>
  <si>
    <t>68009984937</t>
  </si>
  <si>
    <t>COOPERATIVA AGROMULTIACTIVA EL COSECHERO JERICO</t>
  </si>
  <si>
    <t>000229016910</t>
  </si>
  <si>
    <t>Devoluciones por parte de la fiducia</t>
  </si>
  <si>
    <t>TOTAL EJECUTADO AL 31 DE DICIEMBRE DE 2022</t>
  </si>
  <si>
    <t>CIMARRON GOURMET</t>
  </si>
  <si>
    <t>PRIORITY LUDIC CENTER S.A.S</t>
  </si>
  <si>
    <t>266000314432</t>
  </si>
  <si>
    <t>PALACIO SUAREZ JUANA</t>
  </si>
  <si>
    <t>036300689670</t>
  </si>
  <si>
    <t>LLORENTE CUENCA LENNY JHOANNA</t>
  </si>
  <si>
    <t>24304067108</t>
  </si>
  <si>
    <t>TAMAYO PALACIO WILSON ANDRES</t>
  </si>
  <si>
    <t>34487433090</t>
  </si>
  <si>
    <t>Municipio de Yarumal (Antioquia) - 1 cierre</t>
  </si>
  <si>
    <t>BANAMOTOS SA</t>
  </si>
  <si>
    <t>02116244458</t>
  </si>
  <si>
    <t>LIGIA AMPARO ROJAS GIL</t>
  </si>
  <si>
    <t>55386935431</t>
  </si>
  <si>
    <t>Municipio San Juan De Urabá (Antioquia)-3 cierre</t>
  </si>
  <si>
    <t>P@UT STUDIOS</t>
  </si>
  <si>
    <t>P@UT STUDIOS S.A.S</t>
  </si>
  <si>
    <t>TROPICOS DE ACACIAS SAS</t>
  </si>
  <si>
    <t>89000005269</t>
  </si>
  <si>
    <t>CÉSPEDES BAHAMON PILAR CRISTINA</t>
  </si>
  <si>
    <t>450260006645</t>
  </si>
  <si>
    <t>GARCIA LAVERDE MARILIN NATALIA</t>
  </si>
  <si>
    <t>07900058777</t>
  </si>
  <si>
    <t>AREPAS KMY SAS</t>
  </si>
  <si>
    <t>16332525135</t>
  </si>
  <si>
    <t>CERVECERIA ARTESANAL 2 RIOS SAS</t>
  </si>
  <si>
    <t>27000004647</t>
  </si>
  <si>
    <t>Municipio de Planeta Rica (Córdoba) - 2 cierre</t>
  </si>
  <si>
    <t>HAPPY HOME EDUCATION S.A.S</t>
  </si>
  <si>
    <t>108900137697</t>
  </si>
  <si>
    <t>CARDONA CRISTIAN CAMILO</t>
  </si>
  <si>
    <t>61482399796</t>
  </si>
  <si>
    <t>GALERIA CAFE LIBROS</t>
  </si>
  <si>
    <t>EXOTICOS DE ACACIAS SAS</t>
  </si>
  <si>
    <t>89000005271</t>
  </si>
  <si>
    <t>EL SEÑOR CAMPO S.A.S</t>
  </si>
  <si>
    <t>KAOLIN SAS</t>
  </si>
  <si>
    <t>55600001581</t>
  </si>
  <si>
    <t>JIMENEZ RIVERA JUAN DAVID</t>
  </si>
  <si>
    <t>00981154291</t>
  </si>
  <si>
    <t>NEURAL SPORTS SAS</t>
  </si>
  <si>
    <t>37300001664</t>
  </si>
  <si>
    <t>SANCHEZ TORRES CLAUDIA LORENA</t>
  </si>
  <si>
    <t>36593484569</t>
  </si>
  <si>
    <t>BIOSOAP</t>
  </si>
  <si>
    <t>BIO SOAP S.A.S</t>
  </si>
  <si>
    <t>50300002252</t>
  </si>
  <si>
    <t>DEPOSITO ABO S.A.S</t>
  </si>
  <si>
    <t>CANNATE</t>
  </si>
  <si>
    <t>ECOSOS</t>
  </si>
  <si>
    <t>10012548660</t>
  </si>
  <si>
    <t>CUBO</t>
  </si>
  <si>
    <t>ANGULO PATERNINA JHON MARIO</t>
  </si>
  <si>
    <t>33185042397</t>
  </si>
  <si>
    <t>EJECUCIÓN ACUMULADA PLAN SEMILLA MES DE DICIEMBRE DE 2022</t>
  </si>
  <si>
    <t>429-185-2021</t>
  </si>
  <si>
    <t>430-185-2021</t>
  </si>
  <si>
    <t>432-185-2021</t>
  </si>
  <si>
    <t>301-172-2021</t>
  </si>
  <si>
    <t>461-171-2021</t>
  </si>
  <si>
    <t>541-191-2022</t>
  </si>
  <si>
    <t>533-191-2022</t>
  </si>
  <si>
    <t>540-191-2022</t>
  </si>
  <si>
    <t>Rendimientos financieros AL 31 DE DICIEMBRE DE 2022</t>
  </si>
  <si>
    <t xml:space="preserve">Estado de Cuenta - CUENTA AHORROS
CUENTA No. 00130309000200045797
FECHA DE CORTE: 31/12/2022
</t>
  </si>
  <si>
    <t>Interés Ganados cuenta ahorros BBVA diciembre 2022</t>
  </si>
  <si>
    <t>Rendimientos financieros mes de diciembre de 2022</t>
  </si>
  <si>
    <t>Amortizacion fiduciaria diciembre (3,780,987) comprobante 905-503-496 y su gmf correspondiente</t>
  </si>
  <si>
    <t>FYGP, SANDRA SOLER, CONSTRUYO RED, PILAR SARMIENTO</t>
  </si>
  <si>
    <t>varios dic 2022</t>
  </si>
  <si>
    <t>Saldo Cuenta 29020102 a 31 de diciembre de 2022</t>
  </si>
  <si>
    <t>ejecucion de DICIEMBRE (paola)</t>
  </si>
  <si>
    <t>ejecucion de DICIEMBRE (adhesiones + plan semilla)</t>
  </si>
  <si>
    <t>gmf</t>
  </si>
  <si>
    <t>TOTAL DE LA EJECUCION MES DE ENERO DE 2023</t>
  </si>
  <si>
    <t>UNIVERSIDAD NACIONAL DE COLOMBIA
NIT.  899.999.063-3
CONTRATO INTERADMINISTRATIVO  1471299
INFORME DE EJECUCION FINANCIERA No. 33
DEL 1 AL 31 DE ENERO DE 2023</t>
  </si>
  <si>
    <t>EJECUCION ACUMULADA AL 31 DE DICIEMBRE DE 2022</t>
  </si>
  <si>
    <t>TOTAL EJECUTADO AL 31 DE ENERO DE 2023</t>
  </si>
  <si>
    <t>SALDO  POR EJECUTAR AL 31 DE ENERO DE 2023- UNAL CRECER</t>
  </si>
  <si>
    <t>SALDO  POR EJECUTAR AL 31 DE ENERO DE 2023- FIDUPOPULAR CAPITAL SEMILLA CRECER</t>
  </si>
  <si>
    <t>SALDO  POR EJECUTAR AL 31 DE ENERO DE 2023- MATRIX (FIDUAGRARIA)CREAR</t>
  </si>
  <si>
    <t>TOTAL SALDO POR EJECUTAR AL 31 DE ENERO DE 2023</t>
  </si>
  <si>
    <t>TOTAL EJECUTADO PLAN SEMILLA DEL 1 AL 31 DE ENERO DE 2023 CONVOCATORIAS 100% SENA</t>
  </si>
  <si>
    <t>TOTAL EJECUTADO PLAN SEMILLA DEL 1 AL 31 DE ENERO DE 2023 APORTE SENA ADHESIONES</t>
  </si>
  <si>
    <t>TOTAL EJECUTADO CAPITAL SEMILLA AL 31 DE ENERO DE 2023</t>
  </si>
  <si>
    <t>TOTAL EJECUTADO GMF- PLAN SEMILLA DEL 1 AL 31 DE ENERO DE 2023</t>
  </si>
  <si>
    <t>TOTAL EJECUTADO GMF- CAPITAL SEMILLA AL 31 DE ENERO DE 2023</t>
  </si>
  <si>
    <t>SALDO POR EJECUTAR AL 31 DE ENERO DE 2023 - FIDUCIA</t>
  </si>
  <si>
    <t>EJECUCIÓN ACUMULADA PLAN SEMILLA AL 31 DE DICIEMBRE DE 2022</t>
  </si>
  <si>
    <t>EJECUCIÓN ACUMULADA GMF- PLAN SEMILLA AL 31 DE DICIEMBRE DE 2022</t>
  </si>
  <si>
    <t>UNIVERSIDAD NACIONAL DE COLOMBIA
NIT.  899.999.063-3
CONTRATO INTERADMINISTRATIVO  1471299
INFORME DE EJECUCION ADHESIONES 
DEL 1 AL 31 DE ENERO DE 2023</t>
  </si>
  <si>
    <t>CAPITAL DEL 1 AL 31 DE ENERO DE 2023</t>
  </si>
  <si>
    <t>GMF DEL 1 AL 31 DE ENERO DE 2023</t>
  </si>
  <si>
    <t>1 AL 31 DE ENERO DE 2023</t>
  </si>
  <si>
    <t>TOTAL EJECUTADO DEL 1 AL 31 DE ENERO DE 2023</t>
  </si>
  <si>
    <t>REVERSO PAGO TERCERO ACH</t>
  </si>
  <si>
    <t>PAGO A TERCEROS AVAL</t>
  </si>
  <si>
    <t>PAGO TERCERO ACH</t>
  </si>
  <si>
    <t>REVERSO GMF</t>
  </si>
  <si>
    <t>A512028</t>
  </si>
  <si>
    <t>A513343</t>
  </si>
  <si>
    <t>A513021</t>
  </si>
  <si>
    <t>A528539</t>
  </si>
  <si>
    <t>A528541</t>
  </si>
  <si>
    <t>A489888</t>
  </si>
  <si>
    <t>A490404</t>
  </si>
  <si>
    <t>A490402</t>
  </si>
  <si>
    <t>A490400</t>
  </si>
  <si>
    <t>A490398</t>
  </si>
  <si>
    <t>A490396</t>
  </si>
  <si>
    <t>A490394</t>
  </si>
  <si>
    <t>A490392</t>
  </si>
  <si>
    <t>A490390</t>
  </si>
  <si>
    <t>A490388</t>
  </si>
  <si>
    <t>A490386</t>
  </si>
  <si>
    <t>A490380</t>
  </si>
  <si>
    <t>A490378</t>
  </si>
  <si>
    <t>A513025</t>
  </si>
  <si>
    <t>A513023</t>
  </si>
  <si>
    <t>A477924</t>
  </si>
  <si>
    <t>A512769</t>
  </si>
  <si>
    <t>A520707</t>
  </si>
  <si>
    <t>A520705</t>
  </si>
  <si>
    <t>A528321</t>
  </si>
  <si>
    <t>A491628</t>
  </si>
  <si>
    <t>A491626</t>
  </si>
  <si>
    <t>A491624</t>
  </si>
  <si>
    <t>A492062</t>
  </si>
  <si>
    <t>A512849</t>
  </si>
  <si>
    <t>A692303</t>
  </si>
  <si>
    <t>A691829</t>
  </si>
  <si>
    <t>A708546</t>
  </si>
  <si>
    <t>A708522</t>
  </si>
  <si>
    <t>A708520</t>
  </si>
  <si>
    <t>A665554</t>
  </si>
  <si>
    <t>A665552</t>
  </si>
  <si>
    <t>A665550</t>
  </si>
  <si>
    <t>A665482</t>
  </si>
  <si>
    <t>A665480</t>
  </si>
  <si>
    <t>A665478</t>
  </si>
  <si>
    <t>A665476</t>
  </si>
  <si>
    <t>A665474</t>
  </si>
  <si>
    <t>A665472</t>
  </si>
  <si>
    <t>A665470</t>
  </si>
  <si>
    <t>A665468</t>
  </si>
  <si>
    <t>A665466</t>
  </si>
  <si>
    <t>A665464</t>
  </si>
  <si>
    <t>A665462</t>
  </si>
  <si>
    <t>A665460</t>
  </si>
  <si>
    <t>A665458</t>
  </si>
  <si>
    <t>A665456</t>
  </si>
  <si>
    <t>A665454</t>
  </si>
  <si>
    <t>A665452</t>
  </si>
  <si>
    <t>A665378</t>
  </si>
  <si>
    <t>A665376</t>
  </si>
  <si>
    <t>A665374</t>
  </si>
  <si>
    <t>A665372</t>
  </si>
  <si>
    <t>A665370</t>
  </si>
  <si>
    <t>A665368</t>
  </si>
  <si>
    <t>A665366</t>
  </si>
  <si>
    <t>A665364</t>
  </si>
  <si>
    <t>A681476</t>
  </si>
  <si>
    <t>A681474</t>
  </si>
  <si>
    <t>A681472</t>
  </si>
  <si>
    <t>A681456</t>
  </si>
  <si>
    <t>A681452</t>
  </si>
  <si>
    <t>A691845</t>
  </si>
  <si>
    <t>A615912</t>
  </si>
  <si>
    <t>A615908</t>
  </si>
  <si>
    <t>A691457</t>
  </si>
  <si>
    <t>A707719</t>
  </si>
  <si>
    <t>A707716</t>
  </si>
  <si>
    <t>A707713</t>
  </si>
  <si>
    <t>A707710</t>
  </si>
  <si>
    <t>A707706</t>
  </si>
  <si>
    <t>A707642</t>
  </si>
  <si>
    <t>A707483</t>
  </si>
  <si>
    <t>A707477</t>
  </si>
  <si>
    <t>A691391</t>
  </si>
  <si>
    <t>A680457</t>
  </si>
  <si>
    <t>A680462</t>
  </si>
  <si>
    <t>A680539</t>
  </si>
  <si>
    <t>A680543</t>
  </si>
  <si>
    <t>A680547</t>
  </si>
  <si>
    <t>A663254</t>
  </si>
  <si>
    <t>A663256</t>
  </si>
  <si>
    <t>A663258</t>
  </si>
  <si>
    <t>A663260</t>
  </si>
  <si>
    <t>A663262</t>
  </si>
  <si>
    <t>A662286</t>
  </si>
  <si>
    <t>A662288</t>
  </si>
  <si>
    <t>A662634</t>
  </si>
  <si>
    <t>A662636</t>
  </si>
  <si>
    <t>A662638</t>
  </si>
  <si>
    <t>A662640</t>
  </si>
  <si>
    <t>A662642</t>
  </si>
  <si>
    <t>A662644</t>
  </si>
  <si>
    <t>A662646</t>
  </si>
  <si>
    <t>A662648</t>
  </si>
  <si>
    <t>A662650</t>
  </si>
  <si>
    <t>A662652</t>
  </si>
  <si>
    <t>A662654</t>
  </si>
  <si>
    <t>A662656</t>
  </si>
  <si>
    <t>A662658</t>
  </si>
  <si>
    <t>A663008</t>
  </si>
  <si>
    <t>A663010</t>
  </si>
  <si>
    <t>A663012</t>
  </si>
  <si>
    <t>A663014</t>
  </si>
  <si>
    <t>A663016</t>
  </si>
  <si>
    <t>A663018</t>
  </si>
  <si>
    <t>A663020</t>
  </si>
  <si>
    <t>A663022</t>
  </si>
  <si>
    <t>A663024</t>
  </si>
  <si>
    <t>A663026</t>
  </si>
  <si>
    <t>A663028</t>
  </si>
  <si>
    <t>A663030</t>
  </si>
  <si>
    <t>A663032</t>
  </si>
  <si>
    <t>A663034</t>
  </si>
  <si>
    <t>A868338</t>
  </si>
  <si>
    <t>A847901</t>
  </si>
  <si>
    <t>A847105</t>
  </si>
  <si>
    <t>A847103</t>
  </si>
  <si>
    <t>A847101</t>
  </si>
  <si>
    <t>A847097</t>
  </si>
  <si>
    <t>A847095</t>
  </si>
  <si>
    <t>A847093</t>
  </si>
  <si>
    <t>A847089</t>
  </si>
  <si>
    <t>A846539</t>
  </si>
  <si>
    <t>A846537</t>
  </si>
  <si>
    <t>A846535</t>
  </si>
  <si>
    <t>A866956</t>
  </si>
  <si>
    <t>A779560</t>
  </si>
  <si>
    <t>A783699</t>
  </si>
  <si>
    <t>A783704</t>
  </si>
  <si>
    <t>A783709</t>
  </si>
  <si>
    <t>A783715</t>
  </si>
  <si>
    <t>A785728</t>
  </si>
  <si>
    <t>A785733</t>
  </si>
  <si>
    <t>A848009</t>
  </si>
  <si>
    <t>A848033</t>
  </si>
  <si>
    <t>A848035</t>
  </si>
  <si>
    <t>A848037</t>
  </si>
  <si>
    <t>A779326</t>
  </si>
  <si>
    <t>A778145</t>
  </si>
  <si>
    <t>A778147</t>
  </si>
  <si>
    <t>A778150</t>
  </si>
  <si>
    <t>A778152</t>
  </si>
  <si>
    <t>A779334</t>
  </si>
  <si>
    <t>A779341</t>
  </si>
  <si>
    <t>A779347</t>
  </si>
  <si>
    <t>A779354</t>
  </si>
  <si>
    <t>A778155</t>
  </si>
  <si>
    <t>A778157</t>
  </si>
  <si>
    <t>A778159</t>
  </si>
  <si>
    <t>A778162</t>
  </si>
  <si>
    <t>A778164</t>
  </si>
  <si>
    <t>A778167</t>
  </si>
  <si>
    <t>A867214</t>
  </si>
  <si>
    <t>A867216</t>
  </si>
  <si>
    <t>A867168</t>
  </si>
  <si>
    <t xml:space="preserve">Estado de Cuenta - CUENTA AHORROS
CUENTA No. 256-12770-5
FECHA DE CORTE: 31/01/2023
</t>
  </si>
  <si>
    <t>EJECUCIÓN ACUMULADA PLAN SEMILLA MES DE ENERO DE 2023</t>
  </si>
  <si>
    <t>370-177-2021</t>
  </si>
  <si>
    <t>NATULANDA</t>
  </si>
  <si>
    <t>428-185-2021</t>
  </si>
  <si>
    <t>CANTERO CACAO</t>
  </si>
  <si>
    <t>Municipio de Barrancabermeja (Santander) - 2 cierre</t>
  </si>
  <si>
    <t>384-182-2021</t>
  </si>
  <si>
    <t>SARON NUTRICION CAPILAR</t>
  </si>
  <si>
    <t>386-182-2021</t>
  </si>
  <si>
    <t>COMERCIALIZADORA SAN POLLO LA 36</t>
  </si>
  <si>
    <t>395-184-2021</t>
  </si>
  <si>
    <t>FINCA CAFETERA LA ARBOLEDA</t>
  </si>
  <si>
    <t>358-176-2021</t>
  </si>
  <si>
    <t xml:space="preserve">COLOMBIAN SPECIAL COFFEE </t>
  </si>
  <si>
    <t>353-175-2021</t>
  </si>
  <si>
    <t xml:space="preserve">HIDROPONIA MONTEVERDE </t>
  </si>
  <si>
    <t>469-187-2021</t>
  </si>
  <si>
    <t>HOWART´S</t>
  </si>
  <si>
    <t>450-188-2021</t>
  </si>
  <si>
    <t>PROMODISTT</t>
  </si>
  <si>
    <t>490-190-2021</t>
  </si>
  <si>
    <t>AVICOLA BUEN DIA S.A.S.</t>
  </si>
  <si>
    <t>512-192-2021</t>
  </si>
  <si>
    <t>MEDINAS SALUD CON ESTILO</t>
  </si>
  <si>
    <t>515-192-2021</t>
  </si>
  <si>
    <t>PROTEGER IPS SAS</t>
  </si>
  <si>
    <t>UNIVERSIDAD NACIONAL DE COLOMBIA
NIT.  899.999.063-3
CONTRATO INTERADMINISTRATIVO  1471299
ANEXO 7: EJECUCION CAPITAL SEMILLA 
DEL 1 AL 31 DE ENERO DE 2023</t>
  </si>
  <si>
    <t>GRUPO VANYA SAS</t>
  </si>
  <si>
    <t>41202314455660Pg339008.zip</t>
  </si>
  <si>
    <t>49600001759</t>
  </si>
  <si>
    <t>HERRERA SOTO VICTOR HUGO</t>
  </si>
  <si>
    <t>CANTERO CACAO S.A.S</t>
  </si>
  <si>
    <t>41202314457581Pg344414.zip</t>
  </si>
  <si>
    <t>58000003947</t>
  </si>
  <si>
    <t>4120231450347Pg346520.zip</t>
  </si>
  <si>
    <t>4120231452722Pg346549.zip</t>
  </si>
  <si>
    <t>COLOMBIAN SPECIALTY COFFEE SAS ZOMAC</t>
  </si>
  <si>
    <t>4120231453800Pg346550.zip</t>
  </si>
  <si>
    <t>42233164075</t>
  </si>
  <si>
    <t>4120231454910Pg346552.zip</t>
  </si>
  <si>
    <t>111202391044513Pg346716.zip</t>
  </si>
  <si>
    <t>11120239104675Pg347851.zip</t>
  </si>
  <si>
    <t>111202391047700Pg347873.zip</t>
  </si>
  <si>
    <t>111202391049654Pg347895.zip</t>
  </si>
  <si>
    <t>111202391051404Pg348944.zip</t>
  </si>
  <si>
    <t>111202391054794Pg348947.zip</t>
  </si>
  <si>
    <t>111202391056310Pg349020.zip</t>
  </si>
  <si>
    <t>111202391057763Pg349059.zip</t>
  </si>
  <si>
    <t>TORO CASTILLO CENELIA</t>
  </si>
  <si>
    <t>11120239112419Pg349138.zip</t>
  </si>
  <si>
    <t>402044945</t>
  </si>
  <si>
    <t>111202391010185Pg346742.zip</t>
  </si>
  <si>
    <t>111202391014544Pg346748.zip</t>
  </si>
  <si>
    <t>111202391017747Pg347839.zip</t>
  </si>
  <si>
    <t>ANTIOQUEÑA DE QUIMICOS S.A.S</t>
  </si>
  <si>
    <t>111202391020263Pg347891.zip</t>
  </si>
  <si>
    <t>91987783109</t>
  </si>
  <si>
    <t>111202391021419Pg347894.zip</t>
  </si>
  <si>
    <t>NATULANDA S.A.S</t>
  </si>
  <si>
    <t>111202391023716Pg347918.zip</t>
  </si>
  <si>
    <t>54100003153</t>
  </si>
  <si>
    <t>111202391024763Pg347921.zip</t>
  </si>
  <si>
    <t>111202391025466Pg347923.zip</t>
  </si>
  <si>
    <t>111202391026810Pg347925.zip</t>
  </si>
  <si>
    <t>ANGEL FLORES Y DETALLES SAS</t>
  </si>
  <si>
    <t>111202391156404Pg342052.zip</t>
  </si>
  <si>
    <t>89000005191</t>
  </si>
  <si>
    <t>PROTEGER RIOHACHA IPS SAS ZOMAC</t>
  </si>
  <si>
    <t>111202391159326Pg343396.zip</t>
  </si>
  <si>
    <t>52600002472</t>
  </si>
  <si>
    <t>11120239120248Pg344130.zip</t>
  </si>
  <si>
    <t>11120239122123Pg344939.zip</t>
  </si>
  <si>
    <t>11120239122951Pg346634.zip</t>
  </si>
  <si>
    <t>11120239128529Pg347855.zip</t>
  </si>
  <si>
    <t>111202391210420Pg347866.zip</t>
  </si>
  <si>
    <t>111202391211889Pg347867.zip</t>
  </si>
  <si>
    <t>111202391213623Pg349100.zip</t>
  </si>
  <si>
    <t>HOWARTS SAS</t>
  </si>
  <si>
    <t>11120239121560Pg349184.zip</t>
  </si>
  <si>
    <t>34800002376</t>
  </si>
  <si>
    <t>DISTRIPARTES MUNDIAL SAS</t>
  </si>
  <si>
    <t>111202391453827Pg349009.zip</t>
  </si>
  <si>
    <t>33150929259</t>
  </si>
  <si>
    <t>CONSTRUCCIONES E INVERNADEROS SERNA S.A.S</t>
  </si>
  <si>
    <t>111202391455109Pg349042.zip</t>
  </si>
  <si>
    <t>108900037053</t>
  </si>
  <si>
    <t>111202391456593Pg349076.zip</t>
  </si>
  <si>
    <t>111202391457640Pg349121.zip</t>
  </si>
  <si>
    <t>111202391459187Pg349191.zip</t>
  </si>
  <si>
    <t>11120239150718Pg349220.zip</t>
  </si>
  <si>
    <t>11120239152109Pg349226.zip</t>
  </si>
  <si>
    <t>11120239153499Pg349232.zip</t>
  </si>
  <si>
    <t>1112023915562Pg349233.zip</t>
  </si>
  <si>
    <t>11120239156687Pg349291.zip</t>
  </si>
  <si>
    <t>MALECON CABAÑAS SAS ZOMAC BIC</t>
  </si>
  <si>
    <t>111202391535687Pg343425.zip</t>
  </si>
  <si>
    <t>52600002460</t>
  </si>
  <si>
    <t>111202391537359Pg343826.zip</t>
  </si>
  <si>
    <t>111202391538437Pg343827.zip</t>
  </si>
  <si>
    <t>RODRIGUEZ LOPEZ ANA MARCELA</t>
  </si>
  <si>
    <t>1112023915400Pg346023.zip</t>
  </si>
  <si>
    <t>03104087059</t>
  </si>
  <si>
    <t>INVERSIONES AGRÍCOLAS NARANJO SAS</t>
  </si>
  <si>
    <t>1112023915420Pg346057.zip</t>
  </si>
  <si>
    <t>30500001202</t>
  </si>
  <si>
    <t>111202391544812Pg348951.zip</t>
  </si>
  <si>
    <t>GRUPO INTERNACIONAL VIVE</t>
  </si>
  <si>
    <t>111202391546828Pg348952.zip</t>
  </si>
  <si>
    <t>39500003185</t>
  </si>
  <si>
    <t>CASTELLANOS SANCHEZ JUAN CARLOS</t>
  </si>
  <si>
    <t>111202391547984Pg349001.zip</t>
  </si>
  <si>
    <t>054323795</t>
  </si>
  <si>
    <t>111202391549812Pg349186.zip</t>
  </si>
  <si>
    <t>111202391552859Pg349218.zip</t>
  </si>
  <si>
    <t>PROMODISTT S.A.S</t>
  </si>
  <si>
    <t>111202391610422Pg346033.zip</t>
  </si>
  <si>
    <t>62300002281</t>
  </si>
  <si>
    <t>111202391612953Pg349185.zip</t>
  </si>
  <si>
    <t>111202391614891Pg349456.zip</t>
  </si>
  <si>
    <t>HINCAPIE VASQUEZ VLADIMIR ALEXANDER</t>
  </si>
  <si>
    <t>1112023991743Pg345947.zip</t>
  </si>
  <si>
    <t>598103497</t>
  </si>
  <si>
    <t>FINCA CAFETERA LA ARBOLEDA S.A.S.</t>
  </si>
  <si>
    <t>11120239918746Pg345959.zip</t>
  </si>
  <si>
    <t>33300002537</t>
  </si>
  <si>
    <t>11120239919481Pg345967.zip</t>
  </si>
  <si>
    <t>DULCE PATILLA SAS</t>
  </si>
  <si>
    <t>11120239919997Pg346543.zip</t>
  </si>
  <si>
    <t>24113923942</t>
  </si>
  <si>
    <t>GIRALDO AGUDELO MATEO</t>
  </si>
  <si>
    <t>11120239923309Pg346562.zip</t>
  </si>
  <si>
    <t>13104552993</t>
  </si>
  <si>
    <t>CAÑAS CARREÑO JORGE ANDRES</t>
  </si>
  <si>
    <t>11120239924684Pg346578.zip</t>
  </si>
  <si>
    <t>91210748321</t>
  </si>
  <si>
    <t>MARTINEZ GORDILLO ALEXANDER</t>
  </si>
  <si>
    <t>11120239926137Pg346582.zip</t>
  </si>
  <si>
    <t>80600023814</t>
  </si>
  <si>
    <t>11120239927528Pg346720.zip</t>
  </si>
  <si>
    <t>11120239930184Pg346727.zip</t>
  </si>
  <si>
    <t>11120239931653Pg346770.zip</t>
  </si>
  <si>
    <t>161202391025970Pg346521.zip</t>
  </si>
  <si>
    <t>161202391027579Pg349727.zip</t>
  </si>
  <si>
    <t>16120239102995Pg349995.zip</t>
  </si>
  <si>
    <t>161202391030548Pg350002.zip</t>
  </si>
  <si>
    <t>MACHADO YEPES JOHN JAIRO</t>
  </si>
  <si>
    <t>161202391032376Pg350098.zip</t>
  </si>
  <si>
    <t>37600000637</t>
  </si>
  <si>
    <t>161202391034595Pg350481.zip</t>
  </si>
  <si>
    <t>161202391037251Pg350489.zip</t>
  </si>
  <si>
    <t>161202391039642Pg350499.zip</t>
  </si>
  <si>
    <t>161202391041267Pg350510.zip</t>
  </si>
  <si>
    <t>161202391042720Pg350521.zip</t>
  </si>
  <si>
    <t>161202391120470Pg349240.zip</t>
  </si>
  <si>
    <t>161202391125642Pg350038.zip</t>
  </si>
  <si>
    <t>161202391131486Pg350106.zip</t>
  </si>
  <si>
    <t>161202391135392Pg350113.zip</t>
  </si>
  <si>
    <t>LOPEZ LOAIZA JHON EDWARD</t>
  </si>
  <si>
    <t>161202391136861Pg350618.zip</t>
  </si>
  <si>
    <t>0550488415350799</t>
  </si>
  <si>
    <t>161202391138127Pg350769.zip</t>
  </si>
  <si>
    <t>ROJAS AVILA CLAUDIA CRISTINA</t>
  </si>
  <si>
    <t>161202391139627Pg350802.zip</t>
  </si>
  <si>
    <t>0950317800</t>
  </si>
  <si>
    <t>161202391140861Pg350875.zip</t>
  </si>
  <si>
    <t>CIMARRÓN GOURMET SAS</t>
  </si>
  <si>
    <t>161202391215939Pg346170.zip</t>
  </si>
  <si>
    <t>84400003295</t>
  </si>
  <si>
    <t>161202391217408Pg349628.zip</t>
  </si>
  <si>
    <t>161202391218611Pg350454.zip</t>
  </si>
  <si>
    <t>LOPEZ MEJIA ALBERTO</t>
  </si>
  <si>
    <t>161202391221908Pg350525.zip</t>
  </si>
  <si>
    <t>72136091141</t>
  </si>
  <si>
    <t>161202391223518Pg350542.zip</t>
  </si>
  <si>
    <t>161202391226158Pg350605.zip</t>
  </si>
  <si>
    <t>161202391229189Pg350782.zip</t>
  </si>
  <si>
    <t>CAICEDO RAMIREZ MARCO ANDRES</t>
  </si>
  <si>
    <t>161202391231189Pg350813.zip</t>
  </si>
  <si>
    <t>84492557632</t>
  </si>
  <si>
    <t>161202391233158Pg351006.zip</t>
  </si>
  <si>
    <t>161202391234627Pg351066.zip</t>
  </si>
  <si>
    <t>TORRADO YANEZ OSCAR LEONARDO</t>
  </si>
  <si>
    <t>161202391254190Pg346317.zip</t>
  </si>
  <si>
    <t>0560067660017574</t>
  </si>
  <si>
    <t>VEGA BOHORQUEZ HELMER EDYAVIER</t>
  </si>
  <si>
    <t>161202391254846Pg348964.zip</t>
  </si>
  <si>
    <t>36489394426</t>
  </si>
  <si>
    <t>161202391256705Pg349448.zip</t>
  </si>
  <si>
    <t>16120239136565Pg350186.zip</t>
  </si>
  <si>
    <t>16120239137596Pg350460.zip</t>
  </si>
  <si>
    <t>161202391310424Pg350619.zip</t>
  </si>
  <si>
    <t>161202391314612Pg350644.zip</t>
  </si>
  <si>
    <t>161202391315221Pg351002.zip</t>
  </si>
  <si>
    <t>161202391316799Pg351188.zip</t>
  </si>
  <si>
    <t>16120239131834Pg351246.zip</t>
  </si>
  <si>
    <t>16120239135750Pg349711.zip</t>
  </si>
  <si>
    <t>161202391358222Pg351138.zip</t>
  </si>
  <si>
    <t>16120239621874Pg346772.zip</t>
  </si>
  <si>
    <t>16120239624311Pg348963.zip</t>
  </si>
  <si>
    <t>16120239625905Pg348967.zip</t>
  </si>
  <si>
    <t>16120239627561Pg349188.zip</t>
  </si>
  <si>
    <t>16120239629889Pg349288.zip</t>
  </si>
  <si>
    <t>16120239631140Pg349302.zip</t>
  </si>
  <si>
    <t>ANGARITA ACONCHA CARLOS ARTURO</t>
  </si>
  <si>
    <t>16120239632593Pg349416.zip</t>
  </si>
  <si>
    <t>82417779392</t>
  </si>
  <si>
    <t>16120239633968Pg349568.zip</t>
  </si>
  <si>
    <t>16120239637405Pg349622.zip</t>
  </si>
  <si>
    <t>16120239638829Pg349624.zip</t>
  </si>
  <si>
    <t>WESTON S.A.S</t>
  </si>
  <si>
    <t>1612023971655Pg342452.zip</t>
  </si>
  <si>
    <t>21125222702</t>
  </si>
  <si>
    <t>PEREZ ZAPATA JUAN HARVEY</t>
  </si>
  <si>
    <t>1612023972796Pg349545.zip</t>
  </si>
  <si>
    <t>91230399439</t>
  </si>
  <si>
    <t>1612023973952Pg349724.zip</t>
  </si>
  <si>
    <t>1612023978562Pg349750.zip</t>
  </si>
  <si>
    <t>16120239710265Pg349840.zip</t>
  </si>
  <si>
    <t>LUIS VALDIRIS</t>
  </si>
  <si>
    <t>16120239712156Pg349841.zip</t>
  </si>
  <si>
    <t>34884071404</t>
  </si>
  <si>
    <t>16120239713109Pg349844.zip</t>
  </si>
  <si>
    <t>16120239715140Pg349848.zip</t>
  </si>
  <si>
    <t>CONSTRUCCIONES Y ACABADOS RENOVAR</t>
  </si>
  <si>
    <t>16120239716484Pg349923.zip</t>
  </si>
  <si>
    <t>60070448</t>
  </si>
  <si>
    <t>16120239718734Pg349960.zip</t>
  </si>
  <si>
    <t>16120239748468Pg347871.zip</t>
  </si>
  <si>
    <t>16120239750156Pg348955.zip</t>
  </si>
  <si>
    <t>16120239751921Pg348971.zip</t>
  </si>
  <si>
    <t>16120239753750Pg349306.zip</t>
  </si>
  <si>
    <t>16120239755672Pg349307.zip</t>
  </si>
  <si>
    <t>16120239757125Pg349344.zip</t>
  </si>
  <si>
    <t>TECNOEMBALAJES SAS</t>
  </si>
  <si>
    <t>16120239759172Pg349794.zip</t>
  </si>
  <si>
    <t>04687456039</t>
  </si>
  <si>
    <t>1612023980484Pg350029.zip</t>
  </si>
  <si>
    <t>1612023982281Pg350030.zip</t>
  </si>
  <si>
    <t>JAIMES GAMBOA YILMAR ALFONSO</t>
  </si>
  <si>
    <t>16120239858750Pg345482.zip</t>
  </si>
  <si>
    <t>79532876911</t>
  </si>
  <si>
    <t>16120239859922Pg349458.zip</t>
  </si>
  <si>
    <t>1612023993813Pg349615.zip</t>
  </si>
  <si>
    <t>1612023995578Pg349808.zip</t>
  </si>
  <si>
    <t>1612023998485Pg350101.zip</t>
  </si>
  <si>
    <t>16120239910125Pg350158.zip</t>
  </si>
  <si>
    <t>16120239911469Pg350239.zip</t>
  </si>
  <si>
    <t>CABAÑAS LA TIERRA PROMETIDA ALOJAMIENTO RURAL SAS</t>
  </si>
  <si>
    <t>16120239912657Pg350337.zip</t>
  </si>
  <si>
    <t>65100001604</t>
  </si>
  <si>
    <t>16120239914719Pg350346.zip</t>
  </si>
  <si>
    <t>16120239939891Pg346721.zip</t>
  </si>
  <si>
    <t>RIVERA ROMERO KATLIN KARINA</t>
  </si>
  <si>
    <t>16120239942985Pg349231.zip</t>
  </si>
  <si>
    <t>09035937053</t>
  </si>
  <si>
    <t>16120239945376Pg349723.zip</t>
  </si>
  <si>
    <t>FRIO CENTRO RD SAS</t>
  </si>
  <si>
    <t>16120239947297Pg349809.zip</t>
  </si>
  <si>
    <t>61663521682</t>
  </si>
  <si>
    <t>NESTOR JAIRO QUINTERO ESCOBAR</t>
  </si>
  <si>
    <t>16120239950923Pg349816.zip</t>
  </si>
  <si>
    <t>24046988025</t>
  </si>
  <si>
    <t>16120239951938Pg349915.zip</t>
  </si>
  <si>
    <t>16120239953297Pg349999.zip</t>
  </si>
  <si>
    <t>16120239955313Pg350244.zip</t>
  </si>
  <si>
    <t>16120239956860Pg350257.zip</t>
  </si>
  <si>
    <t>16120239958344Pg350287.zip</t>
  </si>
  <si>
    <t>KENNY&amp;CO S.A.S</t>
  </si>
  <si>
    <t>171202381534759Pg347837.zip</t>
  </si>
  <si>
    <t>83400001950</t>
  </si>
  <si>
    <t>171202381536556Pg349330.zip</t>
  </si>
  <si>
    <t>171202381538134Pg349332.zip</t>
  </si>
  <si>
    <t>ADRIANA IN SAS</t>
  </si>
  <si>
    <t>171202381539540Pg349342.zip</t>
  </si>
  <si>
    <t>01200000192</t>
  </si>
  <si>
    <t>171202381541759Pg350010.zip</t>
  </si>
  <si>
    <t>171202381542540Pg350444.zip</t>
  </si>
  <si>
    <t>LEON PEREZ DAURIN</t>
  </si>
  <si>
    <t>171202381544306Pg350606.zip</t>
  </si>
  <si>
    <t>31143265458</t>
  </si>
  <si>
    <t>171202381545884Pg351067.zip</t>
  </si>
  <si>
    <t>171202381548493Pg351346.zip</t>
  </si>
  <si>
    <t>1712023816449Pg349938.zip</t>
  </si>
  <si>
    <t>171202381646572Pg350762.zip</t>
  </si>
  <si>
    <t>171202381649619Pg350965.zip</t>
  </si>
  <si>
    <t>171202381651869Pg351332.zip</t>
  </si>
  <si>
    <t>171202381653384Pg351416.zip</t>
  </si>
  <si>
    <t>17120238165657Pg351479.zip</t>
  </si>
  <si>
    <t>171202381657588Pg351484.zip</t>
  </si>
  <si>
    <t>171202381659760Pg351528.zip</t>
  </si>
  <si>
    <t>17120238170916Pg351529.zip</t>
  </si>
  <si>
    <t>BERNAL SEPULVEDA NATALIA DEL PILAR</t>
  </si>
  <si>
    <t>1712023816687Pg346621.zip</t>
  </si>
  <si>
    <t>05713909272</t>
  </si>
  <si>
    <t>17120238167634Pg347833.zip</t>
  </si>
  <si>
    <t>LLORENTE CUENCA LENNY JOHANA</t>
  </si>
  <si>
    <t>171202381610603Pg350488.zip</t>
  </si>
  <si>
    <t>SIMETRÍA Y ESPACIO CONSTRUCTORA S.A.S.</t>
  </si>
  <si>
    <t>171202381612197Pg350530.zip</t>
  </si>
  <si>
    <t>33300002101</t>
  </si>
  <si>
    <t>171202381614181Pg350531.zip</t>
  </si>
  <si>
    <t>171202381616572Pg350567.zip</t>
  </si>
  <si>
    <t>171202381618150Pg350735.zip</t>
  </si>
  <si>
    <t>171202381619165Pg350738.zip</t>
  </si>
  <si>
    <t>AGROPECUARIA RL SAS</t>
  </si>
  <si>
    <t>171202381620556Pg351525.zip</t>
  </si>
  <si>
    <t>36300000442</t>
  </si>
  <si>
    <t>171202381735291Pg351389.zip</t>
  </si>
  <si>
    <t>171202381736541Pg351394.zip</t>
  </si>
  <si>
    <t>171202381737651Pg351496.zip</t>
  </si>
  <si>
    <t>171202381738166Pg351498.zip</t>
  </si>
  <si>
    <t>171202381738588Pg351502.zip</t>
  </si>
  <si>
    <t>17120238174010Pg351505.zip</t>
  </si>
  <si>
    <t>17120238174188Pg351530.zip</t>
  </si>
  <si>
    <t>171202381742432Pg351531.zip</t>
  </si>
  <si>
    <t>171202381743354Pg351553.zip</t>
  </si>
  <si>
    <t>171202381744166Pg351556.zip</t>
  </si>
  <si>
    <t>CASTILLO MARQUEZ LAURA FERNANDA</t>
  </si>
  <si>
    <t>17120238180948Pg346777.zip</t>
  </si>
  <si>
    <t>08256855471</t>
  </si>
  <si>
    <t>17120238182369Pg348977.zip</t>
  </si>
  <si>
    <t>SEGUROS GENERALES DE COLOMBIA</t>
  </si>
  <si>
    <t>17120238183463Pg350507.zip</t>
  </si>
  <si>
    <t>17120238185104Pg350781.zip</t>
  </si>
  <si>
    <t>HIDROPONIA MONTEVERDE SAS</t>
  </si>
  <si>
    <t>17120238186776Pg350889.zip</t>
  </si>
  <si>
    <t>55000001517</t>
  </si>
  <si>
    <t>17120238187729Pg350901.zip</t>
  </si>
  <si>
    <t>17120238188494Pg350905.zip</t>
  </si>
  <si>
    <t>17120238189369Pg350921.zip</t>
  </si>
  <si>
    <t>DIANA ISABEL CUELLAR MESA</t>
  </si>
  <si>
    <t>171202381810823Pg351431.zip</t>
  </si>
  <si>
    <t>171202381812245Pg351558.zip</t>
  </si>
  <si>
    <t>171202381837870Pg349254.zip</t>
  </si>
  <si>
    <t>17120238184058Pg349304.zip</t>
  </si>
  <si>
    <t>171202381841901Pg350474.zip</t>
  </si>
  <si>
    <t>CAMFIVE CORPORATION COLOMBIA S.A.S.</t>
  </si>
  <si>
    <t>171202381843854Pg350480.zip</t>
  </si>
  <si>
    <t>16718365183</t>
  </si>
  <si>
    <t>171202381845823Pg350520.zip</t>
  </si>
  <si>
    <t>171202381849885Pg351119.zip</t>
  </si>
  <si>
    <t>171202381851167Pg351161.zip</t>
  </si>
  <si>
    <t>171202381853823Pg351170.zip</t>
  </si>
  <si>
    <t>171202381855807Pg351306.zip</t>
  </si>
  <si>
    <t>171202381858167Pg351474.zip</t>
  </si>
  <si>
    <t>171202381923698Pg343394.zip</t>
  </si>
  <si>
    <t>171202381924855Pg349314.zip</t>
  </si>
  <si>
    <t>171202381926386Pg349316.zip</t>
  </si>
  <si>
    <t>171202381929214Pg349638.zip</t>
  </si>
  <si>
    <t>171202381930886Pg349933.zip</t>
  </si>
  <si>
    <t>ORTIZ CORTES YADIVIS ESTHER</t>
  </si>
  <si>
    <t>171202381933292Pg350449.zip</t>
  </si>
  <si>
    <t>171202381934839Pg350468.zip</t>
  </si>
  <si>
    <t>171202381936542Pg350617.zip</t>
  </si>
  <si>
    <t>171202381937730Pg351568.zip</t>
  </si>
  <si>
    <t>171202381939323Pg351591.zip</t>
  </si>
  <si>
    <t>17120238201917Pg344182.zip</t>
  </si>
  <si>
    <t>17120238206355Pg349547.zip</t>
  </si>
  <si>
    <t>17120238209652Pg351509.zip</t>
  </si>
  <si>
    <t>171202382011246Pg351563.zip</t>
  </si>
  <si>
    <t>171202382014371Pg351627.zip</t>
  </si>
  <si>
    <t>191202381227358Pg351751.zip</t>
  </si>
  <si>
    <t>191202381228233Pg351765.zip</t>
  </si>
  <si>
    <t>SISTEMAS AVANZADOS DE ALIEMNTACION Y PESAJE</t>
  </si>
  <si>
    <t>191202381229155Pg351784.zip</t>
  </si>
  <si>
    <t>4741012818</t>
  </si>
  <si>
    <t>LA ROCA STATE COFFEE SAS - ZOMAC</t>
  </si>
  <si>
    <t>191202381231843Pg351809.zip</t>
  </si>
  <si>
    <t>42233529758</t>
  </si>
  <si>
    <t>BOSQUE SECO ZESE BIC SAS</t>
  </si>
  <si>
    <t>171202382013152Pg351606.zip</t>
  </si>
  <si>
    <t>52600002445</t>
  </si>
  <si>
    <t>171202382015417Pg351632.zip</t>
  </si>
  <si>
    <t>171202382016433Pg351635.zip</t>
  </si>
  <si>
    <t>PRISMA COFFEE TECH SAS</t>
  </si>
  <si>
    <t>19120238122577Pg351721.zip</t>
  </si>
  <si>
    <t>02982926150</t>
  </si>
  <si>
    <t>REFRIARTE INVERSIONES.A.S</t>
  </si>
  <si>
    <t>191202381230327Pg351785.zip</t>
  </si>
  <si>
    <t>05756831374</t>
  </si>
  <si>
    <t>AGENCIA CREACIONES ARAKE SAS</t>
  </si>
  <si>
    <t>191202381233436Pg351823.zip</t>
  </si>
  <si>
    <t>49600001727</t>
  </si>
  <si>
    <t>RESTREPO GONZALEZ Y CIA SAS</t>
  </si>
  <si>
    <t>201202393551730Pg351689.zip</t>
  </si>
  <si>
    <t>70431117303</t>
  </si>
  <si>
    <t>201202393554152Pg351841.zip</t>
  </si>
  <si>
    <t>COMAPIS SAS</t>
  </si>
  <si>
    <t>201202393555839Pg351842.zip</t>
  </si>
  <si>
    <t>41660469751</t>
  </si>
  <si>
    <t>ESCALA, OUTDOORDS Y ALTURAS SAS</t>
  </si>
  <si>
    <t>201202393556699Pg351843.zip</t>
  </si>
  <si>
    <t>63413656526</t>
  </si>
  <si>
    <t>201202393558167Pg351884.zip</t>
  </si>
  <si>
    <t>BAENA LOPEZ NEYLA</t>
  </si>
  <si>
    <t>201202393559714Pg351934.zip</t>
  </si>
  <si>
    <t>09114124530</t>
  </si>
  <si>
    <t>GONZALEZ DIAZ AURA KATERINE</t>
  </si>
  <si>
    <t>2012023936274Pg351942.zip</t>
  </si>
  <si>
    <t>67731051833</t>
  </si>
  <si>
    <t>20120239362917Pg352005.zip</t>
  </si>
  <si>
    <t>SÁNCHEZ OROZCO ANDRÉS MAURICIO</t>
  </si>
  <si>
    <t>20120239365152Pg352006.zip</t>
  </si>
  <si>
    <t>86000000592</t>
  </si>
  <si>
    <t>CON FORMACIÓN EN SEGURIDAD INDUSTRIAL S.A.S</t>
  </si>
  <si>
    <t>201202393625605Pg351909.zip</t>
  </si>
  <si>
    <t>18686290111</t>
  </si>
  <si>
    <t>201202393626496Pg352027.zip</t>
  </si>
  <si>
    <t>ESCOBAR OCAMPO LUIS ALEJANDRO</t>
  </si>
  <si>
    <t>201202393627808Pg352034.zip</t>
  </si>
  <si>
    <t>99642280925</t>
  </si>
  <si>
    <t>201202393629105Pg352051.zip</t>
  </si>
  <si>
    <t>QUINTERO PELAEZ VANESSA JULIANA</t>
  </si>
  <si>
    <t>20120239363158Pg352060.zip</t>
  </si>
  <si>
    <t>91240401148</t>
  </si>
  <si>
    <t>201202393632871Pg352120.zip</t>
  </si>
  <si>
    <t>CUERPO DE BOMBEROS VOLUNTARIOS</t>
  </si>
  <si>
    <t>201202393633761Pg352127.zip</t>
  </si>
  <si>
    <t>67700000768</t>
  </si>
  <si>
    <t>PISCICOLA VILLAROSITA SAS</t>
  </si>
  <si>
    <t>23120238434506Pg351999.zip</t>
  </si>
  <si>
    <t>89084894142</t>
  </si>
  <si>
    <t>GEITECO R&amp;O SAS</t>
  </si>
  <si>
    <t>23120238435772Pg352057.zip</t>
  </si>
  <si>
    <t>0729000200307397</t>
  </si>
  <si>
    <t>MEJIA CASTAÑO ENDY JOHANNA</t>
  </si>
  <si>
    <t>2312023843722Pg352169.zip</t>
  </si>
  <si>
    <t>6962016887</t>
  </si>
  <si>
    <t>TIENDA GALAXY SAS</t>
  </si>
  <si>
    <t>23120238438928Pg352170.zip</t>
  </si>
  <si>
    <t>27925214693</t>
  </si>
  <si>
    <t>DEPOSITO ABO SAS</t>
  </si>
  <si>
    <t>231202384310647Pg352179.zip</t>
  </si>
  <si>
    <t>231202384311632Pg352183.zip</t>
  </si>
  <si>
    <t>VARGAS ROMERO RODULFO</t>
  </si>
  <si>
    <t>231202384313132Pg352205.zip</t>
  </si>
  <si>
    <t>84191610627</t>
  </si>
  <si>
    <t>ANA CRISTINA BERTEL RIOS</t>
  </si>
  <si>
    <t>231202384315100Pg352209.zip</t>
  </si>
  <si>
    <t>59030079587</t>
  </si>
  <si>
    <t>CARREÑO SANTIAGO ALBEIRO</t>
  </si>
  <si>
    <t>231202384316257Pg352245.zip</t>
  </si>
  <si>
    <t>03207078302</t>
  </si>
  <si>
    <t>REINTEGRO</t>
  </si>
  <si>
    <t>2/1/2023</t>
  </si>
  <si>
    <t>3/1/2023</t>
  </si>
  <si>
    <t>4/1/2023</t>
  </si>
  <si>
    <t>5/1/2023</t>
  </si>
  <si>
    <t>6/1/2023</t>
  </si>
  <si>
    <t>10/1/2023</t>
  </si>
  <si>
    <t>11/1/2023</t>
  </si>
  <si>
    <t>12/1/2023</t>
  </si>
  <si>
    <t>13/1/2023</t>
  </si>
  <si>
    <t>16/1/2023</t>
  </si>
  <si>
    <t>17/1/2023</t>
  </si>
  <si>
    <t>18/1/2023</t>
  </si>
  <si>
    <t>19/1/2023</t>
  </si>
  <si>
    <t>20/1/2023</t>
  </si>
  <si>
    <t>23/1/2023</t>
  </si>
  <si>
    <t>24/1/2023</t>
  </si>
  <si>
    <t>25/1/2023</t>
  </si>
  <si>
    <t>26/1/2023</t>
  </si>
  <si>
    <t>27/1/2023</t>
  </si>
  <si>
    <t>30/1/2023</t>
  </si>
  <si>
    <t>31/1/2023</t>
  </si>
  <si>
    <t>PAGO A TERCEROS PROPIO OCCIRED</t>
  </si>
  <si>
    <t>A880061</t>
  </si>
  <si>
    <t>A880743</t>
  </si>
  <si>
    <t>A812875</t>
  </si>
  <si>
    <t>A812879</t>
  </si>
  <si>
    <t>A880163</t>
  </si>
  <si>
    <t>A813619</t>
  </si>
  <si>
    <t>A813623</t>
  </si>
  <si>
    <t>A859872</t>
  </si>
  <si>
    <t>A813627</t>
  </si>
  <si>
    <t>A813631</t>
  </si>
  <si>
    <t>A859484</t>
  </si>
  <si>
    <t>A859555</t>
  </si>
  <si>
    <t>A879898</t>
  </si>
  <si>
    <t>A879900</t>
  </si>
  <si>
    <t>A811357</t>
  </si>
  <si>
    <t>A918987</t>
  </si>
  <si>
    <t>A811361</t>
  </si>
  <si>
    <t>A811849</t>
  </si>
  <si>
    <t>A919059</t>
  </si>
  <si>
    <t>A811853</t>
  </si>
  <si>
    <t>A879940</t>
  </si>
  <si>
    <t>A811857</t>
  </si>
  <si>
    <t>A811861</t>
  </si>
  <si>
    <t>A811864</t>
  </si>
  <si>
    <t>A859623</t>
  </si>
  <si>
    <t>A861919</t>
  </si>
  <si>
    <t>A812361</t>
  </si>
  <si>
    <t>A900223</t>
  </si>
  <si>
    <t>A812365</t>
  </si>
  <si>
    <t>A880006</t>
  </si>
  <si>
    <t>A812370</t>
  </si>
  <si>
    <t>A812374</t>
  </si>
  <si>
    <t>A919106</t>
  </si>
  <si>
    <t>A880065</t>
  </si>
  <si>
    <t>A812883</t>
  </si>
  <si>
    <t>A812886</t>
  </si>
  <si>
    <t>A900278</t>
  </si>
  <si>
    <t>A880069</t>
  </si>
  <si>
    <t>A900282</t>
  </si>
  <si>
    <t>A919168</t>
  </si>
  <si>
    <t>A812890</t>
  </si>
  <si>
    <t>A813635</t>
  </si>
  <si>
    <t>A919847</t>
  </si>
  <si>
    <t>A880167</t>
  </si>
  <si>
    <t>A813639</t>
  </si>
  <si>
    <t>A813643</t>
  </si>
  <si>
    <t>A813647</t>
  </si>
  <si>
    <t>A813651</t>
  </si>
  <si>
    <t>A859876</t>
  </si>
  <si>
    <t>A919238</t>
  </si>
  <si>
    <t>A817212</t>
  </si>
  <si>
    <t>A817216</t>
  </si>
  <si>
    <t>A918865</t>
  </si>
  <si>
    <t>A800006</t>
  </si>
  <si>
    <t>A917921</t>
  </si>
  <si>
    <t>A899159</t>
  </si>
  <si>
    <t>A800010</t>
  </si>
  <si>
    <t>A878843</t>
  </si>
  <si>
    <t>A878847</t>
  </si>
  <si>
    <t>A878851</t>
  </si>
  <si>
    <t>A800014</t>
  </si>
  <si>
    <t>A800018</t>
  </si>
  <si>
    <t>A899162</t>
  </si>
  <si>
    <t>A899166</t>
  </si>
  <si>
    <t>A917925</t>
  </si>
  <si>
    <t>A899170</t>
  </si>
  <si>
    <t>A800020</t>
  </si>
  <si>
    <t>A800023</t>
  </si>
  <si>
    <t>A878855</t>
  </si>
  <si>
    <t>A800027</t>
  </si>
  <si>
    <t>A800031</t>
  </si>
  <si>
    <t>A878902</t>
  </si>
  <si>
    <t>A917986</t>
  </si>
  <si>
    <t>A577913</t>
  </si>
  <si>
    <t>A563919</t>
  </si>
  <si>
    <t>A563923</t>
  </si>
  <si>
    <t>A577911</t>
  </si>
  <si>
    <t>A431389</t>
  </si>
  <si>
    <t>A577102</t>
  </si>
  <si>
    <t>A569857</t>
  </si>
  <si>
    <t>A558406</t>
  </si>
  <si>
    <t>A558793</t>
  </si>
  <si>
    <t>A576983</t>
  </si>
  <si>
    <t>A558796</t>
  </si>
  <si>
    <t>A558799</t>
  </si>
  <si>
    <t>A558803</t>
  </si>
  <si>
    <t>A558806</t>
  </si>
  <si>
    <t>A569723</t>
  </si>
  <si>
    <t>A567420</t>
  </si>
  <si>
    <t>A558809</t>
  </si>
  <si>
    <t>A569720</t>
  </si>
  <si>
    <t>A576980</t>
  </si>
  <si>
    <t>A558812</t>
  </si>
  <si>
    <t>A569716</t>
  </si>
  <si>
    <t>A558815</t>
  </si>
  <si>
    <t>A576977</t>
  </si>
  <si>
    <t>A573448</t>
  </si>
  <si>
    <t>A558817</t>
  </si>
  <si>
    <t>A567418</t>
  </si>
  <si>
    <t>A569611</t>
  </si>
  <si>
    <t>A559500</t>
  </si>
  <si>
    <t>A576876</t>
  </si>
  <si>
    <t>A573237</t>
  </si>
  <si>
    <t>A573235</t>
  </si>
  <si>
    <t>A559532</t>
  </si>
  <si>
    <t>A559534</t>
  </si>
  <si>
    <t>A559537</t>
  </si>
  <si>
    <t>A576874</t>
  </si>
  <si>
    <t>A559540</t>
  </si>
  <si>
    <t>A559542</t>
  </si>
  <si>
    <t>A567359</t>
  </si>
  <si>
    <t>A559545</t>
  </si>
  <si>
    <t>A573233</t>
  </si>
  <si>
    <t>A559547</t>
  </si>
  <si>
    <t>A573230</t>
  </si>
  <si>
    <t>A569607</t>
  </si>
  <si>
    <t>A559553</t>
  </si>
  <si>
    <t>A569604</t>
  </si>
  <si>
    <t>A573066</t>
  </si>
  <si>
    <t>A569481</t>
  </si>
  <si>
    <t>A559956</t>
  </si>
  <si>
    <t>A569479</t>
  </si>
  <si>
    <t>A567268</t>
  </si>
  <si>
    <t>A567265</t>
  </si>
  <si>
    <t>A576735</t>
  </si>
  <si>
    <t>A569477</t>
  </si>
  <si>
    <t>A559959</t>
  </si>
  <si>
    <t>A559961</t>
  </si>
  <si>
    <t>A576731</t>
  </si>
  <si>
    <t>A559963</t>
  </si>
  <si>
    <t>A573062</t>
  </si>
  <si>
    <t>A559966</t>
  </si>
  <si>
    <t>A559968</t>
  </si>
  <si>
    <t>A567260</t>
  </si>
  <si>
    <t>A560410</t>
  </si>
  <si>
    <t>A567164</t>
  </si>
  <si>
    <t>A567161</t>
  </si>
  <si>
    <t>A569380</t>
  </si>
  <si>
    <t>A560413</t>
  </si>
  <si>
    <t>A560415</t>
  </si>
  <si>
    <t>A560418</t>
  </si>
  <si>
    <t>A560420</t>
  </si>
  <si>
    <t>A560424</t>
  </si>
  <si>
    <t>A576620</t>
  </si>
  <si>
    <t>A560427</t>
  </si>
  <si>
    <t>A576480</t>
  </si>
  <si>
    <t>A560430</t>
  </si>
  <si>
    <t>A576477</t>
  </si>
  <si>
    <t>A560433</t>
  </si>
  <si>
    <t>A576475</t>
  </si>
  <si>
    <t>A561038</t>
  </si>
  <si>
    <t>A561041</t>
  </si>
  <si>
    <t>A576335</t>
  </si>
  <si>
    <t>A561044</t>
  </si>
  <si>
    <t>A569309</t>
  </si>
  <si>
    <t>A576333</t>
  </si>
  <si>
    <t>A561047</t>
  </si>
  <si>
    <t>A561049</t>
  </si>
  <si>
    <t>A561052</t>
  </si>
  <si>
    <t>A576330</t>
  </si>
  <si>
    <t>A561055</t>
  </si>
  <si>
    <t>A569307</t>
  </si>
  <si>
    <t>A576326</t>
  </si>
  <si>
    <t>A572745</t>
  </si>
  <si>
    <t>A561057</t>
  </si>
  <si>
    <t>A561061</t>
  </si>
  <si>
    <t>A572740</t>
  </si>
  <si>
    <t>A572736</t>
  </si>
  <si>
    <t>A561063</t>
  </si>
  <si>
    <t>A561562</t>
  </si>
  <si>
    <t>A566915</t>
  </si>
  <si>
    <t>A561564</t>
  </si>
  <si>
    <t>A561566</t>
  </si>
  <si>
    <t>A561568</t>
  </si>
  <si>
    <t>A569125</t>
  </si>
  <si>
    <t>A561570</t>
  </si>
  <si>
    <t>A897784</t>
  </si>
  <si>
    <t>A897782</t>
  </si>
  <si>
    <t>A899547</t>
  </si>
  <si>
    <t>A858454</t>
  </si>
  <si>
    <t>A858339</t>
  </si>
  <si>
    <t>A847269</t>
  </si>
  <si>
    <t>A773892</t>
  </si>
  <si>
    <t>A857599</t>
  </si>
  <si>
    <t>A858229</t>
  </si>
  <si>
    <t>A858226</t>
  </si>
  <si>
    <t>A858223</t>
  </si>
  <si>
    <t>A858221</t>
  </si>
  <si>
    <t>UNIVERSIDAD NACIONAL DE COLOMBIA
NIT.  899.999.063-3
CONTRATO INTERADMINISTRATIVO  1471299
ANEXO 4:  RELACIÓN FACTURAS CON IVA  
AL 31 DE ENERO DE 2023</t>
  </si>
  <si>
    <t>905-503-8</t>
  </si>
  <si>
    <t>COMISIÓN FIDUCIARIA ENERO DE 2023</t>
  </si>
  <si>
    <t>COMISIÓN FIDUCIARIA ENERO DE 2022</t>
  </si>
  <si>
    <t>TOTAL RELACION DE GASTOS AL 31 DE ENERO DE 2023</t>
  </si>
  <si>
    <t>Desde Periodo: 202301</t>
  </si>
  <si>
    <t>Hasta Periodo: 202301</t>
  </si>
  <si>
    <t>11:REND FINANCIEROS PROYECTO 309010019253 OCC 7176</t>
  </si>
  <si>
    <t>FIDUCIARIA POPULAR S.A FACTURA ELECTRÓNICA DE VENTA N° 124246  FECHA FACTURA 10/01/2023 COMISION ENERO 2022 FONDO EMPRENDER SENA II.</t>
  </si>
  <si>
    <t>Amortizacion fiduciaria enero (3,364,032) comprobante 905-503-8 y su gmf correspondiente</t>
  </si>
  <si>
    <t>Saldo Informe SENA AL 31 DE ENERO DE 2023</t>
  </si>
  <si>
    <t>Interes ganados  no registrados en libros- Enero / 23</t>
  </si>
  <si>
    <t>GMF sobre pagos ene/2023</t>
  </si>
  <si>
    <t>Saldo Extracto al 31 de enero de 2023</t>
  </si>
  <si>
    <t>Rendimientos Financieros generados a enero-23</t>
  </si>
  <si>
    <t>Interés Ganados cuenta ahorros BBVA enero 2023</t>
  </si>
  <si>
    <t>TOTAL RENDIMIENTOS GENERADOS POR RECURSOS DEL FONDO DE ENERO A JUNIO DE 2023</t>
  </si>
  <si>
    <t>Rendimientos financieros mes de enero de 2023</t>
  </si>
  <si>
    <t>Rendimientos financieros AL 31 DE ENERO DE 2023</t>
  </si>
  <si>
    <t>UNIVERSIDAD NACIONAL DE COLOMBIA
NIT.  899.999.063-3
CONTRATO INTERADMINISTRATIVO  1471299
ANEXO 6:  RENDIMIENTOS FINANCIEROS CUENTA TAURAMENA 
AL 31 DE ENERO DE 2023</t>
  </si>
  <si>
    <t>TOTAL RENDIMIENTOS GENERADOS POR LOS RECURSOS DEL FONDO DE ENERO DE 2023</t>
  </si>
  <si>
    <t>TOTAL RENDIMIENTOS DISPONIBLES AL 31 DE ENERO DE 2023</t>
  </si>
  <si>
    <t>UNIVERSIDAD NACIONAL DE COLOMBIA
NIT.  899.999.063-3
CONTRATO INTERADMINISTRATIVO  1471299
ANEXO 6:  RENDIMIENTOS FINANCIEROS CUENTA ITAGÜÍ  
AL 31 DE ENERO DE 2023</t>
  </si>
  <si>
    <t>UNIVERSIDAD NACIONAL DE COLOMBIA
NIT.  899.999.063-3
CONTRATO INTERADMINISTRATIVO  1471299
ANEXO 6:  RENDIMIENTOS FINANCIEROS CUENTA VILLANUEVA  
AL 31 DE ENERO DE 2023</t>
  </si>
  <si>
    <t>UNIVERSIDAD NACIONAL DE COLOMBIA
NIT.  899.999.063-3
CONTRATO INTERADMINISTRATIVO  1471299
ANEXO 6:  RENDIMIENTOS FINANCIEROS CUENTA SAN JUAN DE URABÁ  
AL 31 DE ENERO DE 2023</t>
  </si>
  <si>
    <t>UNIVERSIDAD NACIONAL DE COLOMBIA
NIT.  899.999.063-3
CONTRATO INTERADMINISTRATIVO  1471299
ANEXO 6:  RENDIMIENTOS FINANCIEROS CUENTA YARUMAL 
AL 31 DE ENERO DE 2023</t>
  </si>
  <si>
    <t>UNIVERSIDAD NACIONAL DE COLOMBIA
NIT.  899.999.063-3
CONTRATO INTERADMINISTRATIVO  1471299
ANEXO 6:  RENDIMIENTOS FINANCIEROS CUENTA GARZON 
AL 31 DE ENERO DE 2023</t>
  </si>
  <si>
    <t>UNIVERSIDAD NACIONAL DE COLOMBIA
NIT.  899.999.063-3
CONTRATO INTERADMINISTRATIVO  1471299
ANEXO 6:  RENDIMIENTOS FINANCIEROS CUENTA 
DEPARTAMENTO DE SUCRE 
AL 31 DE ENERO DE 2023</t>
  </si>
  <si>
    <t>UNIVERSIDAD NACIONAL DE COLOMBIA
NIT.  899.999.063-3
CONTRATO INTERADMINISTRATIVO  1471299
ANEXO 6:  RENDIMIENTOS FINANCIEROS CUENTA PLANADAS
AL 31 DE ENERO DE 2023</t>
  </si>
  <si>
    <t>UNIVERSIDAD NACIONAL DE COLOMBIA
NIT.  899.999.063-3
CONTRATO INTERADMINISTRATIVO  1471299
ANEXO 6:  RENDIMIENTOS FINANCIEROS CUENTA CALDAS
AL 31 DE ENERO DE 2023</t>
  </si>
  <si>
    <t>UNIVERSIDAD NACIONAL DE COLOMBIA
NIT.  899.999.063-3
CONTRATO INTERADMINISTRATIVO  1471299
ANEXO 6:  RENDIMIENTOS FINANCIEROS CUENTA BUGALAGRANDE
AL 31 DE ENERO DE 2023</t>
  </si>
  <si>
    <t>UNIVERSIDAD NACIONAL DE COLOMBIA
NIT.  899.999.063-3
CONTRATO INTERADMINISTRATIVO  1471299
ANEXO 6:  RENDIMIENTOS FINANCIEROS CUENTA CARMEN DE VIBORAL
AL 31 DE ENERO DE 2023</t>
  </si>
  <si>
    <t>UNIVERSIDAD NACIONAL DE COLOMBIA
NIT.  899.999.063-3
CONTRATO INTERADMINISTRATIVO  1471299
ANEXO 6:  RENDIMIENTOS FINANCIEROS CUENTA PLANETA RICA
AL 31 DE ENERO DE 2023</t>
  </si>
  <si>
    <t>UNIVERSIDAD NACIONAL DE COLOMBIA
NIT.  899.999.063-3
CONTRATO INTERADMINISTRATIVO  1471299
ANEXO 6:  RENDIMIENTOS FINANCIEROS CUENTA BARRANCABERMEJA
AL 31 DE ENERO DE 2023</t>
  </si>
  <si>
    <t>UNIVERSIDAD NACIONAL DE COLOMBIA
NIT.  899.999.063-3
CONTRATO INTERADMINISTRATIVO  1471299
ANEXO 6:  RENDIMIENTOS FINANCIEROS CUENTA GRAMALOTE
AL 31 DE ENERO DE 2023</t>
  </si>
  <si>
    <t>UNIVERSIDAD NACIONAL DE COLOMBIA
NIT.  899.999.063-3
CONTRATO INTERADMINISTRATIVO  1471299
ANEXO 6:  RENDIMIENTOS FINANCIEROS CUENTA PASTORAL SOCIAL CARITAS
AL 31 DE ENERO DE 2023</t>
  </si>
  <si>
    <t>UNIVERSIDAD NACIONAL DE COLOMBIA
NIT.  899.999.063-3
CONTRATO INTERADMINISTRATIVO  1471299
ANEXO 6:  RENDIMIENTOS FINANCIEROS CUENTA MINERA DE COBRE 
QUEBRADONA
AL 31 DE ENERO DE 2023</t>
  </si>
  <si>
    <t>UNIVERSIDAD NACIONAL DE COLOMBIA
NIT.  899.999.063-3
CONTRATO INTERADMINISTRATIVO  1471299
ANEXO 6:  RENDIMIENTOS FINANCIEROS CUENTA MINISTERIO DEL INTERIOR
AL 31 DE ENERO DE 2023</t>
  </si>
  <si>
    <t>UNIVERSIDAD NACIONAL DE COLOMBIA
NIT.  899.999.063-3
CONTRATO INTERADMINISTRATIVO  1471299
ANEXO 6:  RENDIMIENTOS FINANCIEROS CUENTA MUNICIPIO MANIZALES
AL 31 DE ENERO DE 2023</t>
  </si>
  <si>
    <t>UNIVERSIDAD NACIONAL DE COLOMBIA
NIT.  899.999.063-3
CONTRATO INTERADMINISTRATIVO  1471299
ANEXO 6:  RENDIMIENTOS FINANCIEROS CUENTA DEPARTAMENTO DE NORTE DE SANTANDER
AL 31 DE ENERO DE 2023</t>
  </si>
  <si>
    <t>UNIVERSIDAD NACIONAL DE COLOMBIA
NIT.  899.999.063-3
CONTRATO INTERADMINISTRATIVO  1471299
ANEXO 6:  RENDIMIENTOS FINANCIEROS CUENTA MUNICIPIO DE LA VIRGINIA
AL 31 DE ENERO DE 2023</t>
  </si>
  <si>
    <t>UNIVERSIDAD NACIONAL DE COLOMBIA
NIT.  899.999.063-3
CONTRATO INTERADMINISTRATIVO  1471299
ANEXO 6:  RENDIMIENTOS FINANCIEROS CUENTA MUNICIPIO DE LA ACACÍAS
AL 31 DE ENERO DE 2023</t>
  </si>
  <si>
    <t>UNIVERSIDAD NACIONAL DE COLOMBIA
NIT.  899.999.063-3
CONTRATO INTERADMINISTRATIVO  1471299
ANEXO 6:  RENDIMIENTOS FINANCIEROS CUENTA DISTRITO 
ESPECIAL TURISTICO Y CULTURAL DE RIOHACHA
AL 31 DE ENERO DE 2023</t>
  </si>
  <si>
    <t>UNIVERSIDAD NACIONAL DE COLOMBIA
NIT.  899.999.063-3
CONTRATO INTERADMINISTRATIVO  1471299
ANEXO 3:  RELACION CORRIENTE /NO CORRIENTE SALDO POR EJECUTAR
AL 31 DE ENERO DE 2023</t>
  </si>
  <si>
    <t>UNIVERSIDAD NACIONAL DE COLOMBIA
NIT.  899.999.063-3
CONTRATO INTERADMINISTRATIVO  1471299
ANEXO 2:  RENDIMIENTOS FINANCIEROS CUENTA SENA  
AL 31 DE ENERO DE 2023</t>
  </si>
  <si>
    <t>Total registros bancos a 31 de diciembre de 2022</t>
  </si>
  <si>
    <t>27:REND FINANCIEROS PROYECTO 309010019253 OCC 7176</t>
  </si>
  <si>
    <t>. PAGO RETENCION EN LA FUENTE  MES DE DICIEMBRE DE 2022 FONDO ESPECIAL FACULTAD DE INGENIERIA</t>
  </si>
  <si>
    <t>. PAGO RETENCION DE INDUSTRIA Y COMERCIO VI BIMESTRE 2022 FACULTAD DE INGENIERIA</t>
  </si>
  <si>
    <t>.  GMF BBVA CTA 5797 DICIEMBRE 2022</t>
  </si>
  <si>
    <t>PAGO FINAL FAC C 8276 ADICIONAR MODIFICAR Y PRORRÓGAR LA OSE 694 DEL 2021</t>
  </si>
  <si>
    <t>AJUSTE SOLICITADO POR TESORERIA FEBRERO 3 SOLICITO SU COLABORACIÓN REALIZANDO EL AJUSTE EN LA CUENTA 29020102 DE LOS COMPROBANTES 914-1 902-6 Y 902-69 CAMBIANDO AL TERCERO POR EL SENA.</t>
  </si>
  <si>
    <t>gmf por ajustar mayor valor contabilizado</t>
  </si>
  <si>
    <t>gmf pendiente por sacar de los impuestos de diciembre</t>
  </si>
  <si>
    <t>Saldo Extracto Bancario al 30 de diciembre de 2022</t>
  </si>
  <si>
    <t>Interés Ganados cuenta ahorros BBVA  a diciembre /2022</t>
  </si>
  <si>
    <t>Saldo traslado de impuestos a diciembre 2022 (ver Hoja impuestos)</t>
  </si>
  <si>
    <t>GMF de pagos enero</t>
  </si>
  <si>
    <t>Retefuente AL 31 DE MARZO DE 2022</t>
  </si>
  <si>
    <t>Retefuente AL 30 DE ABRIL DE 2022</t>
  </si>
  <si>
    <t>Retefuente AL 31 DE MAYO DE 2022</t>
  </si>
  <si>
    <t>Retefuente AL 30 DE JUNIO DE 2022</t>
  </si>
  <si>
    <t>Retefuente AL 31 DE JULIO DE 2022</t>
  </si>
  <si>
    <t>Retefuente AL 31 DE AGOSTO DE 2022</t>
  </si>
  <si>
    <t>Retefuente AL 30 DE SEPTIEMBRE DE 2022</t>
  </si>
  <si>
    <t>Retefuente AL 31 DE OCTUBRE DE 2022</t>
  </si>
  <si>
    <t>Retefuente AL 30 DE NOVIEMBRE DE 2022</t>
  </si>
  <si>
    <t>Retefuente AL 31 DE DICIEMBRE DE 2022</t>
  </si>
  <si>
    <t>Retefuente AL 31 DE ENERO DE 2023</t>
  </si>
  <si>
    <t>GMF AL 31 DE MARZO DE 2022</t>
  </si>
  <si>
    <t>GMF AL 30 DE ABRIL DE 2022</t>
  </si>
  <si>
    <t>GMF AL 31 DE MAYO DE 2022</t>
  </si>
  <si>
    <t>GMF AL 30 DE JUNIO DE 2022</t>
  </si>
  <si>
    <t>GMF AL 31 DE JULIO DE 2022</t>
  </si>
  <si>
    <t>GMF AL 31 DE AGOSTO DE 2022</t>
  </si>
  <si>
    <t>GMF AL 30 DE SEPTIEMBRE DE 2022</t>
  </si>
  <si>
    <t>GMF AL 31 DE OCTUBRE DE 2022</t>
  </si>
  <si>
    <t>GMF AL 30 DE NOVIEMBRE DE 2022</t>
  </si>
  <si>
    <t>GMF AL 31 DE DICIEMBRE DE 2022</t>
  </si>
  <si>
    <t>GMF AL 31 DE ENERO DE 2023</t>
  </si>
  <si>
    <t>UNIVERSIDAD NACIONAL DE COLOMBIA
NIT.  899.999.063-3
CONTRATO INTERADMINISTRATIVO  1471299
ANEXO :  RENDIMIENTOS FINANCIEROS CUENTA MATRIX FIDUAGRARIA
AL 31 DE ENERO DE 2023</t>
  </si>
  <si>
    <t>GMF (DESEMBOLSOS - RETEFUENTE RENDIMIENTOS)</t>
  </si>
  <si>
    <t>TOTAL RENDIMIENTOS DISPONIBLES AL 31 DE DICIEMBRE DE 2022</t>
  </si>
  <si>
    <t>orden de pago 904-402-807 registrada en enero pagada en febrero</t>
  </si>
  <si>
    <t>RENDIMIENTOS FINANCIEROS EN COMPROBANTER 901-103-146 PROYECTO 309010019253 OCC 7176 QUE SE AJUSTARAN EN FEBRERO</t>
  </si>
  <si>
    <t>RENDIMIENTOS FINANCIEROS EN COMPROBANTE 901-103-146 PROYECTO 309010019253 OCC 7176 QUE SE AJUSTARAN EN FEBRERO</t>
  </si>
  <si>
    <t>Pendiente el pago de la orden de pago 904-402-807 causada en enero y pagada en febreo por $24.369.999 menos $5.250 del gmf pendiente por sacar de los impuestos de diciembre mas $104 del gmf por ajustar por mayor valor contabilizado</t>
  </si>
  <si>
    <t>pendiente menor valor a DEVOLVER por $2,497,64 en 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</si>
</sst>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dd/mm/yyyy;@"/>
    <numFmt numFmtId="169" formatCode="#,##0_ ;\-#,##0\ "/>
    <numFmt numFmtId="170" formatCode="dd\-mm\-yy;@"/>
    <numFmt numFmtId="171" formatCode="_ * #,##0.00_ ;_ * \-#,##0.00_ ;_ * &quot;-&quot;??_ ;_ @_ "/>
    <numFmt numFmtId="172" formatCode="#,##0_ ;[Red]\-#,##0\ "/>
    <numFmt numFmtId="173" formatCode="_(* #,##0_);_(* \(#,##0\);_(* &quot;-&quot;??_);_(@_)"/>
    <numFmt numFmtId="174" formatCode="_-&quot;$&quot;\ * #,##0_-;\-&quot;$&quot;\ * #,##0_-;_-&quot;$&quot;\ * &quot;-&quot;??_-;_-@_-"/>
    <numFmt numFmtId="175" formatCode="_(&quot;$&quot;\ * #,##0_);_(&quot;$&quot;\ * \(#,##0\);_(&quot;$&quot;\ * &quot;-&quot;??_);_(@_)"/>
    <numFmt numFmtId="176" formatCode="_-* #,##0_-;\-* #,##0_-;_-* &quot;-&quot;??_-;_-@_-"/>
    <numFmt numFmtId="177" formatCode="#,##0.00000"/>
    <numFmt numFmtId="178" formatCode="0.0%"/>
    <numFmt numFmtId="179" formatCode="#,##0.00_ ;[Red]\-#,##0.00\ "/>
    <numFmt numFmtId="180" formatCode="_ * #,##0_ ;_ * \-#,##0_ ;_ * &quot;-&quot;??_ ;_ @_ "/>
    <numFmt numFmtId="181" formatCode="#,##0.0000"/>
    <numFmt numFmtId="182" formatCode="#,##0.000000000"/>
    <numFmt numFmtId="183" formatCode="_(* #,##0.00_);_(* \(#,##0.00\);_(* &quot;-&quot;_);_(@_)"/>
  </numFmts>
  <fonts count="8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ncizar Sans"/>
      <family val="2"/>
    </font>
    <font>
      <sz val="12"/>
      <name val="Ancizar Sans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Calibri Light"/>
      <family val="2"/>
    </font>
    <font>
      <b/>
      <sz val="16"/>
      <name val="Ancizar Sans"/>
      <family val="2"/>
    </font>
    <font>
      <b/>
      <sz val="14"/>
      <name val="Ancizar Sans"/>
      <family val="2"/>
    </font>
    <font>
      <b/>
      <sz val="12"/>
      <color indexed="62"/>
      <name val="Ancizar Sans"/>
      <family val="2"/>
    </font>
    <font>
      <b/>
      <sz val="9"/>
      <color indexed="62"/>
      <name val="Ancizar Sans"/>
      <family val="2"/>
    </font>
    <font>
      <b/>
      <sz val="10"/>
      <name val="Ancizar Sans"/>
      <family val="2"/>
    </font>
    <font>
      <sz val="11"/>
      <name val="Ancizar Sans"/>
      <family val="2"/>
    </font>
    <font>
      <b/>
      <sz val="11"/>
      <name val="Ancizar Sans"/>
      <family val="2"/>
    </font>
    <font>
      <sz val="10"/>
      <color indexed="64"/>
      <name val="Microsoft Sans Serif"/>
      <family val="2"/>
    </font>
    <font>
      <sz val="10"/>
      <name val="Ancizar Sans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54"/>
      <name val="Ancizar Sans"/>
      <family val="2"/>
    </font>
    <font>
      <b/>
      <sz val="12"/>
      <color indexed="10"/>
      <name val="Ancizar Sans"/>
      <family val="2"/>
    </font>
    <font>
      <sz val="8"/>
      <name val="Calibri"/>
      <family val="2"/>
    </font>
    <font>
      <sz val="12"/>
      <name val="Ancizar Sans"/>
    </font>
    <font>
      <b/>
      <sz val="8"/>
      <name val="Ancizar Sans"/>
      <family val="2"/>
    </font>
    <font>
      <sz val="9"/>
      <name val="Ancizar Sans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Ancizar Sans"/>
      <family val="2"/>
    </font>
    <font>
      <b/>
      <sz val="12"/>
      <color theme="1"/>
      <name val="Ancizar Sans"/>
      <family val="2"/>
    </font>
    <font>
      <sz val="12"/>
      <color theme="1"/>
      <name val="Ancizar Sans"/>
      <family val="2"/>
    </font>
    <font>
      <b/>
      <sz val="10"/>
      <color theme="1"/>
      <name val="Ancizar Sans"/>
      <family val="2"/>
    </font>
    <font>
      <sz val="10"/>
      <color theme="0"/>
      <name val="Arial"/>
      <family val="2"/>
    </font>
    <font>
      <sz val="10"/>
      <color theme="3" tint="-0.499984740745262"/>
      <name val="Arial"/>
      <family val="2"/>
    </font>
    <font>
      <sz val="11"/>
      <color theme="3" tint="-0.499984740745262"/>
      <name val="Calibri"/>
      <family val="2"/>
      <scheme val="minor"/>
    </font>
    <font>
      <b/>
      <sz val="10"/>
      <color theme="3" tint="-0.499984740745262"/>
      <name val="Arial"/>
      <family val="2"/>
    </font>
    <font>
      <sz val="10"/>
      <color rgb="FFFF000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 Light"/>
      <family val="2"/>
      <scheme val="major"/>
    </font>
    <font>
      <sz val="12"/>
      <name val="Calibri Light"/>
      <family val="2"/>
      <scheme val="major"/>
    </font>
    <font>
      <b/>
      <sz val="11"/>
      <color rgb="FFFF0000"/>
      <name val="Ancizar Sans"/>
      <family val="2"/>
    </font>
    <font>
      <sz val="10"/>
      <color theme="1"/>
      <name val="Ancizar Sans"/>
      <family val="2"/>
    </font>
    <font>
      <b/>
      <sz val="12"/>
      <color theme="1"/>
      <name val="Calibri"/>
      <family val="2"/>
      <scheme val="minor"/>
    </font>
    <font>
      <b/>
      <sz val="12"/>
      <name val="Calibri Light"/>
      <family val="2"/>
      <scheme val="major"/>
    </font>
    <font>
      <b/>
      <sz val="12"/>
      <color theme="3"/>
      <name val="Ancizar Sans"/>
      <family val="2"/>
    </font>
    <font>
      <b/>
      <sz val="9"/>
      <color theme="0"/>
      <name val="Calibri"/>
      <family val="2"/>
      <scheme val="minor"/>
    </font>
    <font>
      <sz val="11"/>
      <color rgb="FFFF0000"/>
      <name val="Ancizar Sans"/>
      <family val="2"/>
    </font>
    <font>
      <b/>
      <sz val="12"/>
      <color theme="0"/>
      <name val="Ancizar Sans"/>
      <family val="2"/>
    </font>
    <font>
      <sz val="10"/>
      <color rgb="FFFF0000"/>
      <name val="Microsoft Sans Serif"/>
      <family val="2"/>
    </font>
    <font>
      <sz val="12"/>
      <color rgb="FFFF0000"/>
      <name val="Calibri"/>
      <family val="2"/>
      <scheme val="minor"/>
    </font>
    <font>
      <b/>
      <sz val="12"/>
      <color rgb="FFFF0000"/>
      <name val="Ancizar Sans"/>
      <family val="2"/>
    </font>
    <font>
      <sz val="8"/>
      <color theme="1"/>
      <name val="Ancizar Sans"/>
      <family val="2"/>
    </font>
    <font>
      <b/>
      <sz val="12"/>
      <color theme="4" tint="-0.249977111117893"/>
      <name val="Ancizar Sans"/>
      <family val="2"/>
    </font>
    <font>
      <b/>
      <sz val="10"/>
      <color theme="0"/>
      <name val="Arial"/>
      <family val="2"/>
    </font>
    <font>
      <sz val="12"/>
      <color rgb="FFFF0000"/>
      <name val="Ancizar Sans"/>
      <family val="2"/>
    </font>
    <font>
      <sz val="12"/>
      <color theme="0"/>
      <name val="Ancizar Sans"/>
      <family val="2"/>
    </font>
    <font>
      <sz val="11"/>
      <color theme="0"/>
      <name val="Ancizar Sans"/>
      <family val="2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5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BFBFBF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9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8">
    <xf numFmtId="0" fontId="0" fillId="0" borderId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1" fillId="21" borderId="0" applyNumberFormat="0" applyBorder="0" applyAlignment="0" applyProtection="0"/>
    <xf numFmtId="0" fontId="32" fillId="22" borderId="71" applyNumberFormat="0" applyAlignment="0" applyProtection="0"/>
    <xf numFmtId="0" fontId="33" fillId="23" borderId="72" applyNumberFormat="0" applyAlignment="0" applyProtection="0"/>
    <xf numFmtId="0" fontId="34" fillId="0" borderId="73" applyNumberFormat="0" applyFill="0" applyAlignment="0" applyProtection="0"/>
    <xf numFmtId="0" fontId="35" fillId="0" borderId="74" applyNumberFormat="0" applyFill="0" applyAlignment="0" applyProtection="0"/>
    <xf numFmtId="0" fontId="36" fillId="0" borderId="0" applyNumberFormat="0" applyFill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37" fillId="30" borderId="71" applyNumberFormat="0" applyAlignment="0" applyProtection="0"/>
    <xf numFmtId="0" fontId="38" fillId="31" borderId="0" applyNumberFormat="0" applyBorder="0" applyAlignment="0" applyProtection="0"/>
    <xf numFmtId="167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9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39" fillId="32" borderId="0" applyNumberFormat="0" applyBorder="0" applyAlignment="0" applyProtection="0"/>
    <xf numFmtId="0" fontId="1" fillId="0" borderId="0"/>
    <xf numFmtId="0" fontId="29" fillId="0" borderId="0"/>
    <xf numFmtId="0" fontId="29" fillId="33" borderId="75" applyNumberFormat="0" applyFont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0" fillId="22" borderId="76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77" applyNumberFormat="0" applyFill="0" applyAlignment="0" applyProtection="0"/>
    <xf numFmtId="0" fontId="36" fillId="0" borderId="78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79" applyNumberFormat="0" applyFill="0" applyAlignment="0" applyProtection="0"/>
  </cellStyleXfs>
  <cellXfs count="1334">
    <xf numFmtId="0" fontId="0" fillId="0" borderId="0" xfId="0"/>
    <xf numFmtId="1" fontId="46" fillId="0" borderId="0" xfId="0" applyNumberFormat="1" applyFont="1" applyBorder="1" applyAlignment="1">
      <alignment wrapText="1"/>
    </xf>
    <xf numFmtId="3" fontId="47" fillId="0" borderId="0" xfId="0" applyNumberFormat="1" applyFont="1" applyAlignment="1">
      <alignment vertical="center" wrapText="1"/>
    </xf>
    <xf numFmtId="4" fontId="46" fillId="0" borderId="0" xfId="56" applyNumberFormat="1" applyFont="1"/>
    <xf numFmtId="0" fontId="46" fillId="0" borderId="0" xfId="56" applyFont="1"/>
    <xf numFmtId="4" fontId="47" fillId="0" borderId="0" xfId="56" applyNumberFormat="1" applyFont="1"/>
    <xf numFmtId="0" fontId="47" fillId="0" borderId="0" xfId="56" applyFont="1"/>
    <xf numFmtId="3" fontId="46" fillId="0" borderId="1" xfId="56" applyNumberFormat="1" applyFont="1" applyBorder="1" applyAlignment="1">
      <alignment horizontal="center" vertical="center" wrapText="1"/>
    </xf>
    <xf numFmtId="0" fontId="47" fillId="0" borderId="2" xfId="56" applyFont="1" applyBorder="1"/>
    <xf numFmtId="0" fontId="47" fillId="0" borderId="0" xfId="56" applyFont="1" applyBorder="1"/>
    <xf numFmtId="4" fontId="47" fillId="0" borderId="0" xfId="56" applyNumberFormat="1" applyFont="1" applyBorder="1" applyAlignment="1">
      <alignment vertical="center"/>
    </xf>
    <xf numFmtId="3" fontId="47" fillId="0" borderId="3" xfId="48" applyNumberFormat="1" applyFont="1" applyBorder="1" applyAlignment="1">
      <alignment vertical="center" wrapText="1"/>
    </xf>
    <xf numFmtId="4" fontId="47" fillId="0" borderId="0" xfId="56" applyNumberFormat="1" applyFont="1" applyFill="1"/>
    <xf numFmtId="4" fontId="46" fillId="0" borderId="0" xfId="56" applyNumberFormat="1" applyFont="1" applyFill="1"/>
    <xf numFmtId="4" fontId="48" fillId="34" borderId="4" xfId="56" applyNumberFormat="1" applyFont="1" applyFill="1" applyBorder="1" applyAlignment="1">
      <alignment horizontal="left" vertical="center"/>
    </xf>
    <xf numFmtId="4" fontId="48" fillId="34" borderId="5" xfId="56" applyNumberFormat="1" applyFont="1" applyFill="1" applyBorder="1" applyAlignment="1">
      <alignment horizontal="left" vertical="center"/>
    </xf>
    <xf numFmtId="0" fontId="47" fillId="0" borderId="0" xfId="56" applyFont="1" applyAlignment="1">
      <alignment horizontal="center"/>
    </xf>
    <xf numFmtId="1" fontId="47" fillId="0" borderId="0" xfId="56" applyNumberFormat="1" applyFont="1" applyAlignment="1">
      <alignment horizontal="center"/>
    </xf>
    <xf numFmtId="0" fontId="47" fillId="0" borderId="0" xfId="56" applyFont="1" applyAlignment="1">
      <alignment wrapText="1"/>
    </xf>
    <xf numFmtId="3" fontId="47" fillId="0" borderId="0" xfId="56" applyNumberFormat="1" applyFont="1" applyAlignment="1">
      <alignment wrapText="1"/>
    </xf>
    <xf numFmtId="40" fontId="47" fillId="0" borderId="0" xfId="56" applyNumberFormat="1" applyFont="1"/>
    <xf numFmtId="0" fontId="47" fillId="0" borderId="0" xfId="56" applyFont="1" applyBorder="1" applyAlignment="1">
      <alignment wrapText="1"/>
    </xf>
    <xf numFmtId="4" fontId="46" fillId="0" borderId="0" xfId="56" applyNumberFormat="1" applyFont="1" applyBorder="1" applyAlignment="1">
      <alignment wrapText="1"/>
    </xf>
    <xf numFmtId="3" fontId="47" fillId="0" borderId="6" xfId="56" applyNumberFormat="1" applyFont="1" applyBorder="1" applyAlignment="1">
      <alignment wrapText="1"/>
    </xf>
    <xf numFmtId="15" fontId="47" fillId="0" borderId="6" xfId="56" applyNumberFormat="1" applyFont="1" applyBorder="1"/>
    <xf numFmtId="1" fontId="47" fillId="0" borderId="0" xfId="56" applyNumberFormat="1" applyFont="1" applyBorder="1" applyAlignment="1">
      <alignment horizontal="center"/>
    </xf>
    <xf numFmtId="3" fontId="47" fillId="0" borderId="0" xfId="56" applyNumberFormat="1" applyFont="1"/>
    <xf numFmtId="0" fontId="47" fillId="0" borderId="0" xfId="56" applyFont="1" applyAlignment="1"/>
    <xf numFmtId="0" fontId="1" fillId="0" borderId="0" xfId="56"/>
    <xf numFmtId="3" fontId="1" fillId="0" borderId="0" xfId="56" applyNumberFormat="1"/>
    <xf numFmtId="3" fontId="1" fillId="0" borderId="0" xfId="56" applyNumberFormat="1" applyAlignment="1">
      <alignment vertical="center"/>
    </xf>
    <xf numFmtId="3" fontId="5" fillId="0" borderId="0" xfId="56" applyNumberFormat="1" applyFont="1" applyAlignment="1">
      <alignment vertical="center"/>
    </xf>
    <xf numFmtId="0" fontId="5" fillId="0" borderId="0" xfId="56" applyFont="1" applyAlignment="1">
      <alignment vertical="center"/>
    </xf>
    <xf numFmtId="0" fontId="4" fillId="35" borderId="0" xfId="56" applyFont="1" applyFill="1" applyAlignment="1">
      <alignment vertical="center"/>
    </xf>
    <xf numFmtId="3" fontId="4" fillId="35" borderId="0" xfId="56" applyNumberFormat="1" applyFont="1" applyFill="1" applyAlignment="1">
      <alignment vertical="center"/>
    </xf>
    <xf numFmtId="171" fontId="4" fillId="0" borderId="0" xfId="39" applyFont="1" applyAlignment="1">
      <alignment vertical="center"/>
    </xf>
    <xf numFmtId="0" fontId="4" fillId="0" borderId="0" xfId="56" applyFont="1" applyAlignment="1">
      <alignment vertical="center"/>
    </xf>
    <xf numFmtId="0" fontId="45" fillId="0" borderId="0" xfId="56" applyFont="1" applyAlignment="1">
      <alignment vertical="center"/>
    </xf>
    <xf numFmtId="0" fontId="45" fillId="36" borderId="7" xfId="56" applyFont="1" applyFill="1" applyBorder="1" applyAlignment="1">
      <alignment horizontal="center" vertical="center" wrapText="1"/>
    </xf>
    <xf numFmtId="3" fontId="45" fillId="36" borderId="7" xfId="56" applyNumberFormat="1" applyFont="1" applyFill="1" applyBorder="1" applyAlignment="1">
      <alignment horizontal="center" vertical="center" wrapText="1"/>
    </xf>
    <xf numFmtId="0" fontId="1" fillId="0" borderId="0" xfId="56" applyAlignment="1">
      <alignment vertical="center"/>
    </xf>
    <xf numFmtId="17" fontId="1" fillId="0" borderId="7" xfId="56" applyNumberFormat="1" applyBorder="1" applyAlignment="1">
      <alignment horizontal="center" vertical="center"/>
    </xf>
    <xf numFmtId="3" fontId="1" fillId="0" borderId="7" xfId="56" applyNumberFormat="1" applyBorder="1" applyAlignment="1">
      <alignment vertical="center"/>
    </xf>
    <xf numFmtId="0" fontId="6" fillId="0" borderId="7" xfId="56" applyFont="1" applyBorder="1" applyAlignment="1">
      <alignment horizontal="justify" vertical="center" wrapText="1"/>
    </xf>
    <xf numFmtId="0" fontId="1" fillId="0" borderId="0" xfId="56" applyAlignment="1">
      <alignment vertical="center" wrapText="1"/>
    </xf>
    <xf numFmtId="3" fontId="6" fillId="0" borderId="7" xfId="56" applyNumberFormat="1" applyFont="1" applyBorder="1" applyAlignment="1">
      <alignment horizontal="justify" vertical="center" wrapText="1"/>
    </xf>
    <xf numFmtId="3" fontId="1" fillId="0" borderId="7" xfId="56" applyNumberFormat="1" applyFill="1" applyBorder="1" applyAlignment="1">
      <alignment vertical="center" wrapText="1"/>
    </xf>
    <xf numFmtId="0" fontId="5" fillId="37" borderId="7" xfId="56" applyFont="1" applyFill="1" applyBorder="1" applyAlignment="1">
      <alignment horizontal="center" vertical="center"/>
    </xf>
    <xf numFmtId="3" fontId="5" fillId="37" borderId="7" xfId="56" applyNumberFormat="1" applyFont="1" applyFill="1" applyBorder="1" applyAlignment="1">
      <alignment vertical="center"/>
    </xf>
    <xf numFmtId="4" fontId="4" fillId="0" borderId="0" xfId="39" applyNumberFormat="1" applyFont="1" applyAlignment="1">
      <alignment horizontal="left" vertical="center"/>
    </xf>
    <xf numFmtId="4" fontId="5" fillId="0" borderId="0" xfId="56" applyNumberFormat="1" applyFont="1" applyAlignment="1">
      <alignment horizontal="left" vertical="center"/>
    </xf>
    <xf numFmtId="4" fontId="1" fillId="0" borderId="0" xfId="56" applyNumberFormat="1" applyAlignment="1">
      <alignment horizontal="left" vertical="center"/>
    </xf>
    <xf numFmtId="0" fontId="1" fillId="0" borderId="0" xfId="56" applyFont="1" applyAlignment="1">
      <alignment vertical="center"/>
    </xf>
    <xf numFmtId="3" fontId="1" fillId="0" borderId="0" xfId="56" applyNumberFormat="1" applyFont="1" applyAlignment="1">
      <alignment vertical="center"/>
    </xf>
    <xf numFmtId="4" fontId="4" fillId="0" borderId="0" xfId="56" applyNumberFormat="1" applyFont="1" applyAlignment="1">
      <alignment horizontal="left" vertical="center"/>
    </xf>
    <xf numFmtId="4" fontId="5" fillId="0" borderId="0" xfId="56" applyNumberFormat="1" applyFont="1" applyAlignment="1">
      <alignment horizontal="left"/>
    </xf>
    <xf numFmtId="0" fontId="1" fillId="0" borderId="0" xfId="56" applyAlignment="1">
      <alignment wrapText="1"/>
    </xf>
    <xf numFmtId="0" fontId="5" fillId="0" borderId="0" xfId="56" applyFont="1" applyFill="1" applyAlignment="1">
      <alignment vertical="center"/>
    </xf>
    <xf numFmtId="0" fontId="45" fillId="0" borderId="0" xfId="56" applyFont="1" applyFill="1" applyAlignment="1">
      <alignment wrapText="1"/>
    </xf>
    <xf numFmtId="3" fontId="5" fillId="0" borderId="0" xfId="56" applyNumberFormat="1" applyFont="1" applyFill="1" applyAlignment="1">
      <alignment vertical="center"/>
    </xf>
    <xf numFmtId="3" fontId="45" fillId="0" borderId="0" xfId="56" applyNumberFormat="1" applyFont="1" applyFill="1" applyAlignment="1">
      <alignment vertical="center"/>
    </xf>
    <xf numFmtId="3" fontId="1" fillId="0" borderId="0" xfId="56" applyNumberFormat="1" applyFill="1" applyAlignment="1">
      <alignment vertical="center"/>
    </xf>
    <xf numFmtId="4" fontId="1" fillId="0" borderId="0" xfId="56" applyNumberFormat="1" applyFill="1" applyAlignment="1">
      <alignment horizontal="left" vertical="center"/>
    </xf>
    <xf numFmtId="0" fontId="1" fillId="0" borderId="0" xfId="56" applyFill="1" applyAlignment="1">
      <alignment vertical="center"/>
    </xf>
    <xf numFmtId="4" fontId="4" fillId="0" borderId="0" xfId="56" applyNumberFormat="1" applyFont="1" applyFill="1" applyAlignment="1">
      <alignment horizontal="left" vertical="center"/>
    </xf>
    <xf numFmtId="0" fontId="4" fillId="0" borderId="0" xfId="56" applyFont="1" applyFill="1" applyAlignment="1">
      <alignment vertical="center"/>
    </xf>
    <xf numFmtId="3" fontId="1" fillId="0" borderId="0" xfId="56" applyNumberFormat="1" applyAlignment="1">
      <alignment horizontal="right" vertical="center"/>
    </xf>
    <xf numFmtId="3" fontId="1" fillId="0" borderId="0" xfId="56" applyNumberFormat="1" applyAlignment="1">
      <alignment horizontal="center"/>
    </xf>
    <xf numFmtId="3" fontId="4" fillId="0" borderId="0" xfId="56" applyNumberFormat="1" applyFont="1" applyFill="1" applyAlignment="1">
      <alignment vertical="center"/>
    </xf>
    <xf numFmtId="4" fontId="29" fillId="0" borderId="0" xfId="39" applyNumberFormat="1" applyFont="1" applyAlignment="1">
      <alignment horizontal="left"/>
    </xf>
    <xf numFmtId="3" fontId="1" fillId="0" borderId="0" xfId="56" applyNumberFormat="1" applyAlignment="1">
      <alignment horizontal="right"/>
    </xf>
    <xf numFmtId="0" fontId="5" fillId="0" borderId="0" xfId="56" applyFont="1" applyAlignment="1">
      <alignment wrapText="1"/>
    </xf>
    <xf numFmtId="0" fontId="1" fillId="0" borderId="0" xfId="56" applyFill="1"/>
    <xf numFmtId="0" fontId="5" fillId="0" borderId="0" xfId="56" applyFont="1"/>
    <xf numFmtId="0" fontId="1" fillId="0" borderId="0" xfId="56" applyFill="1" applyAlignment="1">
      <alignment wrapText="1"/>
    </xf>
    <xf numFmtId="14" fontId="1" fillId="0" borderId="0" xfId="56" applyNumberFormat="1" applyFill="1" applyAlignment="1">
      <alignment vertical="center"/>
    </xf>
    <xf numFmtId="8" fontId="1" fillId="0" borderId="0" xfId="56" applyNumberFormat="1" applyFill="1" applyAlignment="1">
      <alignment horizontal="right" vertical="center"/>
    </xf>
    <xf numFmtId="0" fontId="1" fillId="0" borderId="0" xfId="56" applyFill="1" applyAlignment="1">
      <alignment horizontal="right" vertical="center"/>
    </xf>
    <xf numFmtId="8" fontId="5" fillId="0" borderId="0" xfId="56" applyNumberFormat="1" applyFont="1" applyAlignment="1">
      <alignment horizontal="right" vertical="center"/>
    </xf>
    <xf numFmtId="0" fontId="5" fillId="0" borderId="0" xfId="56" applyFont="1" applyAlignment="1">
      <alignment horizontal="left"/>
    </xf>
    <xf numFmtId="0" fontId="5" fillId="0" borderId="7" xfId="56" applyFont="1" applyBorder="1" applyAlignment="1">
      <alignment horizontal="left"/>
    </xf>
    <xf numFmtId="0" fontId="5" fillId="0" borderId="8" xfId="56" applyFont="1" applyBorder="1" applyAlignment="1">
      <alignment horizontal="center" vertical="center"/>
    </xf>
    <xf numFmtId="0" fontId="5" fillId="0" borderId="9" xfId="56" applyFont="1" applyBorder="1" applyAlignment="1">
      <alignment horizontal="center" vertical="center" wrapText="1"/>
    </xf>
    <xf numFmtId="0" fontId="5" fillId="0" borderId="10" xfId="56" applyFont="1" applyBorder="1" applyAlignment="1">
      <alignment horizontal="center" vertical="center"/>
    </xf>
    <xf numFmtId="17" fontId="1" fillId="0" borderId="11" xfId="56" applyNumberFormat="1" applyBorder="1" applyAlignment="1">
      <alignment horizontal="left"/>
    </xf>
    <xf numFmtId="172" fontId="1" fillId="0" borderId="7" xfId="56" applyNumberFormat="1" applyBorder="1" applyAlignment="1">
      <alignment horizontal="right" vertical="center"/>
    </xf>
    <xf numFmtId="171" fontId="29" fillId="0" borderId="0" xfId="39" applyFont="1" applyAlignment="1">
      <alignment wrapText="1"/>
    </xf>
    <xf numFmtId="171" fontId="1" fillId="0" borderId="0" xfId="56" applyNumberFormat="1"/>
    <xf numFmtId="43" fontId="1" fillId="0" borderId="0" xfId="56" applyNumberFormat="1"/>
    <xf numFmtId="0" fontId="1" fillId="0" borderId="7" xfId="56" applyBorder="1" applyAlignment="1">
      <alignment vertical="center"/>
    </xf>
    <xf numFmtId="0" fontId="1" fillId="0" borderId="7" xfId="56" applyBorder="1" applyAlignment="1">
      <alignment wrapText="1"/>
    </xf>
    <xf numFmtId="0" fontId="1" fillId="0" borderId="7" xfId="56" applyBorder="1" applyAlignment="1">
      <alignment vertical="center" wrapText="1"/>
    </xf>
    <xf numFmtId="171" fontId="5" fillId="0" borderId="0" xfId="56" applyNumberFormat="1" applyFont="1"/>
    <xf numFmtId="0" fontId="5" fillId="38" borderId="0" xfId="56" applyFont="1" applyFill="1" applyAlignment="1">
      <alignment horizontal="left"/>
    </xf>
    <xf numFmtId="169" fontId="5" fillId="0" borderId="0" xfId="56" applyNumberFormat="1" applyFont="1"/>
    <xf numFmtId="0" fontId="1" fillId="0" borderId="0" xfId="56" applyAlignment="1">
      <alignment horizontal="left"/>
    </xf>
    <xf numFmtId="41" fontId="29" fillId="0" borderId="0" xfId="37" applyFont="1"/>
    <xf numFmtId="41" fontId="1" fillId="0" borderId="0" xfId="56" applyNumberFormat="1"/>
    <xf numFmtId="0" fontId="5" fillId="39" borderId="0" xfId="56" applyFont="1" applyFill="1"/>
    <xf numFmtId="3" fontId="5" fillId="39" borderId="0" xfId="56" applyNumberFormat="1" applyFont="1" applyFill="1"/>
    <xf numFmtId="0" fontId="5" fillId="0" borderId="0" xfId="56" applyFont="1" applyAlignment="1">
      <alignment horizontal="center"/>
    </xf>
    <xf numFmtId="3" fontId="5" fillId="0" borderId="0" xfId="56" applyNumberFormat="1" applyFont="1" applyAlignment="1">
      <alignment horizontal="center"/>
    </xf>
    <xf numFmtId="17" fontId="1" fillId="0" borderId="0" xfId="56" applyNumberFormat="1" applyAlignment="1">
      <alignment horizontal="left"/>
    </xf>
    <xf numFmtId="0" fontId="1" fillId="0" borderId="0" xfId="56" applyAlignment="1">
      <alignment horizontal="center" vertical="center"/>
    </xf>
    <xf numFmtId="171" fontId="5" fillId="39" borderId="0" xfId="56" applyNumberFormat="1" applyFont="1" applyFill="1"/>
    <xf numFmtId="3" fontId="5" fillId="38" borderId="0" xfId="56" applyNumberFormat="1" applyFont="1" applyFill="1"/>
    <xf numFmtId="173" fontId="1" fillId="0" borderId="0" xfId="33" applyNumberFormat="1" applyFont="1" applyFill="1" applyAlignment="1">
      <alignment horizontal="left" vertical="center"/>
    </xf>
    <xf numFmtId="0" fontId="49" fillId="0" borderId="0" xfId="0" applyFont="1"/>
    <xf numFmtId="3" fontId="2" fillId="40" borderId="1" xfId="0" applyNumberFormat="1" applyFont="1" applyFill="1" applyBorder="1" applyAlignment="1">
      <alignment horizontal="center" vertical="center" wrapText="1"/>
    </xf>
    <xf numFmtId="3" fontId="2" fillId="0" borderId="3" xfId="44" applyNumberFormat="1" applyFont="1" applyFill="1" applyBorder="1" applyAlignment="1">
      <alignment vertical="center" wrapText="1"/>
    </xf>
    <xf numFmtId="3" fontId="2" fillId="0" borderId="0" xfId="44" applyNumberFormat="1" applyFont="1" applyFill="1" applyBorder="1" applyAlignment="1">
      <alignment vertical="center" wrapText="1"/>
    </xf>
    <xf numFmtId="3" fontId="3" fillId="0" borderId="3" xfId="44" applyNumberFormat="1" applyFont="1" applyFill="1" applyBorder="1" applyAlignment="1">
      <alignment vertical="center" wrapText="1"/>
    </xf>
    <xf numFmtId="3" fontId="3" fillId="0" borderId="0" xfId="44" applyNumberFormat="1" applyFont="1" applyFill="1" applyBorder="1" applyAlignment="1">
      <alignment vertical="center" wrapText="1"/>
    </xf>
    <xf numFmtId="3" fontId="2" fillId="40" borderId="12" xfId="44" applyNumberFormat="1" applyFont="1" applyFill="1" applyBorder="1" applyAlignment="1">
      <alignment vertical="center" wrapText="1"/>
    </xf>
    <xf numFmtId="3" fontId="2" fillId="0" borderId="13" xfId="44" applyNumberFormat="1" applyFont="1" applyFill="1" applyBorder="1" applyAlignment="1">
      <alignment vertical="center" wrapText="1"/>
    </xf>
    <xf numFmtId="4" fontId="2" fillId="40" borderId="14" xfId="0" applyNumberFormat="1" applyFont="1" applyFill="1" applyBorder="1" applyAlignment="1">
      <alignment vertical="center"/>
    </xf>
    <xf numFmtId="4" fontId="2" fillId="40" borderId="15" xfId="0" applyNumberFormat="1" applyFont="1" applyFill="1" applyBorder="1" applyAlignment="1">
      <alignment vertical="center"/>
    </xf>
    <xf numFmtId="3" fontId="2" fillId="40" borderId="16" xfId="44" applyNumberFormat="1" applyFont="1" applyFill="1" applyBorder="1" applyAlignment="1">
      <alignment horizontal="right" vertical="center"/>
    </xf>
    <xf numFmtId="9" fontId="2" fillId="0" borderId="0" xfId="44" applyNumberFormat="1" applyFont="1" applyFill="1" applyBorder="1" applyAlignment="1">
      <alignment horizontal="center"/>
    </xf>
    <xf numFmtId="0" fontId="49" fillId="0" borderId="0" xfId="0" applyFont="1" applyAlignment="1">
      <alignment horizontal="center" vertical="center"/>
    </xf>
    <xf numFmtId="173" fontId="3" fillId="0" borderId="17" xfId="33" applyNumberFormat="1" applyFont="1" applyFill="1" applyBorder="1" applyAlignment="1">
      <alignment horizontal="center" vertical="center" wrapText="1"/>
    </xf>
    <xf numFmtId="169" fontId="3" fillId="0" borderId="18" xfId="33" applyNumberFormat="1" applyFont="1" applyFill="1" applyBorder="1" applyAlignment="1">
      <alignment horizontal="right" vertical="center" wrapText="1"/>
    </xf>
    <xf numFmtId="3" fontId="3" fillId="0" borderId="19" xfId="33" applyNumberFormat="1" applyFont="1" applyFill="1" applyBorder="1" applyAlignment="1">
      <alignment horizontal="right" vertical="center" wrapText="1"/>
    </xf>
    <xf numFmtId="38" fontId="2" fillId="0" borderId="20" xfId="33" applyNumberFormat="1" applyFont="1" applyFill="1" applyBorder="1" applyAlignment="1">
      <alignment vertical="center"/>
    </xf>
    <xf numFmtId="38" fontId="2" fillId="0" borderId="21" xfId="33" applyNumberFormat="1" applyFont="1" applyFill="1" applyBorder="1" applyAlignment="1">
      <alignment vertical="center"/>
    </xf>
    <xf numFmtId="38" fontId="2" fillId="0" borderId="22" xfId="33" applyNumberFormat="1" applyFont="1" applyFill="1" applyBorder="1" applyAlignment="1">
      <alignment vertical="center"/>
    </xf>
    <xf numFmtId="38" fontId="2" fillId="0" borderId="23" xfId="33" applyNumberFormat="1" applyFont="1" applyFill="1" applyBorder="1" applyAlignment="1">
      <alignment vertical="center"/>
    </xf>
    <xf numFmtId="40" fontId="3" fillId="0" borderId="0" xfId="33" applyNumberFormat="1" applyFont="1" applyFill="1"/>
    <xf numFmtId="1" fontId="2" fillId="0" borderId="0" xfId="0" applyNumberFormat="1" applyFont="1" applyBorder="1" applyAlignment="1">
      <alignment wrapText="1"/>
    </xf>
    <xf numFmtId="3" fontId="3" fillId="0" borderId="0" xfId="0" applyNumberFormat="1" applyFont="1" applyAlignment="1">
      <alignment vertical="center" wrapText="1"/>
    </xf>
    <xf numFmtId="3" fontId="3" fillId="0" borderId="0" xfId="33" applyNumberFormat="1" applyFont="1" applyFill="1"/>
    <xf numFmtId="3" fontId="3" fillId="0" borderId="0" xfId="0" applyNumberFormat="1" applyFont="1" applyFill="1" applyAlignment="1">
      <alignment vertical="center" wrapText="1"/>
    </xf>
    <xf numFmtId="1" fontId="46" fillId="0" borderId="24" xfId="0" applyNumberFormat="1" applyFont="1" applyBorder="1" applyAlignment="1">
      <alignment horizontal="left" wrapText="1"/>
    </xf>
    <xf numFmtId="3" fontId="47" fillId="0" borderId="0" xfId="0" applyNumberFormat="1" applyFont="1" applyAlignment="1">
      <alignment horizontal="left" vertical="center" wrapText="1"/>
    </xf>
    <xf numFmtId="1" fontId="47" fillId="0" borderId="6" xfId="56" applyNumberFormat="1" applyFont="1" applyBorder="1" applyAlignment="1">
      <alignment horizontal="center"/>
    </xf>
    <xf numFmtId="0" fontId="47" fillId="0" borderId="6" xfId="56" applyFont="1" applyBorder="1" applyAlignment="1">
      <alignment horizontal="center" wrapText="1"/>
    </xf>
    <xf numFmtId="3" fontId="47" fillId="0" borderId="6" xfId="56" applyNumberFormat="1" applyFont="1" applyBorder="1"/>
    <xf numFmtId="3" fontId="3" fillId="0" borderId="0" xfId="0" applyNumberFormat="1" applyFont="1" applyAlignment="1">
      <alignment horizontal="left" vertical="center" wrapText="1"/>
    </xf>
    <xf numFmtId="1" fontId="2" fillId="0" borderId="0" xfId="0" applyNumberFormat="1" applyFont="1" applyBorder="1" applyAlignment="1">
      <alignment horizontal="left" wrapText="1"/>
    </xf>
    <xf numFmtId="4" fontId="2" fillId="0" borderId="0" xfId="56" applyNumberFormat="1" applyFont="1"/>
    <xf numFmtId="0" fontId="2" fillId="0" borderId="0" xfId="56" applyFont="1"/>
    <xf numFmtId="3" fontId="3" fillId="0" borderId="6" xfId="56" applyNumberFormat="1" applyFont="1" applyBorder="1" applyAlignment="1">
      <alignment wrapText="1"/>
    </xf>
    <xf numFmtId="15" fontId="3" fillId="0" borderId="6" xfId="56" applyNumberFormat="1" applyFont="1" applyBorder="1"/>
    <xf numFmtId="1" fontId="3" fillId="0" borderId="0" xfId="56" applyNumberFormat="1" applyFont="1" applyBorder="1" applyAlignment="1">
      <alignment horizontal="center"/>
    </xf>
    <xf numFmtId="1" fontId="3" fillId="0" borderId="6" xfId="56" applyNumberFormat="1" applyFont="1" applyBorder="1" applyAlignment="1">
      <alignment horizontal="center"/>
    </xf>
    <xf numFmtId="0" fontId="3" fillId="0" borderId="6" xfId="56" applyFont="1" applyBorder="1" applyAlignment="1">
      <alignment horizontal="center" wrapText="1"/>
    </xf>
    <xf numFmtId="3" fontId="3" fillId="0" borderId="6" xfId="56" applyNumberFormat="1" applyFont="1" applyBorder="1"/>
    <xf numFmtId="4" fontId="3" fillId="0" borderId="0" xfId="56" applyNumberFormat="1" applyFont="1"/>
    <xf numFmtId="40" fontId="3" fillId="0" borderId="0" xfId="56" applyNumberFormat="1" applyFont="1"/>
    <xf numFmtId="0" fontId="3" fillId="0" borderId="0" xfId="56" applyFont="1"/>
    <xf numFmtId="0" fontId="3" fillId="0" borderId="0" xfId="56" applyFont="1" applyAlignment="1">
      <alignment horizontal="center"/>
    </xf>
    <xf numFmtId="1" fontId="3" fillId="0" borderId="0" xfId="56" applyNumberFormat="1" applyFont="1" applyAlignment="1">
      <alignment horizontal="center"/>
    </xf>
    <xf numFmtId="0" fontId="3" fillId="0" borderId="0" xfId="56" applyFont="1" applyAlignment="1">
      <alignment wrapText="1"/>
    </xf>
    <xf numFmtId="3" fontId="3" fillId="0" borderId="0" xfId="56" applyNumberFormat="1" applyFont="1" applyAlignment="1">
      <alignment wrapText="1"/>
    </xf>
    <xf numFmtId="3" fontId="3" fillId="0" borderId="0" xfId="56" applyNumberFormat="1" applyFont="1" applyBorder="1" applyAlignment="1">
      <alignment wrapText="1"/>
    </xf>
    <xf numFmtId="15" fontId="3" fillId="0" borderId="0" xfId="56" applyNumberFormat="1" applyFont="1" applyBorder="1"/>
    <xf numFmtId="0" fontId="3" fillId="0" borderId="0" xfId="56" applyFont="1" applyBorder="1" applyAlignment="1">
      <alignment horizontal="center" wrapText="1"/>
    </xf>
    <xf numFmtId="3" fontId="3" fillId="0" borderId="0" xfId="56" applyNumberFormat="1" applyFont="1"/>
    <xf numFmtId="1" fontId="2" fillId="0" borderId="0" xfId="56" applyNumberFormat="1" applyFont="1" applyBorder="1" applyAlignment="1">
      <alignment wrapText="1"/>
    </xf>
    <xf numFmtId="0" fontId="50" fillId="40" borderId="0" xfId="56" applyFont="1" applyFill="1" applyAlignment="1">
      <alignment horizontal="left"/>
    </xf>
    <xf numFmtId="3" fontId="50" fillId="40" borderId="0" xfId="56" applyNumberFormat="1" applyFont="1" applyFill="1"/>
    <xf numFmtId="9" fontId="51" fillId="0" borderId="0" xfId="60" applyFont="1"/>
    <xf numFmtId="0" fontId="50" fillId="0" borderId="0" xfId="56" applyFont="1" applyFill="1" applyAlignment="1">
      <alignment horizontal="left"/>
    </xf>
    <xf numFmtId="3" fontId="3" fillId="0" borderId="0" xfId="56" applyNumberFormat="1" applyFont="1" applyFill="1"/>
    <xf numFmtId="9" fontId="51" fillId="0" borderId="0" xfId="60" applyFont="1" applyFill="1"/>
    <xf numFmtId="3" fontId="50" fillId="37" borderId="0" xfId="56" applyNumberFormat="1" applyFont="1" applyFill="1" applyAlignment="1">
      <alignment horizontal="center" vertical="center" wrapText="1"/>
    </xf>
    <xf numFmtId="9" fontId="50" fillId="37" borderId="0" xfId="60" applyFont="1" applyFill="1" applyAlignment="1">
      <alignment horizontal="center" vertical="center" wrapText="1"/>
    </xf>
    <xf numFmtId="3" fontId="50" fillId="41" borderId="0" xfId="56" applyNumberFormat="1" applyFont="1" applyFill="1" applyAlignment="1">
      <alignment horizontal="center" vertical="center" wrapText="1"/>
    </xf>
    <xf numFmtId="9" fontId="50" fillId="41" borderId="0" xfId="60" applyFont="1" applyFill="1" applyAlignment="1">
      <alignment horizontal="center" vertical="center" wrapText="1"/>
    </xf>
    <xf numFmtId="170" fontId="3" fillId="0" borderId="0" xfId="56" applyNumberFormat="1" applyFont="1" applyAlignment="1">
      <alignment horizontal="center" vertical="center"/>
    </xf>
    <xf numFmtId="3" fontId="3" fillId="0" borderId="0" xfId="56" applyNumberFormat="1" applyFont="1" applyAlignment="1">
      <alignment vertical="center"/>
    </xf>
    <xf numFmtId="9" fontId="51" fillId="0" borderId="0" xfId="60" applyFont="1" applyAlignment="1">
      <alignment horizontal="center" vertical="center"/>
    </xf>
    <xf numFmtId="170" fontId="3" fillId="0" borderId="0" xfId="56" applyNumberFormat="1" applyFont="1" applyAlignment="1">
      <alignment horizontal="center"/>
    </xf>
    <xf numFmtId="170" fontId="50" fillId="0" borderId="0" xfId="56" applyNumberFormat="1" applyFont="1" applyAlignment="1">
      <alignment horizontal="left"/>
    </xf>
    <xf numFmtId="9" fontId="51" fillId="0" borderId="0" xfId="60" applyFont="1" applyAlignment="1">
      <alignment horizontal="center"/>
    </xf>
    <xf numFmtId="170" fontId="50" fillId="37" borderId="0" xfId="56" applyNumberFormat="1" applyFont="1" applyFill="1" applyAlignment="1">
      <alignment horizontal="center"/>
    </xf>
    <xf numFmtId="3" fontId="50" fillId="37" borderId="0" xfId="56" applyNumberFormat="1" applyFont="1" applyFill="1"/>
    <xf numFmtId="3" fontId="50" fillId="41" borderId="0" xfId="56" applyNumberFormat="1" applyFont="1" applyFill="1"/>
    <xf numFmtId="0" fontId="3" fillId="41" borderId="0" xfId="56" applyFont="1" applyFill="1"/>
    <xf numFmtId="170" fontId="50" fillId="42" borderId="0" xfId="56" applyNumberFormat="1" applyFont="1" applyFill="1" applyAlignment="1">
      <alignment horizontal="center"/>
    </xf>
    <xf numFmtId="3" fontId="50" fillId="42" borderId="0" xfId="56" applyNumberFormat="1" applyFont="1" applyFill="1"/>
    <xf numFmtId="9" fontId="50" fillId="42" borderId="0" xfId="60" applyFont="1" applyFill="1"/>
    <xf numFmtId="0" fontId="50" fillId="42" borderId="0" xfId="56" applyFont="1" applyFill="1"/>
    <xf numFmtId="3" fontId="1" fillId="0" borderId="7" xfId="56" quotePrefix="1" applyNumberFormat="1" applyBorder="1" applyAlignment="1">
      <alignment vertical="center"/>
    </xf>
    <xf numFmtId="175" fontId="1" fillId="0" borderId="0" xfId="44" applyNumberFormat="1" applyFont="1"/>
    <xf numFmtId="175" fontId="29" fillId="0" borderId="0" xfId="44" applyNumberFormat="1" applyFont="1"/>
    <xf numFmtId="0" fontId="51" fillId="0" borderId="0" xfId="0" applyFont="1"/>
    <xf numFmtId="176" fontId="51" fillId="0" borderId="0" xfId="33" applyNumberFormat="1" applyFont="1"/>
    <xf numFmtId="3" fontId="51" fillId="0" borderId="0" xfId="0" applyNumberFormat="1" applyFont="1"/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76" fontId="12" fillId="0" borderId="26" xfId="33" applyNumberFormat="1" applyFont="1" applyBorder="1" applyAlignment="1">
      <alignment horizontal="center" vertical="center" wrapText="1"/>
    </xf>
    <xf numFmtId="0" fontId="52" fillId="0" borderId="26" xfId="0" applyFont="1" applyBorder="1" applyAlignment="1">
      <alignment horizontal="center" vertical="center" wrapText="1"/>
    </xf>
    <xf numFmtId="3" fontId="52" fillId="0" borderId="26" xfId="0" applyNumberFormat="1" applyFont="1" applyBorder="1" applyAlignment="1">
      <alignment horizontal="center" vertical="center" wrapText="1"/>
    </xf>
    <xf numFmtId="3" fontId="52" fillId="0" borderId="22" xfId="0" applyNumberFormat="1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176" fontId="52" fillId="0" borderId="0" xfId="33" applyNumberFormat="1" applyFont="1" applyAlignment="1">
      <alignment vertical="center"/>
    </xf>
    <xf numFmtId="0" fontId="52" fillId="0" borderId="27" xfId="0" applyFont="1" applyBorder="1" applyAlignment="1">
      <alignment horizontal="center" vertical="center" wrapText="1"/>
    </xf>
    <xf numFmtId="0" fontId="52" fillId="0" borderId="8" xfId="0" applyFont="1" applyBorder="1" applyAlignment="1">
      <alignment horizontal="left" vertical="center" wrapText="1"/>
    </xf>
    <xf numFmtId="0" fontId="52" fillId="0" borderId="11" xfId="0" applyFont="1" applyBorder="1" applyAlignment="1">
      <alignment horizontal="left" vertical="center" wrapText="1"/>
    </xf>
    <xf numFmtId="0" fontId="52" fillId="0" borderId="28" xfId="0" applyFont="1" applyBorder="1" applyAlignment="1">
      <alignment horizontal="left" vertical="center" wrapText="1"/>
    </xf>
    <xf numFmtId="3" fontId="3" fillId="0" borderId="6" xfId="0" applyNumberFormat="1" applyFont="1" applyBorder="1" applyAlignment="1">
      <alignment wrapText="1"/>
    </xf>
    <xf numFmtId="15" fontId="3" fillId="0" borderId="6" xfId="0" applyNumberFormat="1" applyFont="1" applyBorder="1"/>
    <xf numFmtId="1" fontId="3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4" fontId="3" fillId="0" borderId="0" xfId="0" applyNumberFormat="1" applyFont="1"/>
    <xf numFmtId="1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left" vertical="center"/>
    </xf>
    <xf numFmtId="40" fontId="3" fillId="0" borderId="0" xfId="0" applyNumberFormat="1" applyFont="1" applyAlignment="1">
      <alignment wrapText="1"/>
    </xf>
    <xf numFmtId="3" fontId="3" fillId="0" borderId="0" xfId="33" applyNumberFormat="1" applyFont="1"/>
    <xf numFmtId="40" fontId="3" fillId="0" borderId="0" xfId="0" applyNumberFormat="1" applyFont="1"/>
    <xf numFmtId="40" fontId="2" fillId="0" borderId="0" xfId="0" applyNumberFormat="1" applyFont="1"/>
    <xf numFmtId="3" fontId="13" fillId="0" borderId="6" xfId="0" applyNumberFormat="1" applyFont="1" applyBorder="1" applyAlignment="1">
      <alignment wrapText="1"/>
    </xf>
    <xf numFmtId="3" fontId="13" fillId="0" borderId="0" xfId="0" applyNumberFormat="1" applyFont="1" applyAlignment="1">
      <alignment wrapText="1"/>
    </xf>
    <xf numFmtId="4" fontId="13" fillId="0" borderId="0" xfId="0" applyNumberFormat="1" applyFont="1"/>
    <xf numFmtId="3" fontId="13" fillId="0" borderId="0" xfId="0" applyNumberFormat="1" applyFont="1"/>
    <xf numFmtId="40" fontId="13" fillId="0" borderId="0" xfId="0" applyNumberFormat="1" applyFont="1"/>
    <xf numFmtId="0" fontId="13" fillId="0" borderId="0" xfId="0" applyFont="1"/>
    <xf numFmtId="0" fontId="13" fillId="0" borderId="0" xfId="0" applyFont="1" applyAlignment="1">
      <alignment horizontal="center"/>
    </xf>
    <xf numFmtId="1" fontId="13" fillId="0" borderId="0" xfId="0" applyNumberFormat="1" applyFont="1" applyAlignment="1">
      <alignment horizontal="center"/>
    </xf>
    <xf numFmtId="0" fontId="13" fillId="0" borderId="0" xfId="0" applyFont="1" applyAlignment="1">
      <alignment wrapText="1"/>
    </xf>
    <xf numFmtId="40" fontId="3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vertical="center"/>
    </xf>
    <xf numFmtId="175" fontId="52" fillId="0" borderId="29" xfId="44" applyNumberFormat="1" applyFont="1" applyBorder="1" applyAlignment="1">
      <alignment vertical="center"/>
    </xf>
    <xf numFmtId="175" fontId="51" fillId="0" borderId="10" xfId="44" applyNumberFormat="1" applyFont="1" applyBorder="1" applyAlignment="1">
      <alignment horizontal="right"/>
    </xf>
    <xf numFmtId="175" fontId="51" fillId="0" borderId="30" xfId="44" applyNumberFormat="1" applyFont="1" applyBorder="1" applyAlignment="1">
      <alignment horizontal="right"/>
    </xf>
    <xf numFmtId="1" fontId="46" fillId="0" borderId="24" xfId="0" applyNumberFormat="1" applyFont="1" applyBorder="1" applyAlignment="1">
      <alignment horizontal="left" wrapText="1"/>
    </xf>
    <xf numFmtId="3" fontId="47" fillId="0" borderId="0" xfId="0" applyNumberFormat="1" applyFont="1" applyAlignment="1">
      <alignment horizontal="left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66" fontId="1" fillId="0" borderId="0" xfId="44" applyFont="1"/>
    <xf numFmtId="175" fontId="1" fillId="0" borderId="0" xfId="56" applyNumberFormat="1"/>
    <xf numFmtId="0" fontId="53" fillId="0" borderId="0" xfId="56" applyFont="1" applyFill="1"/>
    <xf numFmtId="175" fontId="53" fillId="0" borderId="0" xfId="44" applyNumberFormat="1" applyFont="1" applyFill="1"/>
    <xf numFmtId="44" fontId="53" fillId="0" borderId="0" xfId="56" applyNumberFormat="1" applyFont="1" applyFill="1"/>
    <xf numFmtId="8" fontId="53" fillId="0" borderId="0" xfId="56" applyNumberFormat="1" applyFont="1" applyFill="1"/>
    <xf numFmtId="0" fontId="54" fillId="0" borderId="0" xfId="56" applyFont="1" applyFill="1"/>
    <xf numFmtId="0" fontId="55" fillId="0" borderId="0" xfId="0" applyFont="1" applyFill="1"/>
    <xf numFmtId="0" fontId="56" fillId="0" borderId="0" xfId="56" applyFont="1" applyFill="1" applyAlignment="1">
      <alignment wrapText="1"/>
    </xf>
    <xf numFmtId="0" fontId="54" fillId="0" borderId="0" xfId="56" applyFont="1" applyFill="1" applyAlignment="1">
      <alignment wrapText="1"/>
    </xf>
    <xf numFmtId="14" fontId="0" fillId="0" borderId="7" xfId="0" applyNumberFormat="1" applyBorder="1" applyAlignment="1">
      <alignment horizontal="left"/>
    </xf>
    <xf numFmtId="9" fontId="14" fillId="0" borderId="19" xfId="44" applyNumberFormat="1" applyFont="1" applyBorder="1" applyAlignment="1">
      <alignment horizontal="center"/>
    </xf>
    <xf numFmtId="170" fontId="13" fillId="0" borderId="0" xfId="56" applyNumberFormat="1" applyFont="1" applyAlignment="1">
      <alignment horizontal="left"/>
    </xf>
    <xf numFmtId="9" fontId="13" fillId="0" borderId="31" xfId="44" applyNumberFormat="1" applyFont="1" applyFill="1" applyBorder="1" applyAlignment="1">
      <alignment horizont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66" fontId="47" fillId="0" borderId="0" xfId="44" applyFont="1" applyBorder="1" applyAlignment="1">
      <alignment vertical="center" wrapText="1"/>
    </xf>
    <xf numFmtId="166" fontId="46" fillId="0" borderId="3" xfId="44" applyFont="1" applyBorder="1" applyAlignment="1">
      <alignment vertical="center" wrapText="1"/>
    </xf>
    <xf numFmtId="166" fontId="47" fillId="0" borderId="0" xfId="44" applyFont="1" applyFill="1" applyBorder="1" applyAlignment="1">
      <alignment vertical="center" wrapText="1"/>
    </xf>
    <xf numFmtId="166" fontId="47" fillId="0" borderId="3" xfId="44" applyFont="1" applyBorder="1" applyAlignment="1">
      <alignment vertical="center"/>
    </xf>
    <xf numFmtId="166" fontId="47" fillId="0" borderId="0" xfId="44" applyFont="1" applyBorder="1" applyAlignment="1">
      <alignment vertical="center"/>
    </xf>
    <xf numFmtId="166" fontId="46" fillId="0" borderId="3" xfId="44" applyFont="1" applyBorder="1" applyAlignment="1">
      <alignment vertical="center"/>
    </xf>
    <xf numFmtId="166" fontId="48" fillId="34" borderId="5" xfId="44" applyFont="1" applyFill="1" applyBorder="1" applyAlignment="1">
      <alignment vertical="center"/>
    </xf>
    <xf numFmtId="166" fontId="48" fillId="34" borderId="32" xfId="44" applyFont="1" applyFill="1" applyBorder="1" applyAlignment="1">
      <alignment vertical="center" wrapText="1"/>
    </xf>
    <xf numFmtId="175" fontId="47" fillId="0" borderId="0" xfId="44" applyNumberFormat="1" applyFont="1" applyBorder="1" applyAlignment="1">
      <alignment vertical="center" wrapText="1"/>
    </xf>
    <xf numFmtId="175" fontId="46" fillId="0" borderId="3" xfId="44" applyNumberFormat="1" applyFont="1" applyBorder="1" applyAlignment="1">
      <alignment vertical="center" wrapText="1"/>
    </xf>
    <xf numFmtId="175" fontId="47" fillId="0" borderId="0" xfId="44" applyNumberFormat="1" applyFont="1" applyFill="1" applyBorder="1" applyAlignment="1">
      <alignment vertical="center" wrapText="1"/>
    </xf>
    <xf numFmtId="175" fontId="47" fillId="0" borderId="3" xfId="44" applyNumberFormat="1" applyFont="1" applyBorder="1" applyAlignment="1">
      <alignment vertical="center"/>
    </xf>
    <xf numFmtId="175" fontId="47" fillId="0" borderId="0" xfId="44" applyNumberFormat="1" applyFont="1" applyBorder="1" applyAlignment="1">
      <alignment vertical="center"/>
    </xf>
    <xf numFmtId="175" fontId="46" fillId="0" borderId="3" xfId="44" applyNumberFormat="1" applyFont="1" applyBorder="1" applyAlignment="1">
      <alignment vertical="center"/>
    </xf>
    <xf numFmtId="177" fontId="1" fillId="0" borderId="0" xfId="56" applyNumberFormat="1" applyFill="1" applyAlignment="1">
      <alignment horizontal="left" vertical="center" wrapText="1"/>
    </xf>
    <xf numFmtId="166" fontId="1" fillId="0" borderId="0" xfId="44" applyNumberFormat="1" applyFont="1"/>
    <xf numFmtId="175" fontId="47" fillId="0" borderId="0" xfId="44" applyNumberFormat="1" applyFont="1" applyAlignment="1">
      <alignment wrapText="1"/>
    </xf>
    <xf numFmtId="166" fontId="47" fillId="0" borderId="0" xfId="44" applyNumberFormat="1" applyFont="1" applyBorder="1" applyAlignment="1">
      <alignment vertical="center" wrapText="1"/>
    </xf>
    <xf numFmtId="166" fontId="46" fillId="0" borderId="3" xfId="44" applyNumberFormat="1" applyFont="1" applyBorder="1" applyAlignment="1">
      <alignment vertical="center" wrapText="1"/>
    </xf>
    <xf numFmtId="166" fontId="47" fillId="0" borderId="0" xfId="44" applyNumberFormat="1" applyFont="1" applyFill="1" applyBorder="1" applyAlignment="1">
      <alignment vertical="center" wrapText="1"/>
    </xf>
    <xf numFmtId="166" fontId="47" fillId="0" borderId="3" xfId="44" applyNumberFormat="1" applyFont="1" applyBorder="1" applyAlignment="1">
      <alignment vertical="center"/>
    </xf>
    <xf numFmtId="166" fontId="47" fillId="0" borderId="0" xfId="44" applyNumberFormat="1" applyFont="1" applyBorder="1" applyAlignment="1">
      <alignment vertical="center"/>
    </xf>
    <xf numFmtId="166" fontId="46" fillId="0" borderId="3" xfId="44" applyNumberFormat="1" applyFont="1" applyBorder="1" applyAlignment="1">
      <alignment vertical="center"/>
    </xf>
    <xf numFmtId="166" fontId="48" fillId="34" borderId="5" xfId="44" applyNumberFormat="1" applyFont="1" applyFill="1" applyBorder="1" applyAlignment="1">
      <alignment vertical="center"/>
    </xf>
    <xf numFmtId="166" fontId="48" fillId="34" borderId="32" xfId="44" applyNumberFormat="1" applyFont="1" applyFill="1" applyBorder="1" applyAlignment="1">
      <alignment vertical="center" wrapText="1"/>
    </xf>
    <xf numFmtId="170" fontId="13" fillId="0" borderId="0" xfId="56" applyNumberFormat="1" applyFont="1" applyBorder="1" applyAlignment="1">
      <alignment horizontal="left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" fontId="46" fillId="0" borderId="24" xfId="0" applyNumberFormat="1" applyFont="1" applyBorder="1" applyAlignment="1">
      <alignment horizontal="left" wrapText="1"/>
    </xf>
    <xf numFmtId="3" fontId="47" fillId="0" borderId="0" xfId="0" applyNumberFormat="1" applyFont="1" applyAlignment="1">
      <alignment horizontal="left" vertical="center" wrapText="1"/>
    </xf>
    <xf numFmtId="172" fontId="1" fillId="0" borderId="0" xfId="56" applyNumberFormat="1"/>
    <xf numFmtId="167" fontId="29" fillId="0" borderId="0" xfId="33" applyFont="1" applyAlignment="1">
      <alignment vertical="center"/>
    </xf>
    <xf numFmtId="3" fontId="6" fillId="0" borderId="7" xfId="56" applyNumberFormat="1" applyFont="1" applyFill="1" applyBorder="1" applyAlignment="1">
      <alignment vertical="center" wrapText="1"/>
    </xf>
    <xf numFmtId="0" fontId="1" fillId="0" borderId="0" xfId="56" applyAlignment="1"/>
    <xf numFmtId="4" fontId="2" fillId="43" borderId="33" xfId="0" applyNumberFormat="1" applyFont="1" applyFill="1" applyBorder="1" applyAlignment="1">
      <alignment horizontal="left" vertical="center"/>
    </xf>
    <xf numFmtId="4" fontId="2" fillId="43" borderId="24" xfId="0" applyNumberFormat="1" applyFont="1" applyFill="1" applyBorder="1" applyAlignment="1">
      <alignment horizontal="left" vertical="center"/>
    </xf>
    <xf numFmtId="175" fontId="2" fillId="0" borderId="0" xfId="44" applyNumberFormat="1" applyFont="1" applyFill="1" applyBorder="1" applyAlignment="1">
      <alignment horizontal="center" vertical="center"/>
    </xf>
    <xf numFmtId="167" fontId="1" fillId="0" borderId="0" xfId="33" applyFont="1" applyAlignment="1">
      <alignment wrapText="1"/>
    </xf>
    <xf numFmtId="175" fontId="57" fillId="0" borderId="0" xfId="44" applyNumberFormat="1" applyFont="1"/>
    <xf numFmtId="0" fontId="1" fillId="0" borderId="0" xfId="56" applyAlignment="1">
      <alignment horizontal="left" vertical="center" wrapText="1"/>
    </xf>
    <xf numFmtId="1" fontId="46" fillId="0" borderId="24" xfId="0" applyNumberFormat="1" applyFont="1" applyBorder="1" applyAlignment="1">
      <alignment horizontal="left" wrapText="1"/>
    </xf>
    <xf numFmtId="3" fontId="47" fillId="0" borderId="0" xfId="0" applyNumberFormat="1" applyFont="1" applyAlignment="1">
      <alignment horizontal="left" vertical="center" wrapText="1"/>
    </xf>
    <xf numFmtId="3" fontId="3" fillId="0" borderId="0" xfId="33" applyNumberFormat="1" applyFont="1" applyFill="1" applyBorder="1" applyAlignment="1">
      <alignment horizontal="right" vertical="center" wrapText="1"/>
    </xf>
    <xf numFmtId="38" fontId="3" fillId="0" borderId="0" xfId="33" applyNumberFormat="1" applyFont="1" applyFill="1" applyBorder="1" applyAlignment="1">
      <alignment vertical="center"/>
    </xf>
    <xf numFmtId="40" fontId="2" fillId="0" borderId="0" xfId="33" applyNumberFormat="1" applyFont="1" applyFill="1" applyBorder="1" applyAlignment="1">
      <alignment vertical="center"/>
    </xf>
    <xf numFmtId="38" fontId="2" fillId="0" borderId="0" xfId="33" applyNumberFormat="1" applyFont="1" applyFill="1" applyBorder="1" applyAlignment="1">
      <alignment vertical="center"/>
    </xf>
    <xf numFmtId="0" fontId="58" fillId="0" borderId="7" xfId="0" applyFont="1" applyBorder="1" applyAlignment="1">
      <alignment horizontal="center" vertical="center"/>
    </xf>
    <xf numFmtId="0" fontId="0" fillId="0" borderId="0" xfId="0"/>
    <xf numFmtId="1" fontId="47" fillId="0" borderId="11" xfId="0" applyNumberFormat="1" applyFont="1" applyBorder="1" applyAlignment="1">
      <alignment horizontal="center" vertical="center" wrapText="1"/>
    </xf>
    <xf numFmtId="3" fontId="47" fillId="0" borderId="0" xfId="0" applyNumberFormat="1" applyFont="1" applyAlignment="1">
      <alignment vertical="center"/>
    </xf>
    <xf numFmtId="0" fontId="59" fillId="0" borderId="0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right"/>
    </xf>
    <xf numFmtId="169" fontId="3" fillId="0" borderId="30" xfId="33" applyNumberFormat="1" applyFont="1" applyFill="1" applyBorder="1" applyAlignment="1">
      <alignment horizontal="right" vertical="center" wrapText="1"/>
    </xf>
    <xf numFmtId="8" fontId="0" fillId="0" borderId="0" xfId="0" applyNumberFormat="1"/>
    <xf numFmtId="173" fontId="51" fillId="0" borderId="0" xfId="33" applyNumberFormat="1" applyFont="1" applyAlignment="1">
      <alignment horizontal="center" vertical="center"/>
    </xf>
    <xf numFmtId="9" fontId="47" fillId="0" borderId="0" xfId="60" applyFont="1" applyBorder="1" applyAlignment="1">
      <alignment horizontal="center" vertical="center"/>
    </xf>
    <xf numFmtId="9" fontId="3" fillId="0" borderId="0" xfId="59" applyFont="1" applyAlignment="1">
      <alignment vertical="center"/>
    </xf>
    <xf numFmtId="166" fontId="51" fillId="0" borderId="0" xfId="44" applyFont="1" applyBorder="1" applyAlignment="1">
      <alignment horizontal="center"/>
    </xf>
    <xf numFmtId="0" fontId="1" fillId="0" borderId="0" xfId="56" applyAlignment="1">
      <alignment horizontal="left" vertical="center"/>
    </xf>
    <xf numFmtId="175" fontId="3" fillId="0" borderId="0" xfId="44" applyNumberFormat="1" applyFont="1" applyFill="1" applyBorder="1" applyAlignment="1">
      <alignment vertical="center"/>
    </xf>
    <xf numFmtId="9" fontId="50" fillId="37" borderId="34" xfId="60" applyFont="1" applyFill="1" applyBorder="1" applyAlignment="1">
      <alignment horizontal="center" vertical="center" wrapText="1"/>
    </xf>
    <xf numFmtId="9" fontId="50" fillId="37" borderId="35" xfId="60" applyFont="1" applyFill="1" applyBorder="1" applyAlignment="1">
      <alignment horizontal="center" vertical="center" wrapText="1"/>
    </xf>
    <xf numFmtId="3" fontId="50" fillId="41" borderId="36" xfId="56" applyNumberFormat="1" applyFont="1" applyFill="1" applyBorder="1" applyAlignment="1">
      <alignment horizontal="center" vertical="center" wrapText="1"/>
    </xf>
    <xf numFmtId="3" fontId="3" fillId="0" borderId="37" xfId="56" applyNumberFormat="1" applyFont="1" applyBorder="1"/>
    <xf numFmtId="3" fontId="50" fillId="41" borderId="37" xfId="56" applyNumberFormat="1" applyFont="1" applyFill="1" applyBorder="1"/>
    <xf numFmtId="3" fontId="50" fillId="42" borderId="38" xfId="56" applyNumberFormat="1" applyFont="1" applyFill="1" applyBorder="1"/>
    <xf numFmtId="173" fontId="3" fillId="0" borderId="39" xfId="56" applyNumberFormat="1" applyFont="1" applyBorder="1"/>
    <xf numFmtId="173" fontId="50" fillId="37" borderId="39" xfId="33" applyNumberFormat="1" applyFont="1" applyFill="1" applyBorder="1"/>
    <xf numFmtId="173" fontId="50" fillId="42" borderId="40" xfId="60" applyNumberFormat="1" applyFont="1" applyFill="1" applyBorder="1"/>
    <xf numFmtId="1" fontId="46" fillId="0" borderId="24" xfId="0" applyNumberFormat="1" applyFont="1" applyBorder="1" applyAlignment="1">
      <alignment horizontal="left" wrapText="1"/>
    </xf>
    <xf numFmtId="3" fontId="47" fillId="0" borderId="0" xfId="0" applyNumberFormat="1" applyFont="1" applyAlignment="1">
      <alignment horizontal="left" vertical="center" wrapText="1"/>
    </xf>
    <xf numFmtId="175" fontId="54" fillId="0" borderId="0" xfId="44" applyNumberFormat="1" applyFont="1" applyFill="1"/>
    <xf numFmtId="44" fontId="1" fillId="0" borderId="0" xfId="56" applyNumberFormat="1"/>
    <xf numFmtId="175" fontId="9" fillId="0" borderId="0" xfId="44" applyNumberFormat="1" applyFont="1" applyFill="1" applyAlignment="1">
      <alignment horizontal="center" vertical="center" wrapText="1"/>
    </xf>
    <xf numFmtId="175" fontId="9" fillId="0" borderId="0" xfId="44" applyNumberFormat="1" applyFont="1" applyFill="1" applyBorder="1" applyAlignment="1">
      <alignment horizontal="center" vertical="center" wrapText="1"/>
    </xf>
    <xf numFmtId="175" fontId="2" fillId="0" borderId="6" xfId="44" applyNumberFormat="1" applyFont="1" applyFill="1" applyBorder="1" applyAlignment="1">
      <alignment horizontal="left" vertical="center"/>
    </xf>
    <xf numFmtId="175" fontId="3" fillId="0" borderId="0" xfId="44" applyNumberFormat="1" applyFont="1" applyFill="1"/>
    <xf numFmtId="175" fontId="3" fillId="0" borderId="0" xfId="44" applyNumberFormat="1" applyFont="1" applyFill="1" applyBorder="1"/>
    <xf numFmtId="175" fontId="3" fillId="0" borderId="24" xfId="44" applyNumberFormat="1" applyFont="1" applyFill="1" applyBorder="1" applyAlignment="1">
      <alignment horizontal="left" vertical="center"/>
    </xf>
    <xf numFmtId="175" fontId="3" fillId="0" borderId="0" xfId="44" applyNumberFormat="1" applyFont="1" applyFill="1" applyBorder="1" applyAlignment="1">
      <alignment horizontal="left" vertical="center"/>
    </xf>
    <xf numFmtId="175" fontId="2" fillId="40" borderId="15" xfId="44" applyNumberFormat="1" applyFont="1" applyFill="1" applyBorder="1" applyAlignment="1">
      <alignment vertical="center"/>
    </xf>
    <xf numFmtId="175" fontId="2" fillId="43" borderId="24" xfId="44" applyNumberFormat="1" applyFont="1" applyFill="1" applyBorder="1" applyAlignment="1">
      <alignment horizontal="left" vertical="center"/>
    </xf>
    <xf numFmtId="175" fontId="2" fillId="0" borderId="41" xfId="44" applyNumberFormat="1" applyFont="1" applyFill="1" applyBorder="1" applyAlignment="1">
      <alignment horizontal="left" vertical="center"/>
    </xf>
    <xf numFmtId="175" fontId="2" fillId="0" borderId="0" xfId="44" applyNumberFormat="1" applyFont="1" applyFill="1" applyBorder="1" applyAlignment="1">
      <alignment horizontal="left" vertical="center"/>
    </xf>
    <xf numFmtId="175" fontId="49" fillId="0" borderId="0" xfId="44" applyNumberFormat="1" applyFont="1"/>
    <xf numFmtId="175" fontId="2" fillId="0" borderId="0" xfId="44" applyNumberFormat="1" applyFont="1" applyFill="1" applyBorder="1" applyAlignment="1">
      <alignment horizontal="center"/>
    </xf>
    <xf numFmtId="175" fontId="3" fillId="0" borderId="17" xfId="44" applyNumberFormat="1" applyFont="1" applyFill="1" applyBorder="1" applyAlignment="1">
      <alignment horizontal="center" vertical="center" wrapText="1"/>
    </xf>
    <xf numFmtId="175" fontId="3" fillId="0" borderId="18" xfId="44" applyNumberFormat="1" applyFont="1" applyFill="1" applyBorder="1" applyAlignment="1">
      <alignment vertical="center"/>
    </xf>
    <xf numFmtId="175" fontId="2" fillId="0" borderId="20" xfId="44" applyNumberFormat="1" applyFont="1" applyFill="1" applyBorder="1" applyAlignment="1">
      <alignment vertical="center"/>
    </xf>
    <xf numFmtId="175" fontId="2" fillId="0" borderId="42" xfId="44" applyNumberFormat="1" applyFont="1" applyFill="1" applyBorder="1" applyAlignment="1">
      <alignment vertical="center"/>
    </xf>
    <xf numFmtId="175" fontId="2" fillId="0" borderId="0" xfId="44" applyNumberFormat="1" applyFont="1" applyBorder="1" applyAlignment="1">
      <alignment wrapText="1"/>
    </xf>
    <xf numFmtId="175" fontId="3" fillId="0" borderId="0" xfId="44" applyNumberFormat="1" applyFont="1" applyFill="1" applyAlignment="1">
      <alignment vertical="center" wrapText="1"/>
    </xf>
    <xf numFmtId="3" fontId="29" fillId="0" borderId="0" xfId="39" applyNumberFormat="1" applyFont="1" applyFill="1" applyAlignment="1">
      <alignment vertical="center"/>
    </xf>
    <xf numFmtId="175" fontId="2" fillId="0" borderId="43" xfId="44" applyNumberFormat="1" applyFont="1" applyFill="1" applyBorder="1" applyAlignment="1">
      <alignment vertical="center"/>
    </xf>
    <xf numFmtId="175" fontId="2" fillId="0" borderId="21" xfId="44" applyNumberFormat="1" applyFont="1" applyFill="1" applyBorder="1" applyAlignment="1">
      <alignment vertical="center"/>
    </xf>
    <xf numFmtId="0" fontId="46" fillId="2" borderId="8" xfId="0" applyFont="1" applyFill="1" applyBorder="1" applyAlignment="1">
      <alignment horizontal="center" vertical="center" wrapText="1"/>
    </xf>
    <xf numFmtId="0" fontId="46" fillId="2" borderId="9" xfId="0" applyFont="1" applyFill="1" applyBorder="1" applyAlignment="1">
      <alignment horizontal="center" vertical="center" wrapText="1"/>
    </xf>
    <xf numFmtId="175" fontId="46" fillId="2" borderId="9" xfId="44" applyNumberFormat="1" applyFont="1" applyFill="1" applyBorder="1" applyAlignment="1">
      <alignment horizontal="center" vertical="center" wrapText="1"/>
    </xf>
    <xf numFmtId="0" fontId="46" fillId="2" borderId="10" xfId="0" applyFont="1" applyFill="1" applyBorder="1" applyAlignment="1">
      <alignment horizontal="center" vertical="center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0" fontId="52" fillId="0" borderId="0" xfId="0" applyFont="1" applyAlignment="1">
      <alignment horizontal="center" vertical="center" wrapText="1"/>
    </xf>
    <xf numFmtId="4" fontId="48" fillId="34" borderId="0" xfId="56" applyNumberFormat="1" applyFont="1" applyFill="1" applyBorder="1" applyAlignment="1">
      <alignment horizontal="left" vertical="center"/>
    </xf>
    <xf numFmtId="175" fontId="48" fillId="34" borderId="0" xfId="44" applyNumberFormat="1" applyFont="1" applyFill="1" applyBorder="1" applyAlignment="1">
      <alignment vertical="center"/>
    </xf>
    <xf numFmtId="3" fontId="46" fillId="0" borderId="44" xfId="56" applyNumberFormat="1" applyFont="1" applyBorder="1" applyAlignment="1">
      <alignment horizontal="center" vertical="center" wrapText="1"/>
    </xf>
    <xf numFmtId="0" fontId="47" fillId="0" borderId="33" xfId="56" applyFont="1" applyBorder="1"/>
    <xf numFmtId="0" fontId="47" fillId="0" borderId="24" xfId="56" applyFont="1" applyBorder="1"/>
    <xf numFmtId="4" fontId="47" fillId="0" borderId="24" xfId="56" applyNumberFormat="1" applyFont="1" applyBorder="1" applyAlignment="1">
      <alignment vertical="center"/>
    </xf>
    <xf numFmtId="3" fontId="47" fillId="0" borderId="44" xfId="48" applyNumberFormat="1" applyFont="1" applyBorder="1" applyAlignment="1">
      <alignment vertical="center" wrapText="1"/>
    </xf>
    <xf numFmtId="4" fontId="48" fillId="34" borderId="2" xfId="56" applyNumberFormat="1" applyFont="1" applyFill="1" applyBorder="1" applyAlignment="1">
      <alignment horizontal="left" vertical="center"/>
    </xf>
    <xf numFmtId="0" fontId="46" fillId="0" borderId="45" xfId="56" applyFont="1" applyBorder="1"/>
    <xf numFmtId="0" fontId="47" fillId="0" borderId="6" xfId="56" applyFont="1" applyBorder="1"/>
    <xf numFmtId="0" fontId="47" fillId="0" borderId="6" xfId="56" applyFont="1" applyBorder="1" applyAlignment="1">
      <alignment horizontal="center"/>
    </xf>
    <xf numFmtId="175" fontId="3" fillId="0" borderId="0" xfId="44" applyNumberFormat="1" applyFont="1" applyFill="1" applyBorder="1" applyAlignment="1">
      <alignment horizontal="center" vertical="center"/>
    </xf>
    <xf numFmtId="38" fontId="2" fillId="0" borderId="46" xfId="33" applyNumberFormat="1" applyFont="1" applyFill="1" applyBorder="1" applyAlignment="1">
      <alignment vertical="center"/>
    </xf>
    <xf numFmtId="38" fontId="2" fillId="0" borderId="47" xfId="33" applyNumberFormat="1" applyFont="1" applyFill="1" applyBorder="1" applyAlignment="1">
      <alignment vertical="center"/>
    </xf>
    <xf numFmtId="38" fontId="2" fillId="0" borderId="42" xfId="33" applyNumberFormat="1" applyFont="1" applyFill="1" applyBorder="1" applyAlignment="1">
      <alignment vertical="center"/>
    </xf>
    <xf numFmtId="0" fontId="46" fillId="2" borderId="9" xfId="0" applyFont="1" applyFill="1" applyBorder="1" applyAlignment="1">
      <alignment horizontal="center" vertical="center"/>
    </xf>
    <xf numFmtId="3" fontId="1" fillId="0" borderId="0" xfId="56" applyNumberFormat="1" applyFill="1"/>
    <xf numFmtId="3" fontId="3" fillId="0" borderId="0" xfId="56" applyNumberFormat="1" applyFont="1" applyAlignment="1">
      <alignment horizontal="center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" fontId="46" fillId="0" borderId="24" xfId="0" applyNumberFormat="1" applyFont="1" applyBorder="1" applyAlignment="1">
      <alignment horizontal="left" wrapText="1"/>
    </xf>
    <xf numFmtId="3" fontId="47" fillId="0" borderId="0" xfId="0" applyNumberFormat="1" applyFont="1" applyAlignment="1">
      <alignment horizontal="left" vertical="center" wrapText="1"/>
    </xf>
    <xf numFmtId="3" fontId="50" fillId="41" borderId="0" xfId="56" applyNumberFormat="1" applyFont="1" applyFill="1" applyAlignment="1">
      <alignment horizontal="center"/>
    </xf>
    <xf numFmtId="3" fontId="49" fillId="0" borderId="0" xfId="0" applyNumberFormat="1" applyFont="1"/>
    <xf numFmtId="0" fontId="58" fillId="0" borderId="7" xfId="0" applyFont="1" applyBorder="1" applyAlignment="1">
      <alignment horizontal="center" vertical="center" wrapText="1"/>
    </xf>
    <xf numFmtId="1" fontId="47" fillId="0" borderId="7" xfId="0" applyNumberFormat="1" applyFont="1" applyBorder="1" applyAlignment="1">
      <alignment horizontal="center" vertical="center" wrapText="1"/>
    </xf>
    <xf numFmtId="8" fontId="5" fillId="0" borderId="0" xfId="56" applyNumberFormat="1" applyFont="1" applyFill="1"/>
    <xf numFmtId="0" fontId="5" fillId="0" borderId="0" xfId="56" applyFont="1" applyFill="1"/>
    <xf numFmtId="0" fontId="5" fillId="0" borderId="0" xfId="56" applyFont="1" applyFill="1" applyAlignment="1">
      <alignment wrapText="1"/>
    </xf>
    <xf numFmtId="166" fontId="5" fillId="0" borderId="0" xfId="56" applyNumberFormat="1" applyFont="1" applyFill="1" applyAlignment="1">
      <alignment horizontal="right" vertical="center"/>
    </xf>
    <xf numFmtId="8" fontId="1" fillId="0" borderId="0" xfId="56" applyNumberFormat="1" applyFill="1"/>
    <xf numFmtId="4" fontId="1" fillId="0" borderId="0" xfId="56" applyNumberFormat="1" applyFill="1"/>
    <xf numFmtId="0" fontId="0" fillId="0" borderId="0" xfId="0" applyFill="1" applyBorder="1"/>
    <xf numFmtId="4" fontId="1" fillId="0" borderId="0" xfId="56" applyNumberFormat="1" applyAlignment="1">
      <alignment horizontal="right" vertical="center" wrapText="1"/>
    </xf>
    <xf numFmtId="0" fontId="1" fillId="0" borderId="0" xfId="56" applyAlignment="1">
      <alignment horizontal="left" vertical="top"/>
    </xf>
    <xf numFmtId="0" fontId="60" fillId="0" borderId="0" xfId="56" applyFont="1" applyAlignment="1">
      <alignment horizontal="left" vertical="top"/>
    </xf>
    <xf numFmtId="0" fontId="61" fillId="0" borderId="80" xfId="56" applyFont="1" applyBorder="1" applyAlignment="1">
      <alignment horizontal="left" vertical="top" wrapText="1"/>
    </xf>
    <xf numFmtId="0" fontId="61" fillId="0" borderId="39" xfId="56" applyFont="1" applyBorder="1" applyAlignment="1">
      <alignment horizontal="left" vertical="top" wrapText="1"/>
    </xf>
    <xf numFmtId="0" fontId="61" fillId="0" borderId="40" xfId="56" applyFont="1" applyBorder="1" applyAlignment="1">
      <alignment horizontal="left" vertical="top" wrapText="1"/>
    </xf>
    <xf numFmtId="0" fontId="61" fillId="0" borderId="0" xfId="56" applyFont="1" applyAlignment="1">
      <alignment horizontal="left" vertical="top" wrapText="1"/>
    </xf>
    <xf numFmtId="3" fontId="61" fillId="0" borderId="0" xfId="56" applyNumberFormat="1" applyFont="1" applyAlignment="1">
      <alignment horizontal="right" vertical="center" wrapText="1"/>
    </xf>
    <xf numFmtId="4" fontId="1" fillId="0" borderId="0" xfId="56" applyNumberFormat="1" applyAlignment="1">
      <alignment horizontal="left" vertical="top"/>
    </xf>
    <xf numFmtId="14" fontId="60" fillId="0" borderId="81" xfId="56" applyNumberFormat="1" applyFont="1" applyBorder="1" applyAlignment="1">
      <alignment horizontal="center" vertical="center" wrapText="1" shrinkToFit="1"/>
    </xf>
    <xf numFmtId="4" fontId="1" fillId="0" borderId="0" xfId="56" applyNumberFormat="1" applyFill="1" applyAlignment="1">
      <alignment horizontal="left"/>
    </xf>
    <xf numFmtId="43" fontId="1" fillId="0" borderId="0" xfId="56" applyNumberFormat="1" applyAlignment="1">
      <alignment wrapText="1"/>
    </xf>
    <xf numFmtId="167" fontId="2" fillId="0" borderId="0" xfId="33" applyFont="1" applyFill="1" applyBorder="1" applyAlignment="1">
      <alignment horizontal="center"/>
    </xf>
    <xf numFmtId="175" fontId="13" fillId="0" borderId="48" xfId="44" applyNumberFormat="1" applyFont="1" applyFill="1" applyBorder="1" applyAlignment="1">
      <alignment horizontal="right" vertical="center"/>
    </xf>
    <xf numFmtId="175" fontId="14" fillId="0" borderId="18" xfId="44" applyNumberFormat="1" applyFont="1" applyBorder="1" applyAlignment="1">
      <alignment vertical="center"/>
    </xf>
    <xf numFmtId="0" fontId="3" fillId="0" borderId="7" xfId="56" applyFont="1" applyBorder="1"/>
    <xf numFmtId="175" fontId="3" fillId="0" borderId="7" xfId="44" applyNumberFormat="1" applyFont="1" applyBorder="1"/>
    <xf numFmtId="178" fontId="51" fillId="0" borderId="0" xfId="60" applyNumberFormat="1" applyFont="1" applyAlignment="1">
      <alignment horizontal="center"/>
    </xf>
    <xf numFmtId="4" fontId="50" fillId="37" borderId="0" xfId="56" applyNumberFormat="1" applyFont="1" applyFill="1"/>
    <xf numFmtId="174" fontId="1" fillId="0" borderId="0" xfId="56" applyNumberFormat="1"/>
    <xf numFmtId="3" fontId="13" fillId="0" borderId="0" xfId="0" applyNumberFormat="1" applyFont="1" applyAlignment="1">
      <alignment horizontal="left" vertical="center" wrapText="1"/>
    </xf>
    <xf numFmtId="1" fontId="2" fillId="0" borderId="0" xfId="0" applyNumberFormat="1" applyFont="1" applyBorder="1" applyAlignment="1"/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40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vertical="center"/>
    </xf>
    <xf numFmtId="4" fontId="13" fillId="0" borderId="0" xfId="0" applyNumberFormat="1" applyFont="1" applyAlignment="1">
      <alignment vertical="center"/>
    </xf>
    <xf numFmtId="0" fontId="14" fillId="40" borderId="18" xfId="0" applyFont="1" applyFill="1" applyBorder="1" applyAlignment="1">
      <alignment horizontal="center" vertical="center" wrapText="1"/>
    </xf>
    <xf numFmtId="0" fontId="14" fillId="40" borderId="49" xfId="0" applyFont="1" applyFill="1" applyBorder="1" applyAlignment="1">
      <alignment horizontal="center" vertical="center" wrapText="1"/>
    </xf>
    <xf numFmtId="0" fontId="14" fillId="44" borderId="28" xfId="0" applyFont="1" applyFill="1" applyBorder="1" applyAlignment="1">
      <alignment horizontal="center" vertical="center" wrapText="1"/>
    </xf>
    <xf numFmtId="0" fontId="14" fillId="44" borderId="18" xfId="0" applyFont="1" applyFill="1" applyBorder="1" applyAlignment="1">
      <alignment horizontal="center" vertical="center" wrapText="1"/>
    </xf>
    <xf numFmtId="0" fontId="14" fillId="44" borderId="19" xfId="0" applyFont="1" applyFill="1" applyBorder="1" applyAlignment="1">
      <alignment horizontal="center" vertical="center" wrapText="1"/>
    </xf>
    <xf numFmtId="0" fontId="14" fillId="40" borderId="50" xfId="0" applyFont="1" applyFill="1" applyBorder="1" applyAlignment="1">
      <alignment horizontal="center" vertical="center" wrapText="1"/>
    </xf>
    <xf numFmtId="0" fontId="14" fillId="40" borderId="19" xfId="0" applyFont="1" applyFill="1" applyBorder="1" applyAlignment="1">
      <alignment horizontal="center" vertical="center" wrapText="1"/>
    </xf>
    <xf numFmtId="1" fontId="49" fillId="0" borderId="51" xfId="0" applyNumberFormat="1" applyFont="1" applyBorder="1" applyAlignment="1">
      <alignment vertical="center" wrapText="1"/>
    </xf>
    <xf numFmtId="3" fontId="13" fillId="0" borderId="48" xfId="48" applyNumberFormat="1" applyFont="1" applyBorder="1" applyAlignment="1">
      <alignment horizontal="right" vertical="center"/>
    </xf>
    <xf numFmtId="9" fontId="13" fillId="0" borderId="48" xfId="60" applyFont="1" applyBorder="1" applyAlignment="1">
      <alignment horizontal="center" vertical="center"/>
    </xf>
    <xf numFmtId="3" fontId="13" fillId="0" borderId="48" xfId="0" applyNumberFormat="1" applyFont="1" applyBorder="1" applyAlignment="1">
      <alignment vertical="center"/>
    </xf>
    <xf numFmtId="9" fontId="13" fillId="0" borderId="48" xfId="60" applyFont="1" applyBorder="1" applyAlignment="1">
      <alignment horizontal="center" vertical="center" wrapText="1"/>
    </xf>
    <xf numFmtId="3" fontId="13" fillId="0" borderId="38" xfId="0" applyNumberFormat="1" applyFont="1" applyBorder="1" applyAlignment="1">
      <alignment vertical="center"/>
    </xf>
    <xf numFmtId="3" fontId="13" fillId="0" borderId="48" xfId="48" applyNumberFormat="1" applyFont="1" applyFill="1" applyBorder="1" applyAlignment="1">
      <alignment horizontal="right" vertical="center"/>
    </xf>
    <xf numFmtId="3" fontId="13" fillId="0" borderId="40" xfId="48" applyNumberFormat="1" applyFont="1" applyFill="1" applyBorder="1" applyAlignment="1">
      <alignment horizontal="right" vertical="center"/>
    </xf>
    <xf numFmtId="3" fontId="13" fillId="0" borderId="51" xfId="48" applyNumberFormat="1" applyFont="1" applyFill="1" applyBorder="1" applyAlignment="1">
      <alignment horizontal="right" vertical="center"/>
    </xf>
    <xf numFmtId="3" fontId="13" fillId="0" borderId="31" xfId="0" applyNumberFormat="1" applyFont="1" applyBorder="1" applyAlignment="1">
      <alignment vertical="center"/>
    </xf>
    <xf numFmtId="1" fontId="49" fillId="0" borderId="11" xfId="0" applyNumberFormat="1" applyFont="1" applyBorder="1" applyAlignment="1">
      <alignment vertical="center" wrapText="1"/>
    </xf>
    <xf numFmtId="3" fontId="13" fillId="0" borderId="7" xfId="48" applyNumberFormat="1" applyFont="1" applyBorder="1" applyAlignment="1">
      <alignment horizontal="right" vertical="center"/>
    </xf>
    <xf numFmtId="9" fontId="13" fillId="0" borderId="7" xfId="60" applyFont="1" applyBorder="1" applyAlignment="1">
      <alignment horizontal="center" vertical="center"/>
    </xf>
    <xf numFmtId="3" fontId="13" fillId="0" borderId="7" xfId="0" applyNumberFormat="1" applyFont="1" applyBorder="1" applyAlignment="1">
      <alignment vertical="center"/>
    </xf>
    <xf numFmtId="9" fontId="13" fillId="0" borderId="7" xfId="60" applyFont="1" applyBorder="1" applyAlignment="1">
      <alignment horizontal="center" vertical="center" wrapText="1"/>
    </xf>
    <xf numFmtId="3" fontId="13" fillId="0" borderId="11" xfId="48" applyNumberFormat="1" applyFont="1" applyFill="1" applyBorder="1" applyAlignment="1">
      <alignment horizontal="right" vertical="center"/>
    </xf>
    <xf numFmtId="0" fontId="14" fillId="34" borderId="28" xfId="0" applyFont="1" applyFill="1" applyBorder="1" applyAlignment="1">
      <alignment horizontal="left" vertical="center"/>
    </xf>
    <xf numFmtId="3" fontId="14" fillId="34" borderId="18" xfId="0" applyNumberFormat="1" applyFont="1" applyFill="1" applyBorder="1" applyAlignment="1">
      <alignment horizontal="right" vertical="center"/>
    </xf>
    <xf numFmtId="40" fontId="14" fillId="34" borderId="18" xfId="0" applyNumberFormat="1" applyFont="1" applyFill="1" applyBorder="1" applyAlignment="1">
      <alignment vertical="center"/>
    </xf>
    <xf numFmtId="40" fontId="14" fillId="34" borderId="18" xfId="0" applyNumberFormat="1" applyFont="1" applyFill="1" applyBorder="1" applyAlignment="1">
      <alignment vertical="center" wrapText="1"/>
    </xf>
    <xf numFmtId="40" fontId="14" fillId="0" borderId="0" xfId="0" applyNumberFormat="1" applyFont="1" applyAlignment="1">
      <alignment vertical="center"/>
    </xf>
    <xf numFmtId="3" fontId="14" fillId="0" borderId="0" xfId="48" applyNumberFormat="1" applyFont="1" applyFill="1" applyBorder="1" applyAlignment="1">
      <alignment horizontal="right" vertical="center"/>
    </xf>
    <xf numFmtId="40" fontId="14" fillId="0" borderId="0" xfId="0" applyNumberFormat="1" applyFont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14" fillId="0" borderId="0" xfId="0" applyNumberFormat="1" applyFont="1" applyAlignment="1">
      <alignment horizontal="center" vertical="center" wrapText="1"/>
    </xf>
    <xf numFmtId="3" fontId="14" fillId="0" borderId="0" xfId="48" applyNumberFormat="1" applyFont="1" applyFill="1" applyBorder="1" applyAlignment="1">
      <alignment horizontal="center" vertical="center"/>
    </xf>
    <xf numFmtId="40" fontId="13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0" fontId="14" fillId="40" borderId="7" xfId="0" applyFont="1" applyFill="1" applyBorder="1" applyAlignment="1">
      <alignment horizontal="center" vertical="center" wrapText="1"/>
    </xf>
    <xf numFmtId="0" fontId="14" fillId="40" borderId="30" xfId="0" applyFont="1" applyFill="1" applyBorder="1" applyAlignment="1">
      <alignment horizontal="center" vertical="center" wrapText="1"/>
    </xf>
    <xf numFmtId="3" fontId="13" fillId="0" borderId="7" xfId="48" applyNumberFormat="1" applyFont="1" applyFill="1" applyBorder="1" applyAlignment="1">
      <alignment horizontal="right" vertical="center"/>
    </xf>
    <xf numFmtId="3" fontId="13" fillId="0" borderId="30" xfId="0" applyNumberFormat="1" applyFont="1" applyBorder="1" applyAlignment="1">
      <alignment vertical="center"/>
    </xf>
    <xf numFmtId="0" fontId="14" fillId="2" borderId="10" xfId="0" applyFont="1" applyFill="1" applyBorder="1" applyAlignment="1">
      <alignment horizontal="center" vertical="center" wrapText="1"/>
    </xf>
    <xf numFmtId="1" fontId="49" fillId="0" borderId="7" xfId="0" applyNumberFormat="1" applyFont="1" applyBorder="1" applyAlignment="1">
      <alignment horizontal="center" vertical="center" wrapText="1"/>
    </xf>
    <xf numFmtId="3" fontId="13" fillId="0" borderId="30" xfId="48" applyNumberFormat="1" applyFont="1" applyFill="1" applyBorder="1" applyAlignment="1">
      <alignment horizontal="right" vertical="center"/>
    </xf>
    <xf numFmtId="3" fontId="13" fillId="0" borderId="0" xfId="48" applyNumberFormat="1" applyFont="1" applyFill="1" applyBorder="1" applyAlignment="1">
      <alignment horizontal="right" vertical="center"/>
    </xf>
    <xf numFmtId="180" fontId="14" fillId="0" borderId="0" xfId="39" applyNumberFormat="1" applyFont="1" applyBorder="1" applyAlignment="1">
      <alignment horizontal="center" vertical="center"/>
    </xf>
    <xf numFmtId="1" fontId="49" fillId="0" borderId="52" xfId="0" applyNumberFormat="1" applyFont="1" applyBorder="1" applyAlignment="1">
      <alignment vertical="center" wrapText="1"/>
    </xf>
    <xf numFmtId="1" fontId="49" fillId="0" borderId="53" xfId="0" applyNumberFormat="1" applyFont="1" applyBorder="1" applyAlignment="1">
      <alignment horizontal="center" vertical="center" wrapText="1"/>
    </xf>
    <xf numFmtId="3" fontId="13" fillId="0" borderId="53" xfId="48" applyNumberFormat="1" applyFont="1" applyFill="1" applyBorder="1" applyAlignment="1">
      <alignment horizontal="right" vertical="center"/>
    </xf>
    <xf numFmtId="0" fontId="14" fillId="40" borderId="28" xfId="0" applyFont="1" applyFill="1" applyBorder="1" applyAlignment="1">
      <alignment horizontal="left" vertical="center"/>
    </xf>
    <xf numFmtId="40" fontId="14" fillId="40" borderId="18" xfId="0" applyNumberFormat="1" applyFont="1" applyFill="1" applyBorder="1" applyAlignment="1">
      <alignment vertical="center"/>
    </xf>
    <xf numFmtId="3" fontId="14" fillId="40" borderId="18" xfId="0" applyNumberFormat="1" applyFont="1" applyFill="1" applyBorder="1" applyAlignment="1">
      <alignment horizontal="right" vertical="center"/>
    </xf>
    <xf numFmtId="0" fontId="62" fillId="0" borderId="0" xfId="0" applyFont="1" applyAlignment="1">
      <alignment horizontal="left" vertical="center"/>
    </xf>
    <xf numFmtId="4" fontId="14" fillId="0" borderId="0" xfId="0" applyNumberFormat="1" applyFont="1" applyAlignment="1">
      <alignment horizontal="left" vertical="center"/>
    </xf>
    <xf numFmtId="4" fontId="14" fillId="0" borderId="0" xfId="48" applyNumberFormat="1" applyFont="1" applyFill="1" applyBorder="1" applyAlignment="1">
      <alignment horizontal="right" vertical="center" wrapText="1"/>
    </xf>
    <xf numFmtId="1" fontId="13" fillId="0" borderId="11" xfId="0" applyNumberFormat="1" applyFont="1" applyBorder="1" applyAlignment="1">
      <alignment horizontal="center" vertical="center"/>
    </xf>
    <xf numFmtId="0" fontId="49" fillId="0" borderId="7" xfId="0" applyFont="1" applyBorder="1" applyAlignment="1">
      <alignment horizontal="center" vertical="center"/>
    </xf>
    <xf numFmtId="175" fontId="13" fillId="0" borderId="30" xfId="44" applyNumberFormat="1" applyFont="1" applyFill="1" applyBorder="1" applyAlignment="1">
      <alignment horizontal="right" vertical="center"/>
    </xf>
    <xf numFmtId="1" fontId="13" fillId="0" borderId="0" xfId="0" applyNumberFormat="1" applyFont="1" applyAlignment="1">
      <alignment horizontal="center" vertical="center" wrapText="1"/>
    </xf>
    <xf numFmtId="1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3" fontId="49" fillId="0" borderId="0" xfId="0" applyNumberFormat="1" applyFont="1" applyAlignment="1">
      <alignment horizontal="center" vertical="center" wrapText="1"/>
    </xf>
    <xf numFmtId="1" fontId="13" fillId="0" borderId="0" xfId="0" applyNumberFormat="1" applyFont="1" applyAlignment="1">
      <alignment horizontal="left" vertical="center" wrapText="1"/>
    </xf>
    <xf numFmtId="4" fontId="14" fillId="44" borderId="29" xfId="39" applyNumberFormat="1" applyFont="1" applyFill="1" applyBorder="1" applyAlignment="1">
      <alignment vertical="center"/>
    </xf>
    <xf numFmtId="2" fontId="13" fillId="0" borderId="0" xfId="0" applyNumberFormat="1" applyFont="1" applyAlignment="1">
      <alignment vertical="center"/>
    </xf>
    <xf numFmtId="4" fontId="13" fillId="0" borderId="0" xfId="0" applyNumberFormat="1" applyFont="1" applyAlignment="1">
      <alignment vertical="center" wrapText="1"/>
    </xf>
    <xf numFmtId="43" fontId="13" fillId="0" borderId="0" xfId="0" applyNumberFormat="1" applyFont="1" applyAlignment="1">
      <alignment vertical="center"/>
    </xf>
    <xf numFmtId="1" fontId="14" fillId="0" borderId="0" xfId="0" applyNumberFormat="1" applyFont="1" applyBorder="1" applyAlignment="1">
      <alignment horizontal="left" vertical="center"/>
    </xf>
    <xf numFmtId="1" fontId="13" fillId="0" borderId="0" xfId="0" applyNumberFormat="1" applyFont="1" applyBorder="1" applyAlignment="1">
      <alignment vertical="center"/>
    </xf>
    <xf numFmtId="0" fontId="49" fillId="0" borderId="0" xfId="0" applyFont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173" fontId="49" fillId="0" borderId="0" xfId="33" applyNumberFormat="1" applyFont="1" applyBorder="1" applyAlignment="1">
      <alignment horizontal="center" vertical="center"/>
    </xf>
    <xf numFmtId="0" fontId="49" fillId="0" borderId="0" xfId="0" applyFont="1" applyBorder="1" applyAlignment="1">
      <alignment horizontal="left" vertical="center"/>
    </xf>
    <xf numFmtId="175" fontId="13" fillId="0" borderId="0" xfId="44" applyNumberFormat="1" applyFont="1" applyBorder="1" applyAlignment="1">
      <alignment vertical="center"/>
    </xf>
    <xf numFmtId="175" fontId="13" fillId="0" borderId="0" xfId="44" applyNumberFormat="1" applyFont="1" applyFill="1" applyBorder="1" applyAlignment="1">
      <alignment horizontal="right" vertical="center"/>
    </xf>
    <xf numFmtId="0" fontId="14" fillId="44" borderId="0" xfId="0" applyFont="1" applyFill="1" applyBorder="1" applyAlignment="1">
      <alignment horizontal="left" vertical="center" wrapText="1"/>
    </xf>
    <xf numFmtId="4" fontId="14" fillId="44" borderId="0" xfId="39" applyNumberFormat="1" applyFont="1" applyFill="1" applyBorder="1" applyAlignment="1">
      <alignment vertical="center"/>
    </xf>
    <xf numFmtId="173" fontId="49" fillId="0" borderId="0" xfId="33" applyNumberFormat="1" applyFont="1"/>
    <xf numFmtId="15" fontId="13" fillId="0" borderId="0" xfId="0" applyNumberFormat="1" applyFont="1" applyAlignment="1">
      <alignment vertical="center"/>
    </xf>
    <xf numFmtId="40" fontId="13" fillId="0" borderId="0" xfId="0" applyNumberFormat="1" applyFont="1" applyAlignment="1">
      <alignment vertical="center" wrapText="1"/>
    </xf>
    <xf numFmtId="3" fontId="13" fillId="0" borderId="0" xfId="39" applyNumberFormat="1" applyFont="1" applyAlignment="1">
      <alignment vertical="center"/>
    </xf>
    <xf numFmtId="3" fontId="13" fillId="0" borderId="0" xfId="39" applyNumberFormat="1" applyFont="1" applyFill="1" applyBorder="1" applyAlignment="1">
      <alignment vertical="center"/>
    </xf>
    <xf numFmtId="1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vertical="center" wrapText="1"/>
    </xf>
    <xf numFmtId="3" fontId="13" fillId="0" borderId="6" xfId="0" applyNumberFormat="1" applyFont="1" applyBorder="1" applyAlignment="1">
      <alignment vertical="center" wrapText="1"/>
    </xf>
    <xf numFmtId="1" fontId="13" fillId="0" borderId="6" xfId="0" applyNumberFormat="1" applyFont="1" applyBorder="1" applyAlignment="1">
      <alignment horizontal="center" vertical="center"/>
    </xf>
    <xf numFmtId="3" fontId="14" fillId="0" borderId="0" xfId="0" applyNumberFormat="1" applyFont="1" applyAlignment="1">
      <alignment vertical="center" wrapText="1"/>
    </xf>
    <xf numFmtId="1" fontId="14" fillId="0" borderId="0" xfId="0" applyNumberFormat="1" applyFont="1" applyAlignment="1">
      <alignment horizontal="center" vertical="center"/>
    </xf>
    <xf numFmtId="174" fontId="49" fillId="0" borderId="7" xfId="49" applyNumberFormat="1" applyFont="1" applyBorder="1" applyAlignment="1">
      <alignment horizontal="center" vertical="center"/>
    </xf>
    <xf numFmtId="173" fontId="49" fillId="0" borderId="7" xfId="33" applyNumberFormat="1" applyFont="1" applyBorder="1" applyAlignment="1">
      <alignment horizontal="center" vertical="center"/>
    </xf>
    <xf numFmtId="0" fontId="49" fillId="0" borderId="7" xfId="0" applyFont="1" applyBorder="1" applyAlignment="1">
      <alignment horizontal="center" vertical="center" wrapText="1"/>
    </xf>
    <xf numFmtId="0" fontId="49" fillId="0" borderId="7" xfId="0" applyFont="1" applyBorder="1" applyAlignment="1">
      <alignment vertical="center" wrapText="1"/>
    </xf>
    <xf numFmtId="0" fontId="63" fillId="0" borderId="7" xfId="0" applyFont="1" applyBorder="1" applyAlignment="1">
      <alignment horizontal="center" vertical="center" wrapText="1"/>
    </xf>
    <xf numFmtId="0" fontId="64" fillId="0" borderId="2" xfId="0" applyFont="1" applyBorder="1" applyAlignment="1">
      <alignment horizontal="left"/>
    </xf>
    <xf numFmtId="3" fontId="64" fillId="0" borderId="0" xfId="0" applyNumberFormat="1" applyFont="1"/>
    <xf numFmtId="0" fontId="47" fillId="0" borderId="0" xfId="0" applyFont="1"/>
    <xf numFmtId="0" fontId="47" fillId="0" borderId="0" xfId="0" applyFont="1" applyAlignment="1">
      <alignment vertical="center"/>
    </xf>
    <xf numFmtId="171" fontId="47" fillId="0" borderId="0" xfId="39" applyFont="1" applyFill="1" applyAlignment="1">
      <alignment vertical="center"/>
    </xf>
    <xf numFmtId="9" fontId="64" fillId="0" borderId="0" xfId="60" applyFont="1" applyFill="1" applyBorder="1" applyAlignment="1">
      <alignment horizontal="center" vertical="center" wrapText="1"/>
    </xf>
    <xf numFmtId="3" fontId="64" fillId="0" borderId="0" xfId="0" applyNumberFormat="1" applyFont="1" applyFill="1" applyBorder="1" applyAlignment="1">
      <alignment horizontal="center" vertical="center" wrapText="1"/>
    </xf>
    <xf numFmtId="0" fontId="47" fillId="0" borderId="0" xfId="0" applyFont="1" applyFill="1" applyBorder="1"/>
    <xf numFmtId="3" fontId="47" fillId="0" borderId="0" xfId="0" applyNumberFormat="1" applyFont="1" applyFill="1" applyBorder="1" applyAlignment="1">
      <alignment vertical="center"/>
    </xf>
    <xf numFmtId="0" fontId="47" fillId="0" borderId="0" xfId="0" applyFont="1" applyFill="1" applyBorder="1" applyAlignment="1">
      <alignment vertical="center"/>
    </xf>
    <xf numFmtId="3" fontId="64" fillId="0" borderId="0" xfId="0" applyNumberFormat="1" applyFont="1" applyFill="1" applyBorder="1" applyAlignment="1">
      <alignment vertical="center"/>
    </xf>
    <xf numFmtId="10" fontId="64" fillId="0" borderId="0" xfId="60" applyNumberFormat="1" applyFont="1" applyFill="1" applyBorder="1" applyAlignment="1">
      <alignment horizontal="center" vertical="center"/>
    </xf>
    <xf numFmtId="180" fontId="46" fillId="0" borderId="0" xfId="0" applyNumberFormat="1" applyFont="1" applyFill="1" applyBorder="1" applyAlignment="1">
      <alignment vertical="center"/>
    </xf>
    <xf numFmtId="4" fontId="46" fillId="0" borderId="0" xfId="48" applyNumberFormat="1" applyFont="1" applyFill="1" applyBorder="1" applyAlignment="1">
      <alignment horizontal="right" vertical="center"/>
    </xf>
    <xf numFmtId="170" fontId="13" fillId="0" borderId="39" xfId="56" applyNumberFormat="1" applyFont="1" applyBorder="1" applyAlignment="1">
      <alignment horizontal="left" vertical="center"/>
    </xf>
    <xf numFmtId="0" fontId="47" fillId="0" borderId="0" xfId="0" applyFont="1" applyBorder="1" applyAlignment="1">
      <alignment vertical="center"/>
    </xf>
    <xf numFmtId="3" fontId="47" fillId="0" borderId="0" xfId="0" applyNumberFormat="1" applyFont="1" applyBorder="1" applyAlignment="1">
      <alignment vertical="center"/>
    </xf>
    <xf numFmtId="9" fontId="47" fillId="0" borderId="37" xfId="60" applyFont="1" applyBorder="1" applyAlignment="1">
      <alignment horizontal="center" vertical="center"/>
    </xf>
    <xf numFmtId="170" fontId="13" fillId="0" borderId="39" xfId="56" applyNumberFormat="1" applyFont="1" applyBorder="1" applyAlignment="1">
      <alignment horizontal="left"/>
    </xf>
    <xf numFmtId="170" fontId="64" fillId="45" borderId="40" xfId="0" applyNumberFormat="1" applyFont="1" applyFill="1" applyBorder="1" applyAlignment="1">
      <alignment horizontal="left" vertical="center" wrapText="1"/>
    </xf>
    <xf numFmtId="3" fontId="64" fillId="45" borderId="54" xfId="0" applyNumberFormat="1" applyFont="1" applyFill="1" applyBorder="1" applyAlignment="1">
      <alignment vertical="center"/>
    </xf>
    <xf numFmtId="9" fontId="64" fillId="45" borderId="38" xfId="60" applyFont="1" applyFill="1" applyBorder="1" applyAlignment="1">
      <alignment vertical="center"/>
    </xf>
    <xf numFmtId="1" fontId="2" fillId="0" borderId="0" xfId="0" applyNumberFormat="1" applyFont="1" applyAlignment="1">
      <alignment wrapText="1"/>
    </xf>
    <xf numFmtId="15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left"/>
    </xf>
    <xf numFmtId="3" fontId="3" fillId="0" borderId="0" xfId="0" applyNumberFormat="1" applyFont="1" applyAlignment="1">
      <alignment vertical="top" wrapText="1"/>
    </xf>
    <xf numFmtId="3" fontId="13" fillId="0" borderId="0" xfId="0" applyNumberFormat="1" applyFont="1" applyBorder="1" applyAlignment="1">
      <alignment vertical="center" wrapText="1"/>
    </xf>
    <xf numFmtId="4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40" fontId="13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1" fontId="14" fillId="0" borderId="0" xfId="0" applyNumberFormat="1" applyFont="1" applyBorder="1" applyAlignment="1">
      <alignment vertical="center" wrapText="1"/>
    </xf>
    <xf numFmtId="3" fontId="3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Border="1" applyAlignment="1">
      <alignment vertical="center" wrapText="1"/>
    </xf>
    <xf numFmtId="3" fontId="13" fillId="0" borderId="0" xfId="39" applyNumberFormat="1" applyFont="1" applyBorder="1" applyAlignment="1">
      <alignment vertical="center"/>
    </xf>
    <xf numFmtId="173" fontId="14" fillId="2" borderId="9" xfId="33" applyNumberFormat="1" applyFont="1" applyFill="1" applyBorder="1" applyAlignment="1">
      <alignment horizontal="center" vertical="center" wrapText="1"/>
    </xf>
    <xf numFmtId="175" fontId="14" fillId="2" borderId="9" xfId="44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vertical="top"/>
    </xf>
    <xf numFmtId="4" fontId="3" fillId="0" borderId="0" xfId="56" applyNumberFormat="1" applyFont="1" applyFill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" fontId="14" fillId="0" borderId="0" xfId="0" applyNumberFormat="1" applyFont="1" applyAlignment="1">
      <alignment horizontal="left" vertical="center"/>
    </xf>
    <xf numFmtId="0" fontId="46" fillId="0" borderId="0" xfId="56" applyNumberFormat="1" applyFont="1"/>
    <xf numFmtId="0" fontId="47" fillId="0" borderId="0" xfId="56" applyNumberFormat="1" applyFont="1"/>
    <xf numFmtId="0" fontId="47" fillId="0" borderId="0" xfId="56" applyFont="1" applyFill="1"/>
    <xf numFmtId="0" fontId="47" fillId="0" borderId="0" xfId="56" applyFont="1" applyFill="1" applyAlignment="1">
      <alignment horizontal="center"/>
    </xf>
    <xf numFmtId="3" fontId="47" fillId="0" borderId="0" xfId="0" applyNumberFormat="1" applyFont="1" applyFill="1" applyAlignment="1">
      <alignment horizontal="left" vertical="center" wrapText="1"/>
    </xf>
    <xf numFmtId="0" fontId="47" fillId="0" borderId="0" xfId="56" applyNumberFormat="1" applyFont="1" applyFill="1"/>
    <xf numFmtId="40" fontId="47" fillId="0" borderId="0" xfId="56" applyNumberFormat="1" applyFont="1" applyFill="1"/>
    <xf numFmtId="174" fontId="58" fillId="0" borderId="7" xfId="49" applyNumberFormat="1" applyFont="1" applyBorder="1" applyAlignment="1">
      <alignment horizontal="center" vertical="center"/>
    </xf>
    <xf numFmtId="175" fontId="2" fillId="0" borderId="3" xfId="44" applyNumberFormat="1" applyFont="1" applyFill="1" applyBorder="1" applyAlignment="1">
      <alignment vertical="center"/>
    </xf>
    <xf numFmtId="175" fontId="2" fillId="0" borderId="47" xfId="44" applyNumberFormat="1" applyFont="1" applyFill="1" applyBorder="1" applyAlignment="1">
      <alignment vertical="center"/>
    </xf>
    <xf numFmtId="14" fontId="60" fillId="0" borderId="17" xfId="56" applyNumberFormat="1" applyFont="1" applyBorder="1" applyAlignment="1">
      <alignment horizontal="center" vertical="center" wrapText="1" shrinkToFit="1"/>
    </xf>
    <xf numFmtId="4" fontId="65" fillId="0" borderId="48" xfId="56" applyNumberFormat="1" applyFont="1" applyBorder="1" applyAlignment="1">
      <alignment horizontal="right" vertical="center" wrapText="1"/>
    </xf>
    <xf numFmtId="3" fontId="61" fillId="0" borderId="17" xfId="56" applyNumberFormat="1" applyFont="1" applyFill="1" applyBorder="1" applyAlignment="1">
      <alignment horizontal="right" vertical="center" wrapText="1"/>
    </xf>
    <xf numFmtId="173" fontId="47" fillId="0" borderId="0" xfId="33" applyNumberFormat="1" applyFont="1" applyFill="1" applyBorder="1"/>
    <xf numFmtId="175" fontId="2" fillId="0" borderId="0" xfId="44" applyNumberFormat="1" applyFont="1" applyFill="1" applyBorder="1" applyAlignment="1">
      <alignment vertical="center"/>
    </xf>
    <xf numFmtId="0" fontId="2" fillId="0" borderId="7" xfId="56" applyFont="1" applyBorder="1" applyAlignment="1">
      <alignment horizontal="center"/>
    </xf>
    <xf numFmtId="175" fontId="2" fillId="0" borderId="53" xfId="44" applyNumberFormat="1" applyFont="1" applyBorder="1" applyAlignment="1">
      <alignment horizontal="center"/>
    </xf>
    <xf numFmtId="0" fontId="2" fillId="0" borderId="0" xfId="56" applyFont="1" applyAlignment="1">
      <alignment horizontal="center"/>
    </xf>
    <xf numFmtId="10" fontId="3" fillId="0" borderId="7" xfId="59" applyNumberFormat="1" applyFont="1" applyBorder="1"/>
    <xf numFmtId="175" fontId="13" fillId="0" borderId="7" xfId="44" applyNumberFormat="1" applyFont="1" applyFill="1" applyBorder="1" applyAlignment="1">
      <alignment vertical="center" wrapText="1"/>
    </xf>
    <xf numFmtId="175" fontId="13" fillId="0" borderId="7" xfId="44" applyNumberFormat="1" applyFont="1" applyFill="1" applyBorder="1" applyAlignment="1">
      <alignment horizontal="right" vertical="center"/>
    </xf>
    <xf numFmtId="175" fontId="13" fillId="0" borderId="7" xfId="44" applyNumberFormat="1" applyFont="1" applyBorder="1" applyAlignment="1">
      <alignment horizontal="right" vertical="center"/>
    </xf>
    <xf numFmtId="9" fontId="13" fillId="0" borderId="30" xfId="44" applyNumberFormat="1" applyFont="1" applyFill="1" applyBorder="1" applyAlignment="1">
      <alignment horizontal="center"/>
    </xf>
    <xf numFmtId="9" fontId="13" fillId="0" borderId="30" xfId="44" applyNumberFormat="1" applyFont="1" applyBorder="1" applyAlignment="1">
      <alignment horizontal="center"/>
    </xf>
    <xf numFmtId="175" fontId="13" fillId="0" borderId="48" xfId="44" applyNumberFormat="1" applyFont="1" applyFill="1" applyBorder="1" applyAlignment="1">
      <alignment vertical="center" wrapText="1"/>
    </xf>
    <xf numFmtId="1" fontId="2" fillId="0" borderId="0" xfId="0" applyNumberFormat="1" applyFont="1" applyAlignment="1">
      <alignment horizontal="left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0" fontId="0" fillId="0" borderId="0" xfId="0" applyAlignment="1">
      <alignment wrapText="1"/>
    </xf>
    <xf numFmtId="0" fontId="59" fillId="0" borderId="0" xfId="0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wrapText="1"/>
    </xf>
    <xf numFmtId="3" fontId="3" fillId="0" borderId="0" xfId="0" applyNumberFormat="1" applyFont="1"/>
    <xf numFmtId="0" fontId="3" fillId="0" borderId="0" xfId="0" applyFont="1"/>
    <xf numFmtId="0" fontId="3" fillId="0" borderId="6" xfId="0" applyFont="1" applyBorder="1"/>
    <xf numFmtId="0" fontId="3" fillId="0" borderId="0" xfId="0" applyFont="1" applyAlignment="1">
      <alignment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4" fontId="2" fillId="0" borderId="19" xfId="0" applyNumberFormat="1" applyFont="1" applyBorder="1" applyAlignment="1">
      <alignment vertical="center"/>
    </xf>
    <xf numFmtId="15" fontId="3" fillId="0" borderId="0" xfId="0" applyNumberFormat="1" applyFont="1"/>
    <xf numFmtId="4" fontId="2" fillId="0" borderId="30" xfId="0" applyNumberFormat="1" applyFont="1" applyBorder="1"/>
    <xf numFmtId="3" fontId="3" fillId="0" borderId="0" xfId="0" applyNumberFormat="1" applyFont="1" applyAlignment="1">
      <alignment horizontal="left"/>
    </xf>
    <xf numFmtId="0" fontId="2" fillId="0" borderId="0" xfId="0" applyFont="1" applyAlignment="1">
      <alignment wrapText="1"/>
    </xf>
    <xf numFmtId="15" fontId="3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24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6" xfId="0" applyFont="1" applyBorder="1" applyAlignment="1">
      <alignment horizontal="center" vertical="center" wrapText="1"/>
    </xf>
    <xf numFmtId="0" fontId="2" fillId="0" borderId="4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18" xfId="0" applyFont="1" applyBorder="1" applyAlignment="1">
      <alignment vertical="center" wrapText="1"/>
    </xf>
    <xf numFmtId="3" fontId="3" fillId="0" borderId="18" xfId="0" applyNumberFormat="1" applyFont="1" applyBorder="1" applyAlignment="1">
      <alignment vertical="center"/>
    </xf>
    <xf numFmtId="1" fontId="3" fillId="0" borderId="50" xfId="0" applyNumberFormat="1" applyFont="1" applyBorder="1" applyAlignment="1">
      <alignment horizontal="left" vertical="center" wrapText="1"/>
    </xf>
    <xf numFmtId="1" fontId="3" fillId="0" borderId="49" xfId="0" applyNumberFormat="1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 wrapText="1"/>
    </xf>
    <xf numFmtId="14" fontId="3" fillId="0" borderId="28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4" fontId="3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14" fontId="3" fillId="0" borderId="55" xfId="0" applyNumberFormat="1" applyFont="1" applyBorder="1" applyAlignment="1">
      <alignment horizontal="center" vertical="center" wrapText="1"/>
    </xf>
    <xf numFmtId="175" fontId="2" fillId="0" borderId="0" xfId="0" applyNumberFormat="1" applyFont="1" applyAlignment="1">
      <alignment horizontal="center"/>
    </xf>
    <xf numFmtId="3" fontId="13" fillId="0" borderId="7" xfId="0" applyNumberFormat="1" applyFont="1" applyBorder="1" applyAlignment="1">
      <alignment horizontal="center" vertical="center"/>
    </xf>
    <xf numFmtId="168" fontId="49" fillId="0" borderId="7" xfId="0" applyNumberFormat="1" applyFont="1" applyBorder="1" applyAlignment="1">
      <alignment horizontal="center" vertical="center" wrapText="1"/>
    </xf>
    <xf numFmtId="3" fontId="13" fillId="0" borderId="11" xfId="0" applyNumberFormat="1" applyFont="1" applyBorder="1" applyAlignment="1">
      <alignment horizontal="center" vertical="center"/>
    </xf>
    <xf numFmtId="3" fontId="13" fillId="0" borderId="48" xfId="0" applyNumberFormat="1" applyFont="1" applyBorder="1" applyAlignment="1">
      <alignment horizontal="center" vertical="center"/>
    </xf>
    <xf numFmtId="168" fontId="49" fillId="0" borderId="48" xfId="0" applyNumberFormat="1" applyFont="1" applyBorder="1" applyAlignment="1">
      <alignment horizontal="center" vertical="center" wrapText="1"/>
    </xf>
    <xf numFmtId="3" fontId="13" fillId="0" borderId="5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 wrapText="1"/>
    </xf>
    <xf numFmtId="4" fontId="3" fillId="0" borderId="0" xfId="0" applyNumberFormat="1" applyFont="1" applyAlignment="1">
      <alignment horizontal="left" vertical="center" wrapText="1"/>
    </xf>
    <xf numFmtId="4" fontId="2" fillId="0" borderId="45" xfId="0" applyNumberFormat="1" applyFont="1" applyBorder="1" applyAlignment="1">
      <alignment horizontal="left" vertical="center"/>
    </xf>
    <xf numFmtId="4" fontId="2" fillId="0" borderId="56" xfId="0" applyNumberFormat="1" applyFont="1" applyBorder="1" applyAlignment="1">
      <alignment horizontal="left" vertical="center"/>
    </xf>
    <xf numFmtId="4" fontId="2" fillId="0" borderId="41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wrapText="1"/>
    </xf>
    <xf numFmtId="0" fontId="3" fillId="0" borderId="2" xfId="0" applyFont="1" applyBorder="1"/>
    <xf numFmtId="3" fontId="2" fillId="0" borderId="0" xfId="0" applyNumberFormat="1" applyFont="1" applyAlignment="1">
      <alignment horizontal="left" vertical="center"/>
    </xf>
    <xf numFmtId="4" fontId="2" fillId="0" borderId="2" xfId="0" applyNumberFormat="1" applyFont="1" applyBorder="1" applyAlignment="1">
      <alignment horizontal="left" vertical="center"/>
    </xf>
    <xf numFmtId="3" fontId="2" fillId="0" borderId="0" xfId="0" applyNumberFormat="1" applyFont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2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horizontal="right" vertical="center"/>
    </xf>
    <xf numFmtId="3" fontId="3" fillId="0" borderId="3" xfId="0" applyNumberFormat="1" applyFont="1" applyBorder="1" applyAlignment="1">
      <alignment vertical="center"/>
    </xf>
    <xf numFmtId="4" fontId="2" fillId="0" borderId="6" xfId="0" applyNumberFormat="1" applyFont="1" applyBorder="1" applyAlignment="1">
      <alignment horizontal="left" vertical="center"/>
    </xf>
    <xf numFmtId="3" fontId="2" fillId="0" borderId="44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" fontId="14" fillId="0" borderId="0" xfId="0" applyNumberFormat="1" applyFont="1" applyAlignment="1">
      <alignment horizontal="center" vertical="center" wrapText="1"/>
    </xf>
    <xf numFmtId="14" fontId="0" fillId="0" borderId="7" xfId="0" applyNumberFormat="1" applyBorder="1"/>
    <xf numFmtId="0" fontId="0" fillId="0" borderId="7" xfId="0" applyBorder="1"/>
    <xf numFmtId="0" fontId="0" fillId="0" borderId="0" xfId="0"/>
    <xf numFmtId="0" fontId="65" fillId="0" borderId="7" xfId="56" applyFont="1" applyFill="1" applyBorder="1" applyAlignment="1">
      <alignment horizontal="center" vertical="center" wrapText="1"/>
    </xf>
    <xf numFmtId="175" fontId="61" fillId="0" borderId="7" xfId="44" applyNumberFormat="1" applyFont="1" applyFill="1" applyBorder="1" applyAlignment="1">
      <alignment horizontal="right" vertical="center"/>
    </xf>
    <xf numFmtId="175" fontId="65" fillId="0" borderId="7" xfId="44" applyNumberFormat="1" applyFont="1" applyFill="1" applyBorder="1" applyAlignment="1">
      <alignment horizontal="right" vertical="center"/>
    </xf>
    <xf numFmtId="172" fontId="5" fillId="0" borderId="0" xfId="56" applyNumberFormat="1" applyFont="1"/>
    <xf numFmtId="172" fontId="1" fillId="0" borderId="7" xfId="56" applyNumberFormat="1" applyFill="1" applyBorder="1" applyAlignment="1">
      <alignment horizontal="right" vertical="center"/>
    </xf>
    <xf numFmtId="0" fontId="0" fillId="0" borderId="0" xfId="0" applyFill="1"/>
    <xf numFmtId="0" fontId="67" fillId="46" borderId="7" xfId="0" applyFont="1" applyFill="1" applyBorder="1" applyAlignment="1">
      <alignment horizontal="center" vertical="center" wrapText="1"/>
    </xf>
    <xf numFmtId="0" fontId="67" fillId="0" borderId="0" xfId="0" applyFont="1" applyFill="1" applyAlignment="1">
      <alignment horizontal="center" vertical="center" wrapText="1"/>
    </xf>
    <xf numFmtId="166" fontId="29" fillId="0" borderId="0" xfId="44" applyFont="1"/>
    <xf numFmtId="166" fontId="67" fillId="46" borderId="7" xfId="44" applyFont="1" applyFill="1" applyBorder="1" applyAlignment="1">
      <alignment horizontal="center" vertical="center" wrapText="1"/>
    </xf>
    <xf numFmtId="14" fontId="59" fillId="0" borderId="0" xfId="0" applyNumberFormat="1" applyFont="1" applyFill="1" applyBorder="1" applyAlignment="1">
      <alignment vertical="center"/>
    </xf>
    <xf numFmtId="14" fontId="67" fillId="46" borderId="7" xfId="0" applyNumberFormat="1" applyFont="1" applyFill="1" applyBorder="1" applyAlignment="1">
      <alignment horizontal="center" vertical="center" wrapText="1"/>
    </xf>
    <xf numFmtId="175" fontId="67" fillId="46" borderId="7" xfId="44" applyNumberFormat="1" applyFont="1" applyFill="1" applyBorder="1" applyAlignment="1">
      <alignment horizontal="center" vertical="center" wrapText="1"/>
    </xf>
    <xf numFmtId="175" fontId="29" fillId="0" borderId="0" xfId="44" applyNumberFormat="1" applyFont="1"/>
    <xf numFmtId="44" fontId="2" fillId="0" borderId="0" xfId="0" applyNumberFormat="1" applyFont="1" applyAlignment="1">
      <alignment horizontal="center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0" fontId="65" fillId="47" borderId="35" xfId="56" applyFont="1" applyFill="1" applyBorder="1" applyAlignment="1">
      <alignment horizontal="left" vertical="center"/>
    </xf>
    <xf numFmtId="0" fontId="65" fillId="47" borderId="53" xfId="56" applyFont="1" applyFill="1" applyBorder="1" applyAlignment="1">
      <alignment horizontal="center" vertical="center" wrapText="1"/>
    </xf>
    <xf numFmtId="0" fontId="65" fillId="47" borderId="35" xfId="56" applyFont="1" applyFill="1" applyBorder="1" applyAlignment="1">
      <alignment horizontal="center" vertical="center"/>
    </xf>
    <xf numFmtId="0" fontId="65" fillId="47" borderId="53" xfId="56" applyFont="1" applyFill="1" applyBorder="1" applyAlignment="1">
      <alignment horizontal="left" vertical="center"/>
    </xf>
    <xf numFmtId="0" fontId="60" fillId="0" borderId="17" xfId="56" applyFont="1" applyBorder="1" applyAlignment="1">
      <alignment horizontal="left" vertical="center" wrapText="1"/>
    </xf>
    <xf numFmtId="0" fontId="65" fillId="47" borderId="53" xfId="56" applyFont="1" applyFill="1" applyBorder="1" applyAlignment="1">
      <alignment horizontal="center" vertical="center"/>
    </xf>
    <xf numFmtId="175" fontId="1" fillId="0" borderId="0" xfId="44" applyNumberFormat="1" applyFont="1" applyAlignment="1">
      <alignment vertical="center"/>
    </xf>
    <xf numFmtId="175" fontId="1" fillId="0" borderId="0" xfId="44" applyNumberFormat="1" applyFont="1" applyFill="1" applyAlignment="1">
      <alignment vertical="center"/>
    </xf>
    <xf numFmtId="175" fontId="1" fillId="0" borderId="0" xfId="56" applyNumberFormat="1" applyFill="1" applyAlignment="1">
      <alignment vertical="center"/>
    </xf>
    <xf numFmtId="182" fontId="1" fillId="0" borderId="0" xfId="56" applyNumberFormat="1" applyFill="1" applyAlignment="1">
      <alignment vertical="center"/>
    </xf>
    <xf numFmtId="44" fontId="1" fillId="0" borderId="0" xfId="56" applyNumberFormat="1" applyFill="1" applyAlignment="1">
      <alignment vertical="center"/>
    </xf>
    <xf numFmtId="4" fontId="47" fillId="0" borderId="0" xfId="0" applyNumberFormat="1" applyFont="1" applyFill="1" applyBorder="1"/>
    <xf numFmtId="4" fontId="3" fillId="0" borderId="33" xfId="0" applyNumberFormat="1" applyFont="1" applyFill="1" applyBorder="1" applyAlignment="1">
      <alignment horizontal="left" vertical="center"/>
    </xf>
    <xf numFmtId="4" fontId="3" fillId="0" borderId="24" xfId="0" applyNumberFormat="1" applyFont="1" applyFill="1" applyBorder="1" applyAlignment="1">
      <alignment horizontal="left" vertical="center"/>
    </xf>
    <xf numFmtId="4" fontId="3" fillId="0" borderId="2" xfId="0" applyNumberFormat="1" applyFont="1" applyFill="1" applyBorder="1" applyAlignment="1">
      <alignment horizontal="left" vertical="center"/>
    </xf>
    <xf numFmtId="4" fontId="3" fillId="0" borderId="0" xfId="0" applyNumberFormat="1" applyFont="1" applyFill="1" applyAlignment="1">
      <alignment horizontal="left" vertical="center"/>
    </xf>
    <xf numFmtId="4" fontId="3" fillId="0" borderId="2" xfId="0" applyNumberFormat="1" applyFont="1" applyFill="1" applyBorder="1" applyAlignment="1">
      <alignment vertical="center"/>
    </xf>
    <xf numFmtId="4" fontId="3" fillId="0" borderId="0" xfId="0" applyNumberFormat="1" applyFont="1" applyFill="1" applyAlignment="1">
      <alignment vertical="center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0" fontId="49" fillId="0" borderId="7" xfId="0" applyFont="1" applyBorder="1" applyAlignment="1">
      <alignment horizontal="left" vertical="center"/>
    </xf>
    <xf numFmtId="4" fontId="2" fillId="0" borderId="30" xfId="0" applyNumberFormat="1" applyFont="1" applyFill="1" applyBorder="1"/>
    <xf numFmtId="40" fontId="13" fillId="0" borderId="0" xfId="0" applyNumberFormat="1" applyFont="1" applyFill="1" applyAlignment="1">
      <alignment vertical="center"/>
    </xf>
    <xf numFmtId="38" fontId="49" fillId="0" borderId="0" xfId="0" applyNumberFormat="1" applyFont="1"/>
    <xf numFmtId="173" fontId="2" fillId="0" borderId="0" xfId="33" applyNumberFormat="1" applyFont="1" applyAlignment="1">
      <alignment horizontal="center" vertical="center"/>
    </xf>
    <xf numFmtId="173" fontId="2" fillId="0" borderId="0" xfId="0" applyNumberFormat="1" applyFont="1" applyAlignment="1">
      <alignment horizontal="center" vertical="center"/>
    </xf>
    <xf numFmtId="3" fontId="1" fillId="0" borderId="7" xfId="56" applyNumberFormat="1" applyFill="1" applyBorder="1" applyAlignment="1">
      <alignment vertical="center"/>
    </xf>
    <xf numFmtId="173" fontId="1" fillId="0" borderId="0" xfId="33" applyNumberFormat="1" applyFont="1"/>
    <xf numFmtId="173" fontId="1" fillId="0" borderId="0" xfId="56" applyNumberFormat="1"/>
    <xf numFmtId="173" fontId="29" fillId="0" borderId="0" xfId="33" applyNumberFormat="1" applyFont="1"/>
    <xf numFmtId="173" fontId="29" fillId="0" borderId="0" xfId="33" applyNumberFormat="1" applyFont="1"/>
    <xf numFmtId="1" fontId="29" fillId="0" borderId="0" xfId="44" applyNumberFormat="1" applyFont="1"/>
    <xf numFmtId="173" fontId="47" fillId="0" borderId="0" xfId="0" applyNumberFormat="1" applyFont="1" applyFill="1" applyBorder="1"/>
    <xf numFmtId="3" fontId="13" fillId="0" borderId="48" xfId="0" applyNumberFormat="1" applyFont="1" applyFill="1" applyBorder="1" applyAlignment="1">
      <alignment vertical="center"/>
    </xf>
    <xf numFmtId="3" fontId="13" fillId="0" borderId="7" xfId="0" applyNumberFormat="1" applyFont="1" applyFill="1" applyBorder="1" applyAlignment="1">
      <alignment vertical="center"/>
    </xf>
    <xf numFmtId="9" fontId="68" fillId="0" borderId="7" xfId="60" applyFont="1" applyBorder="1" applyAlignment="1">
      <alignment horizontal="center" vertical="center"/>
    </xf>
    <xf numFmtId="9" fontId="68" fillId="0" borderId="7" xfId="60" applyFont="1" applyBorder="1" applyAlignment="1">
      <alignment horizontal="center" vertical="center" wrapText="1"/>
    </xf>
    <xf numFmtId="1" fontId="2" fillId="0" borderId="35" xfId="0" applyNumberFormat="1" applyFont="1" applyBorder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175" fontId="13" fillId="0" borderId="0" xfId="44" applyNumberFormat="1" applyFont="1" applyAlignment="1">
      <alignment vertical="center"/>
    </xf>
    <xf numFmtId="0" fontId="13" fillId="0" borderId="0" xfId="0" applyNumberFormat="1" applyFont="1" applyAlignment="1">
      <alignment vertical="center"/>
    </xf>
    <xf numFmtId="3" fontId="13" fillId="0" borderId="38" xfId="0" applyNumberFormat="1" applyFont="1" applyFill="1" applyBorder="1" applyAlignment="1">
      <alignment vertical="center"/>
    </xf>
    <xf numFmtId="0" fontId="1" fillId="48" borderId="0" xfId="56" applyFill="1" applyAlignment="1">
      <alignment vertical="top"/>
    </xf>
    <xf numFmtId="0" fontId="1" fillId="48" borderId="0" xfId="56" applyFill="1" applyAlignment="1">
      <alignment vertical="center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75" fontId="50" fillId="0" borderId="19" xfId="44" applyNumberFormat="1" applyFont="1" applyBorder="1" applyAlignment="1">
      <alignment horizontal="right"/>
    </xf>
    <xf numFmtId="0" fontId="13" fillId="0" borderId="6" xfId="0" applyFont="1" applyBorder="1"/>
    <xf numFmtId="40" fontId="13" fillId="0" borderId="6" xfId="0" applyNumberFormat="1" applyFont="1" applyBorder="1"/>
    <xf numFmtId="3" fontId="13" fillId="0" borderId="6" xfId="0" applyNumberFormat="1" applyFont="1" applyBorder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13" fillId="0" borderId="6" xfId="0" applyNumberFormat="1" applyFont="1" applyBorder="1" applyAlignment="1">
      <alignment vertical="center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75" fontId="1" fillId="0" borderId="0" xfId="56" applyNumberFormat="1" applyAlignment="1">
      <alignment horizontal="left" vertical="top"/>
    </xf>
    <xf numFmtId="0" fontId="1" fillId="0" borderId="7" xfId="56" applyBorder="1" applyAlignment="1"/>
    <xf numFmtId="173" fontId="50" fillId="0" borderId="0" xfId="33" applyNumberFormat="1" applyFont="1" applyAlignment="1">
      <alignment horizontal="center" vertical="center"/>
    </xf>
    <xf numFmtId="175" fontId="51" fillId="0" borderId="0" xfId="44" applyNumberFormat="1" applyFont="1" applyFill="1" applyBorder="1" applyAlignment="1">
      <alignment horizontal="center" vertical="center"/>
    </xf>
    <xf numFmtId="166" fontId="50" fillId="0" borderId="0" xfId="0" applyNumberFormat="1" applyFont="1" applyAlignment="1">
      <alignment horizontal="center" vertical="center"/>
    </xf>
    <xf numFmtId="4" fontId="3" fillId="0" borderId="44" xfId="44" applyNumberFormat="1" applyFont="1" applyFill="1" applyBorder="1" applyAlignment="1">
      <alignment horizontal="right" vertical="center"/>
    </xf>
    <xf numFmtId="4" fontId="3" fillId="0" borderId="3" xfId="44" applyNumberFormat="1" applyFont="1" applyFill="1" applyBorder="1" applyAlignment="1">
      <alignment horizontal="right" vertical="center"/>
    </xf>
    <xf numFmtId="4" fontId="3" fillId="0" borderId="3" xfId="44" applyNumberFormat="1" applyFont="1" applyFill="1" applyBorder="1" applyAlignment="1">
      <alignment vertical="center"/>
    </xf>
    <xf numFmtId="4" fontId="2" fillId="40" borderId="1" xfId="44" applyNumberFormat="1" applyFont="1" applyFill="1" applyBorder="1" applyAlignment="1">
      <alignment horizontal="right" vertical="center"/>
    </xf>
    <xf numFmtId="166" fontId="1" fillId="0" borderId="7" xfId="44" applyNumberFormat="1" applyFont="1" applyBorder="1" applyAlignment="1">
      <alignment horizontal="right" vertical="center"/>
    </xf>
    <xf numFmtId="166" fontId="1" fillId="0" borderId="7" xfId="44" applyNumberFormat="1" applyFont="1" applyFill="1" applyBorder="1" applyAlignment="1">
      <alignment horizontal="right" vertical="center"/>
    </xf>
    <xf numFmtId="166" fontId="15" fillId="0" borderId="7" xfId="44" applyNumberFormat="1" applyFont="1" applyFill="1" applyBorder="1"/>
    <xf numFmtId="3" fontId="13" fillId="0" borderId="31" xfId="0" applyNumberFormat="1" applyFont="1" applyFill="1" applyBorder="1" applyAlignment="1">
      <alignment vertical="center"/>
    </xf>
    <xf numFmtId="4" fontId="47" fillId="48" borderId="0" xfId="56" applyNumberFormat="1" applyFont="1" applyFill="1"/>
    <xf numFmtId="44" fontId="47" fillId="0" borderId="0" xfId="56" applyNumberFormat="1" applyFont="1"/>
    <xf numFmtId="0" fontId="46" fillId="48" borderId="0" xfId="56" applyNumberFormat="1" applyFont="1" applyFill="1" applyAlignment="1">
      <alignment horizontal="center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1" fontId="2" fillId="0" borderId="0" xfId="0" applyNumberFormat="1" applyFont="1" applyAlignment="1"/>
    <xf numFmtId="9" fontId="64" fillId="49" borderId="18" xfId="60" applyFont="1" applyFill="1" applyBorder="1" applyAlignment="1">
      <alignment horizontal="center" vertical="center" wrapText="1"/>
    </xf>
    <xf numFmtId="3" fontId="64" fillId="49" borderId="18" xfId="0" applyNumberFormat="1" applyFont="1" applyFill="1" applyBorder="1" applyAlignment="1">
      <alignment horizontal="center" vertical="center" wrapText="1"/>
    </xf>
    <xf numFmtId="3" fontId="13" fillId="0" borderId="53" xfId="48" applyNumberFormat="1" applyFont="1" applyBorder="1" applyAlignment="1">
      <alignment horizontal="right" vertical="center"/>
    </xf>
    <xf numFmtId="3" fontId="13" fillId="0" borderId="53" xfId="0" applyNumberFormat="1" applyFont="1" applyBorder="1" applyAlignment="1">
      <alignment vertical="center"/>
    </xf>
    <xf numFmtId="3" fontId="13" fillId="0" borderId="53" xfId="0" applyNumberFormat="1" applyFont="1" applyFill="1" applyBorder="1" applyAlignment="1">
      <alignment vertical="center"/>
    </xf>
    <xf numFmtId="0" fontId="69" fillId="0" borderId="0" xfId="0" applyFont="1" applyAlignment="1">
      <alignment horizontal="center" vertical="center"/>
    </xf>
    <xf numFmtId="4" fontId="2" fillId="40" borderId="0" xfId="0" applyNumberFormat="1" applyFont="1" applyFill="1" applyBorder="1" applyAlignment="1">
      <alignment horizontal="left" vertical="center"/>
    </xf>
    <xf numFmtId="4" fontId="2" fillId="40" borderId="0" xfId="0" applyNumberFormat="1" applyFont="1" applyFill="1" applyBorder="1" applyAlignment="1">
      <alignment vertical="center"/>
    </xf>
    <xf numFmtId="3" fontId="2" fillId="40" borderId="0" xfId="44" applyNumberFormat="1" applyFont="1" applyFill="1" applyBorder="1" applyAlignment="1">
      <alignment horizontal="right" vertical="center"/>
    </xf>
    <xf numFmtId="0" fontId="0" fillId="0" borderId="7" xfId="0" applyFill="1" applyBorder="1"/>
    <xf numFmtId="14" fontId="0" fillId="0" borderId="7" xfId="0" applyNumberFormat="1" applyFill="1" applyBorder="1"/>
    <xf numFmtId="44" fontId="1" fillId="0" borderId="0" xfId="56" applyNumberFormat="1" applyFill="1"/>
    <xf numFmtId="0" fontId="54" fillId="0" borderId="7" xfId="56" applyFont="1" applyFill="1" applyBorder="1"/>
    <xf numFmtId="0" fontId="56" fillId="0" borderId="7" xfId="56" applyFont="1" applyFill="1" applyBorder="1" applyAlignment="1">
      <alignment wrapText="1"/>
    </xf>
    <xf numFmtId="0" fontId="56" fillId="0" borderId="7" xfId="56" applyFont="1" applyFill="1" applyBorder="1"/>
    <xf numFmtId="175" fontId="56" fillId="0" borderId="7" xfId="44" applyNumberFormat="1" applyFont="1" applyFill="1" applyBorder="1"/>
    <xf numFmtId="3" fontId="1" fillId="0" borderId="0" xfId="56" applyNumberFormat="1" applyFill="1" applyAlignment="1">
      <alignment horizontal="left" vertical="center"/>
    </xf>
    <xf numFmtId="166" fontId="70" fillId="0" borderId="7" xfId="44" applyNumberFormat="1" applyFont="1" applyFill="1" applyBorder="1"/>
    <xf numFmtId="44" fontId="1" fillId="0" borderId="0" xfId="56" applyNumberFormat="1" applyAlignment="1">
      <alignment wrapText="1"/>
    </xf>
    <xf numFmtId="3" fontId="3" fillId="0" borderId="0" xfId="56" applyNumberFormat="1" applyFont="1" applyAlignment="1">
      <alignment horizontal="right" vertical="center"/>
    </xf>
    <xf numFmtId="0" fontId="16" fillId="0" borderId="0" xfId="0" applyFont="1"/>
    <xf numFmtId="0" fontId="61" fillId="0" borderId="0" xfId="56" applyFont="1" applyBorder="1" applyAlignment="1">
      <alignment horizontal="left" vertical="top" wrapText="1"/>
    </xf>
    <xf numFmtId="3" fontId="61" fillId="0" borderId="0" xfId="56" applyNumberFormat="1" applyFont="1" applyBorder="1" applyAlignment="1">
      <alignment horizontal="right" vertical="center" wrapText="1"/>
    </xf>
    <xf numFmtId="4" fontId="2" fillId="0" borderId="56" xfId="0" applyNumberFormat="1" applyFont="1" applyFill="1" applyBorder="1" applyAlignment="1">
      <alignment horizontal="left" vertical="center"/>
    </xf>
    <xf numFmtId="4" fontId="2" fillId="0" borderId="0" xfId="0" applyNumberFormat="1" applyFont="1" applyFill="1" applyAlignment="1">
      <alignment horizontal="left" vertical="center"/>
    </xf>
    <xf numFmtId="4" fontId="2" fillId="0" borderId="41" xfId="0" applyNumberFormat="1" applyFont="1" applyFill="1" applyBorder="1" applyAlignment="1">
      <alignment horizontal="left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0" fontId="46" fillId="0" borderId="0" xfId="56" applyNumberFormat="1" applyFont="1" applyAlignment="1">
      <alignment horizontal="center" vertical="center"/>
    </xf>
    <xf numFmtId="4" fontId="46" fillId="0" borderId="0" xfId="56" applyNumberFormat="1" applyFont="1" applyAlignment="1">
      <alignment horizontal="center" vertical="center"/>
    </xf>
    <xf numFmtId="8" fontId="1" fillId="0" borderId="0" xfId="56" applyNumberFormat="1" applyAlignment="1">
      <alignment vertical="center"/>
    </xf>
    <xf numFmtId="166" fontId="1" fillId="0" borderId="0" xfId="44" applyFont="1" applyFill="1"/>
    <xf numFmtId="166" fontId="5" fillId="0" borderId="0" xfId="56" applyNumberFormat="1" applyFont="1" applyFill="1"/>
    <xf numFmtId="1" fontId="1" fillId="0" borderId="0" xfId="56" applyNumberFormat="1" applyFill="1"/>
    <xf numFmtId="166" fontId="29" fillId="0" borderId="7" xfId="44" applyFont="1" applyFill="1" applyBorder="1"/>
    <xf numFmtId="3" fontId="1" fillId="0" borderId="0" xfId="56" applyNumberFormat="1" applyFont="1" applyFill="1" applyAlignment="1">
      <alignment vertical="center"/>
    </xf>
    <xf numFmtId="0" fontId="45" fillId="0" borderId="7" xfId="0" applyFont="1" applyBorder="1" applyAlignment="1">
      <alignment horizontal="left" vertical="center"/>
    </xf>
    <xf numFmtId="173" fontId="5" fillId="38" borderId="0" xfId="33" applyNumberFormat="1" applyFont="1" applyFill="1"/>
    <xf numFmtId="4" fontId="71" fillId="0" borderId="0" xfId="56" applyNumberFormat="1" applyFont="1"/>
    <xf numFmtId="173" fontId="69" fillId="0" borderId="0" xfId="0" applyNumberFormat="1" applyFont="1" applyAlignment="1">
      <alignment horizontal="center" vertical="center"/>
    </xf>
    <xf numFmtId="4" fontId="64" fillId="45" borderId="54" xfId="0" applyNumberFormat="1" applyFont="1" applyFill="1" applyBorder="1" applyAlignment="1">
      <alignment vertical="center"/>
    </xf>
    <xf numFmtId="171" fontId="47" fillId="0" borderId="0" xfId="39" applyNumberFormat="1" applyFont="1" applyFill="1" applyBorder="1" applyAlignment="1">
      <alignment vertical="center"/>
    </xf>
    <xf numFmtId="0" fontId="72" fillId="0" borderId="0" xfId="0" applyFont="1" applyAlignment="1">
      <alignment horizontal="center" vertical="center"/>
    </xf>
    <xf numFmtId="175" fontId="72" fillId="0" borderId="0" xfId="44" applyNumberFormat="1" applyFont="1" applyFill="1" applyBorder="1" applyAlignment="1">
      <alignment horizontal="center" vertical="center"/>
    </xf>
    <xf numFmtId="175" fontId="72" fillId="0" borderId="0" xfId="0" applyNumberFormat="1" applyFont="1" applyAlignment="1">
      <alignment horizontal="center" vertical="center"/>
    </xf>
    <xf numFmtId="166" fontId="29" fillId="0" borderId="0" xfId="44" applyFont="1"/>
    <xf numFmtId="166" fontId="2" fillId="0" borderId="57" xfId="44" applyNumberFormat="1" applyFont="1" applyFill="1" applyBorder="1" applyAlignment="1">
      <alignment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4" fontId="2" fillId="0" borderId="10" xfId="0" applyNumberFormat="1" applyFont="1" applyFill="1" applyBorder="1"/>
    <xf numFmtId="0" fontId="68" fillId="0" borderId="0" xfId="0" applyFont="1"/>
    <xf numFmtId="4" fontId="61" fillId="0" borderId="37" xfId="56" applyNumberFormat="1" applyFont="1" applyBorder="1" applyAlignment="1">
      <alignment horizontal="right" vertical="center" wrapText="1"/>
    </xf>
    <xf numFmtId="4" fontId="2" fillId="0" borderId="58" xfId="44" applyNumberFormat="1" applyFont="1" applyFill="1" applyBorder="1" applyAlignment="1">
      <alignment horizontal="right" vertical="center"/>
    </xf>
    <xf numFmtId="166" fontId="3" fillId="0" borderId="0" xfId="44" applyNumberFormat="1" applyFont="1" applyFill="1" applyBorder="1" applyAlignment="1">
      <alignment vertical="center"/>
    </xf>
    <xf numFmtId="166" fontId="2" fillId="0" borderId="0" xfId="44" applyNumberFormat="1" applyFont="1" applyFill="1" applyBorder="1" applyAlignment="1">
      <alignment vertical="center"/>
    </xf>
    <xf numFmtId="166" fontId="2" fillId="0" borderId="0" xfId="44" applyNumberFormat="1" applyFont="1" applyFill="1" applyBorder="1" applyAlignment="1">
      <alignment horizontal="center" vertical="center"/>
    </xf>
    <xf numFmtId="166" fontId="3" fillId="0" borderId="0" xfId="44" applyNumberFormat="1" applyFont="1" applyFill="1" applyBorder="1" applyAlignment="1">
      <alignment horizontal="center" vertical="center"/>
    </xf>
    <xf numFmtId="9" fontId="47" fillId="0" borderId="0" xfId="60" applyFont="1" applyFill="1" applyBorder="1" applyAlignment="1">
      <alignment horizontal="center" vertical="center"/>
    </xf>
    <xf numFmtId="9" fontId="47" fillId="0" borderId="37" xfId="60" applyFont="1" applyFill="1" applyBorder="1" applyAlignment="1">
      <alignment horizontal="center" vertical="center"/>
    </xf>
    <xf numFmtId="175" fontId="46" fillId="0" borderId="3" xfId="44" applyNumberFormat="1" applyFont="1" applyFill="1" applyBorder="1" applyAlignment="1">
      <alignment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1" fontId="13" fillId="0" borderId="0" xfId="0" applyNumberFormat="1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 wrapText="1"/>
    </xf>
    <xf numFmtId="0" fontId="49" fillId="0" borderId="0" xfId="0" applyFont="1" applyBorder="1" applyAlignment="1">
      <alignment vertical="center" wrapText="1"/>
    </xf>
    <xf numFmtId="0" fontId="69" fillId="50" borderId="0" xfId="0" applyFont="1" applyFill="1" applyAlignment="1">
      <alignment horizontal="center" vertical="center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" fontId="13" fillId="0" borderId="7" xfId="0" applyNumberFormat="1" applyFont="1" applyFill="1" applyBorder="1" applyAlignment="1">
      <alignment horizontal="center" vertical="center" wrapText="1"/>
    </xf>
    <xf numFmtId="1" fontId="13" fillId="0" borderId="7" xfId="0" applyNumberFormat="1" applyFont="1" applyBorder="1" applyAlignment="1">
      <alignment horizontal="center" vertical="center" wrapText="1"/>
    </xf>
    <xf numFmtId="14" fontId="13" fillId="0" borderId="7" xfId="0" applyNumberFormat="1" applyFont="1" applyBorder="1" applyAlignment="1">
      <alignment horizontal="center" vertical="center"/>
    </xf>
    <xf numFmtId="176" fontId="63" fillId="0" borderId="7" xfId="33" applyNumberFormat="1" applyFont="1" applyBorder="1" applyAlignment="1">
      <alignment vertical="center"/>
    </xf>
    <xf numFmtId="0" fontId="63" fillId="0" borderId="7" xfId="0" applyFont="1" applyBorder="1" applyAlignment="1">
      <alignment horizontal="left" vertical="center" wrapText="1"/>
    </xf>
    <xf numFmtId="0" fontId="73" fillId="0" borderId="7" xfId="0" applyFont="1" applyBorder="1" applyAlignment="1">
      <alignment horizontal="left" vertical="center" wrapText="1"/>
    </xf>
    <xf numFmtId="175" fontId="63" fillId="0" borderId="7" xfId="44" applyNumberFormat="1" applyFont="1" applyBorder="1" applyAlignment="1">
      <alignment horizontal="right" vertical="center"/>
    </xf>
    <xf numFmtId="0" fontId="0" fillId="50" borderId="0" xfId="0" applyFill="1"/>
    <xf numFmtId="3" fontId="46" fillId="50" borderId="1" xfId="56" applyNumberFormat="1" applyFont="1" applyFill="1" applyBorder="1" applyAlignment="1">
      <alignment horizontal="center" vertical="center" wrapText="1"/>
    </xf>
    <xf numFmtId="0" fontId="47" fillId="50" borderId="2" xfId="56" applyFont="1" applyFill="1" applyBorder="1"/>
    <xf numFmtId="0" fontId="47" fillId="50" borderId="0" xfId="56" applyFont="1" applyFill="1"/>
    <xf numFmtId="4" fontId="47" fillId="50" borderId="0" xfId="56" applyNumberFormat="1" applyFont="1" applyFill="1" applyAlignment="1">
      <alignment vertical="center"/>
    </xf>
    <xf numFmtId="3" fontId="47" fillId="50" borderId="3" xfId="48" applyNumberFormat="1" applyFont="1" applyFill="1" applyBorder="1" applyAlignment="1">
      <alignment vertical="center" wrapText="1"/>
    </xf>
    <xf numFmtId="166" fontId="47" fillId="50" borderId="0" xfId="44" applyFont="1" applyFill="1" applyBorder="1" applyAlignment="1">
      <alignment vertical="center" wrapText="1"/>
    </xf>
    <xf numFmtId="166" fontId="46" fillId="50" borderId="3" xfId="44" applyFont="1" applyFill="1" applyBorder="1" applyAlignment="1">
      <alignment vertical="center" wrapText="1"/>
    </xf>
    <xf numFmtId="4" fontId="47" fillId="50" borderId="2" xfId="56" applyNumberFormat="1" applyFont="1" applyFill="1" applyBorder="1" applyAlignment="1">
      <alignment horizontal="left" vertical="center"/>
    </xf>
    <xf numFmtId="4" fontId="46" fillId="50" borderId="0" xfId="56" applyNumberFormat="1" applyFont="1" applyFill="1" applyAlignment="1">
      <alignment horizontal="left" vertical="center" wrapText="1"/>
    </xf>
    <xf numFmtId="4" fontId="47" fillId="50" borderId="0" xfId="56" applyNumberFormat="1" applyFont="1" applyFill="1" applyAlignment="1">
      <alignment horizontal="left" vertical="center"/>
    </xf>
    <xf numFmtId="166" fontId="47" fillId="50" borderId="3" xfId="44" applyFont="1" applyFill="1" applyBorder="1" applyAlignment="1">
      <alignment vertical="center"/>
    </xf>
    <xf numFmtId="4" fontId="48" fillId="50" borderId="4" xfId="56" applyNumberFormat="1" applyFont="1" applyFill="1" applyBorder="1" applyAlignment="1">
      <alignment horizontal="left" vertical="center"/>
    </xf>
    <xf numFmtId="4" fontId="48" fillId="50" borderId="5" xfId="56" applyNumberFormat="1" applyFont="1" applyFill="1" applyBorder="1" applyAlignment="1">
      <alignment horizontal="left" vertical="center"/>
    </xf>
    <xf numFmtId="166" fontId="48" fillId="50" borderId="5" xfId="44" applyFont="1" applyFill="1" applyBorder="1" applyAlignment="1">
      <alignment vertical="center"/>
    </xf>
    <xf numFmtId="166" fontId="48" fillId="50" borderId="32" xfId="44" applyFont="1" applyFill="1" applyBorder="1" applyAlignment="1">
      <alignment vertical="center" wrapText="1"/>
    </xf>
    <xf numFmtId="0" fontId="47" fillId="50" borderId="0" xfId="56" applyFont="1" applyFill="1" applyAlignment="1">
      <alignment horizontal="center"/>
    </xf>
    <xf numFmtId="1" fontId="47" fillId="50" borderId="0" xfId="56" applyNumberFormat="1" applyFont="1" applyFill="1" applyAlignment="1">
      <alignment horizontal="center"/>
    </xf>
    <xf numFmtId="4" fontId="46" fillId="50" borderId="0" xfId="56" applyNumberFormat="1" applyFont="1" applyFill="1" applyAlignment="1">
      <alignment wrapText="1"/>
    </xf>
    <xf numFmtId="3" fontId="47" fillId="50" borderId="6" xfId="56" applyNumberFormat="1" applyFont="1" applyFill="1" applyBorder="1" applyAlignment="1">
      <alignment wrapText="1"/>
    </xf>
    <xf numFmtId="15" fontId="47" fillId="50" borderId="6" xfId="56" applyNumberFormat="1" applyFont="1" applyFill="1" applyBorder="1"/>
    <xf numFmtId="1" fontId="47" fillId="50" borderId="6" xfId="56" applyNumberFormat="1" applyFont="1" applyFill="1" applyBorder="1" applyAlignment="1">
      <alignment horizontal="center"/>
    </xf>
    <xf numFmtId="0" fontId="47" fillId="50" borderId="6" xfId="56" applyFont="1" applyFill="1" applyBorder="1" applyAlignment="1">
      <alignment horizontal="center" wrapText="1"/>
    </xf>
    <xf numFmtId="1" fontId="46" fillId="50" borderId="0" xfId="0" applyNumberFormat="1" applyFont="1" applyFill="1" applyAlignment="1">
      <alignment wrapText="1"/>
    </xf>
    <xf numFmtId="3" fontId="47" fillId="50" borderId="0" xfId="0" applyNumberFormat="1" applyFont="1" applyFill="1" applyAlignment="1">
      <alignment vertical="center" wrapText="1"/>
    </xf>
    <xf numFmtId="0" fontId="1" fillId="50" borderId="0" xfId="56" applyFill="1" applyAlignment="1">
      <alignment horizontal="left" vertical="top"/>
    </xf>
    <xf numFmtId="0" fontId="0" fillId="50" borderId="0" xfId="0" applyFill="1" applyAlignment="1"/>
    <xf numFmtId="0" fontId="60" fillId="50" borderId="0" xfId="56" applyFont="1" applyFill="1" applyAlignment="1">
      <alignment horizontal="left" vertical="top"/>
    </xf>
    <xf numFmtId="0" fontId="61" fillId="50" borderId="80" xfId="56" applyFont="1" applyFill="1" applyBorder="1" applyAlignment="1">
      <alignment horizontal="left" vertical="top"/>
    </xf>
    <xf numFmtId="0" fontId="65" fillId="50" borderId="7" xfId="56" applyFont="1" applyFill="1" applyBorder="1" applyAlignment="1">
      <alignment horizontal="center" vertical="center"/>
    </xf>
    <xf numFmtId="0" fontId="61" fillId="50" borderId="39" xfId="56" applyFont="1" applyFill="1" applyBorder="1" applyAlignment="1">
      <alignment horizontal="left" vertical="top"/>
    </xf>
    <xf numFmtId="167" fontId="61" fillId="50" borderId="37" xfId="33" applyFont="1" applyFill="1" applyBorder="1" applyAlignment="1">
      <alignment horizontal="right" vertical="center"/>
    </xf>
    <xf numFmtId="175" fontId="1" fillId="50" borderId="0" xfId="56" applyNumberFormat="1" applyFill="1" applyAlignment="1">
      <alignment horizontal="left" vertical="top"/>
    </xf>
    <xf numFmtId="0" fontId="61" fillId="50" borderId="40" xfId="56" applyFont="1" applyFill="1" applyBorder="1" applyAlignment="1">
      <alignment horizontal="left" vertical="top"/>
    </xf>
    <xf numFmtId="167" fontId="61" fillId="50" borderId="38" xfId="33" applyFont="1" applyFill="1" applyBorder="1" applyAlignment="1">
      <alignment horizontal="right" vertical="center"/>
    </xf>
    <xf numFmtId="0" fontId="61" fillId="50" borderId="0" xfId="56" applyFont="1" applyFill="1" applyAlignment="1">
      <alignment horizontal="left" vertical="top"/>
    </xf>
    <xf numFmtId="3" fontId="61" fillId="50" borderId="0" xfId="56" applyNumberFormat="1" applyFont="1" applyFill="1" applyAlignment="1">
      <alignment horizontal="right" vertical="center"/>
    </xf>
    <xf numFmtId="167" fontId="65" fillId="50" borderId="7" xfId="33" applyNumberFormat="1" applyFont="1" applyFill="1" applyBorder="1" applyAlignment="1">
      <alignment horizontal="right" vertical="center"/>
    </xf>
    <xf numFmtId="4" fontId="1" fillId="50" borderId="0" xfId="56" applyNumberFormat="1" applyFill="1" applyAlignment="1">
      <alignment horizontal="left" vertical="top"/>
    </xf>
    <xf numFmtId="0" fontId="65" fillId="50" borderId="53" xfId="56" applyFont="1" applyFill="1" applyBorder="1" applyAlignment="1">
      <alignment horizontal="center" vertical="center"/>
    </xf>
    <xf numFmtId="0" fontId="65" fillId="50" borderId="35" xfId="56" applyFont="1" applyFill="1" applyBorder="1" applyAlignment="1">
      <alignment horizontal="center" vertical="center"/>
    </xf>
    <xf numFmtId="0" fontId="65" fillId="50" borderId="53" xfId="56" applyFont="1" applyFill="1" applyBorder="1" applyAlignment="1">
      <alignment horizontal="left" vertical="center"/>
    </xf>
    <xf numFmtId="0" fontId="65" fillId="50" borderId="35" xfId="56" applyFont="1" applyFill="1" applyBorder="1" applyAlignment="1">
      <alignment horizontal="left" vertical="center"/>
    </xf>
    <xf numFmtId="14" fontId="60" fillId="50" borderId="17" xfId="56" applyNumberFormat="1" applyFont="1" applyFill="1" applyBorder="1" applyAlignment="1">
      <alignment horizontal="center" vertical="center" shrinkToFit="1"/>
    </xf>
    <xf numFmtId="0" fontId="61" fillId="50" borderId="0" xfId="56" applyFont="1" applyFill="1" applyAlignment="1">
      <alignment horizontal="left" vertical="center"/>
    </xf>
    <xf numFmtId="0" fontId="60" fillId="50" borderId="17" xfId="56" applyFont="1" applyFill="1" applyBorder="1" applyAlignment="1">
      <alignment horizontal="left" vertical="center"/>
    </xf>
    <xf numFmtId="4" fontId="61" fillId="50" borderId="0" xfId="56" applyNumberFormat="1" applyFont="1" applyFill="1" applyAlignment="1">
      <alignment horizontal="right" vertical="center"/>
    </xf>
    <xf numFmtId="4" fontId="61" fillId="50" borderId="17" xfId="56" applyNumberFormat="1" applyFont="1" applyFill="1" applyBorder="1" applyAlignment="1">
      <alignment horizontal="right" vertical="center"/>
    </xf>
    <xf numFmtId="175" fontId="2" fillId="0" borderId="0" xfId="44" applyNumberFormat="1" applyFont="1" applyFill="1" applyBorder="1" applyAlignment="1">
      <alignment vertical="center" wrapText="1"/>
    </xf>
    <xf numFmtId="49" fontId="24" fillId="0" borderId="0" xfId="44" applyNumberFormat="1" applyFont="1" applyFill="1" applyBorder="1" applyAlignment="1">
      <alignment vertical="center" wrapText="1"/>
    </xf>
    <xf numFmtId="4" fontId="74" fillId="0" borderId="0" xfId="0" applyNumberFormat="1" applyFont="1" applyFill="1" applyAlignment="1">
      <alignment horizontal="center" vertical="center"/>
    </xf>
    <xf numFmtId="44" fontId="74" fillId="0" borderId="0" xfId="0" applyNumberFormat="1" applyFont="1" applyFill="1" applyAlignment="1">
      <alignment horizontal="center" vertical="center"/>
    </xf>
    <xf numFmtId="0" fontId="74" fillId="0" borderId="0" xfId="0" applyFont="1" applyFill="1" applyAlignment="1">
      <alignment horizontal="center" vertical="center"/>
    </xf>
    <xf numFmtId="166" fontId="74" fillId="0" borderId="0" xfId="44" applyFont="1" applyFill="1" applyAlignment="1">
      <alignment horizontal="center" vertical="center"/>
    </xf>
    <xf numFmtId="175" fontId="74" fillId="0" borderId="0" xfId="44" applyNumberFormat="1" applyFont="1" applyFill="1" applyBorder="1" applyAlignment="1">
      <alignment horizontal="center" vertical="center"/>
    </xf>
    <xf numFmtId="181" fontId="74" fillId="0" borderId="0" xfId="0" applyNumberFormat="1" applyFont="1" applyFill="1" applyAlignment="1">
      <alignment horizontal="center" vertical="center"/>
    </xf>
    <xf numFmtId="0" fontId="73" fillId="0" borderId="0" xfId="0" applyFont="1"/>
    <xf numFmtId="175" fontId="54" fillId="0" borderId="0" xfId="44" applyNumberFormat="1" applyFont="1" applyFill="1" applyBorder="1"/>
    <xf numFmtId="175" fontId="56" fillId="0" borderId="0" xfId="44" applyNumberFormat="1" applyFont="1" applyFill="1" applyBorder="1"/>
    <xf numFmtId="175" fontId="29" fillId="0" borderId="0" xfId="44" applyNumberFormat="1" applyFont="1" applyFill="1" applyBorder="1"/>
    <xf numFmtId="167" fontId="60" fillId="50" borderId="0" xfId="56" applyNumberFormat="1" applyFont="1" applyFill="1" applyAlignment="1">
      <alignment horizontal="left" vertical="top"/>
    </xf>
    <xf numFmtId="167" fontId="1" fillId="0" borderId="7" xfId="33" applyFont="1" applyBorder="1"/>
    <xf numFmtId="175" fontId="1" fillId="0" borderId="7" xfId="44" applyNumberFormat="1" applyFont="1" applyBorder="1"/>
    <xf numFmtId="175" fontId="5" fillId="0" borderId="0" xfId="56" applyNumberFormat="1" applyFont="1"/>
    <xf numFmtId="165" fontId="29" fillId="50" borderId="0" xfId="34" applyFont="1" applyFill="1"/>
    <xf numFmtId="0" fontId="45" fillId="50" borderId="7" xfId="0" applyFont="1" applyFill="1" applyBorder="1"/>
    <xf numFmtId="165" fontId="45" fillId="50" borderId="7" xfId="34" applyFont="1" applyFill="1" applyBorder="1"/>
    <xf numFmtId="0" fontId="0" fillId="50" borderId="7" xfId="0" applyFill="1" applyBorder="1"/>
    <xf numFmtId="165" fontId="29" fillId="50" borderId="7" xfId="34" applyFont="1" applyFill="1" applyBorder="1"/>
    <xf numFmtId="0" fontId="45" fillId="51" borderId="7" xfId="0" applyFont="1" applyFill="1" applyBorder="1"/>
    <xf numFmtId="165" fontId="45" fillId="51" borderId="7" xfId="34" applyFont="1" applyFill="1" applyBorder="1"/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64" fontId="29" fillId="0" borderId="7" xfId="45" applyFont="1" applyFill="1" applyBorder="1"/>
    <xf numFmtId="0" fontId="51" fillId="0" borderId="0" xfId="0" applyFont="1" applyFill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3" fontId="5" fillId="51" borderId="0" xfId="56" applyNumberFormat="1" applyFont="1" applyFill="1" applyAlignment="1">
      <alignment vertical="center"/>
    </xf>
    <xf numFmtId="0" fontId="25" fillId="2" borderId="7" xfId="0" applyFont="1" applyFill="1" applyBorder="1" applyAlignment="1">
      <alignment horizontal="center" vertical="center" wrapText="1"/>
    </xf>
    <xf numFmtId="1" fontId="26" fillId="0" borderId="7" xfId="0" applyNumberFormat="1" applyFont="1" applyFill="1" applyBorder="1" applyAlignment="1">
      <alignment horizontal="center" vertical="center" wrapText="1"/>
    </xf>
    <xf numFmtId="14" fontId="26" fillId="0" borderId="7" xfId="0" applyNumberFormat="1" applyFont="1" applyFill="1" applyBorder="1" applyAlignment="1">
      <alignment horizontal="center" vertical="center" wrapText="1"/>
    </xf>
    <xf numFmtId="0" fontId="26" fillId="0" borderId="7" xfId="0" applyFont="1" applyFill="1" applyBorder="1" applyAlignment="1">
      <alignment horizontal="center" vertical="center" wrapText="1"/>
    </xf>
    <xf numFmtId="0" fontId="26" fillId="0" borderId="7" xfId="0" applyFont="1" applyFill="1" applyBorder="1" applyAlignment="1">
      <alignment horizontal="center" vertical="center"/>
    </xf>
    <xf numFmtId="164" fontId="26" fillId="0" borderId="7" xfId="45" applyFont="1" applyFill="1" applyBorder="1" applyAlignment="1">
      <alignment horizontal="center" vertical="center" wrapText="1"/>
    </xf>
    <xf numFmtId="175" fontId="26" fillId="0" borderId="7" xfId="49" applyNumberFormat="1" applyFont="1" applyFill="1" applyBorder="1" applyAlignment="1">
      <alignment horizontal="center" vertical="center" wrapText="1"/>
    </xf>
    <xf numFmtId="4" fontId="2" fillId="45" borderId="44" xfId="44" applyNumberFormat="1" applyFont="1" applyFill="1" applyBorder="1" applyAlignment="1">
      <alignment horizontal="right" vertical="center"/>
    </xf>
    <xf numFmtId="0" fontId="72" fillId="50" borderId="0" xfId="0" applyFont="1" applyFill="1" applyAlignment="1">
      <alignment horizontal="center" vertical="center"/>
    </xf>
    <xf numFmtId="175" fontId="72" fillId="50" borderId="0" xfId="0" applyNumberFormat="1" applyFont="1" applyFill="1" applyAlignment="1">
      <alignment horizontal="center" vertical="center"/>
    </xf>
    <xf numFmtId="166" fontId="29" fillId="0" borderId="0" xfId="44" applyFont="1" applyFill="1"/>
    <xf numFmtId="0" fontId="5" fillId="0" borderId="7" xfId="56" applyFont="1" applyFill="1" applyBorder="1"/>
    <xf numFmtId="0" fontId="5" fillId="0" borderId="7" xfId="56" applyFont="1" applyFill="1" applyBorder="1" applyAlignment="1">
      <alignment wrapText="1"/>
    </xf>
    <xf numFmtId="0" fontId="75" fillId="0" borderId="0" xfId="56" applyFont="1" applyFill="1"/>
    <xf numFmtId="167" fontId="57" fillId="0" borderId="0" xfId="33" applyFont="1" applyFill="1"/>
    <xf numFmtId="166" fontId="57" fillId="0" borderId="0" xfId="44" applyFont="1" applyFill="1"/>
    <xf numFmtId="174" fontId="0" fillId="0" borderId="82" xfId="0" applyNumberFormat="1" applyFill="1" applyBorder="1"/>
    <xf numFmtId="4" fontId="57" fillId="0" borderId="0" xfId="56" applyNumberFormat="1" applyFont="1" applyFill="1"/>
    <xf numFmtId="4" fontId="53" fillId="0" borderId="0" xfId="56" applyNumberFormat="1" applyFont="1" applyFill="1"/>
    <xf numFmtId="166" fontId="53" fillId="0" borderId="0" xfId="44" applyFont="1" applyFill="1"/>
    <xf numFmtId="164" fontId="53" fillId="0" borderId="0" xfId="56" applyNumberFormat="1" applyFont="1" applyFill="1"/>
    <xf numFmtId="4" fontId="2" fillId="0" borderId="12" xfId="44" applyNumberFormat="1" applyFont="1" applyFill="1" applyBorder="1" applyAlignment="1">
      <alignment horizontal="right" vertical="center"/>
    </xf>
    <xf numFmtId="175" fontId="69" fillId="0" borderId="0" xfId="0" applyNumberFormat="1" applyFont="1" applyFill="1" applyAlignment="1">
      <alignment horizontal="center" vertical="center"/>
    </xf>
    <xf numFmtId="0" fontId="69" fillId="0" borderId="0" xfId="0" applyFont="1" applyFill="1" applyAlignment="1">
      <alignment horizontal="center" vertical="center"/>
    </xf>
    <xf numFmtId="175" fontId="69" fillId="0" borderId="0" xfId="44" applyNumberFormat="1" applyFont="1" applyFill="1" applyBorder="1" applyAlignment="1">
      <alignment horizontal="center" vertical="center"/>
    </xf>
    <xf numFmtId="44" fontId="69" fillId="0" borderId="0" xfId="0" applyNumberFormat="1" applyFont="1" applyFill="1" applyAlignment="1">
      <alignment horizontal="center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0" fontId="66" fillId="0" borderId="0" xfId="0" applyFont="1" applyFill="1" applyAlignment="1">
      <alignment horizontal="left" vertical="center"/>
    </xf>
    <xf numFmtId="0" fontId="56" fillId="0" borderId="0" xfId="56" applyFont="1" applyFill="1"/>
    <xf numFmtId="40" fontId="1" fillId="0" borderId="0" xfId="56" applyNumberFormat="1" applyAlignment="1">
      <alignment vertical="center"/>
    </xf>
    <xf numFmtId="9" fontId="76" fillId="0" borderId="0" xfId="44" applyNumberFormat="1" applyFont="1" applyFill="1" applyBorder="1" applyAlignment="1">
      <alignment horizontal="center"/>
    </xf>
    <xf numFmtId="9" fontId="72" fillId="0" borderId="0" xfId="44" applyNumberFormat="1" applyFont="1" applyFill="1" applyBorder="1" applyAlignment="1">
      <alignment horizontal="center"/>
    </xf>
    <xf numFmtId="0" fontId="76" fillId="0" borderId="0" xfId="0" applyFont="1" applyFill="1"/>
    <xf numFmtId="165" fontId="13" fillId="0" borderId="0" xfId="34" applyFont="1" applyAlignment="1">
      <alignment horizontal="left" vertical="center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0" fontId="61" fillId="50" borderId="59" xfId="56" applyFont="1" applyFill="1" applyBorder="1" applyAlignment="1">
      <alignment horizontal="left" vertical="center"/>
    </xf>
    <xf numFmtId="0" fontId="61" fillId="50" borderId="60" xfId="56" applyFont="1" applyFill="1" applyBorder="1" applyAlignment="1">
      <alignment horizontal="left" vertical="center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73" fontId="72" fillId="0" borderId="0" xfId="0" applyNumberFormat="1" applyFont="1" applyAlignment="1">
      <alignment horizontal="center" vertical="center"/>
    </xf>
    <xf numFmtId="170" fontId="13" fillId="0" borderId="7" xfId="56" applyNumberFormat="1" applyFont="1" applyBorder="1" applyAlignment="1">
      <alignment horizontal="left"/>
    </xf>
    <xf numFmtId="1" fontId="49" fillId="0" borderId="7" xfId="0" applyNumberFormat="1" applyFont="1" applyBorder="1" applyAlignment="1">
      <alignment vertical="center" wrapText="1"/>
    </xf>
    <xf numFmtId="166" fontId="69" fillId="0" borderId="0" xfId="44" applyFont="1" applyFill="1" applyBorder="1" applyAlignment="1">
      <alignment horizontal="center" vertical="center"/>
    </xf>
    <xf numFmtId="175" fontId="69" fillId="50" borderId="0" xfId="0" applyNumberFormat="1" applyFont="1" applyFill="1" applyAlignment="1">
      <alignment horizontal="center" vertical="center"/>
    </xf>
    <xf numFmtId="175" fontId="69" fillId="50" borderId="0" xfId="44" applyNumberFormat="1" applyFont="1" applyFill="1" applyBorder="1" applyAlignment="1">
      <alignment horizontal="center" vertical="center"/>
    </xf>
    <xf numFmtId="181" fontId="69" fillId="50" borderId="0" xfId="0" applyNumberFormat="1" applyFont="1" applyFill="1" applyAlignment="1">
      <alignment horizontal="center" vertical="center"/>
    </xf>
    <xf numFmtId="44" fontId="69" fillId="50" borderId="0" xfId="0" applyNumberFormat="1" applyFont="1" applyFill="1" applyAlignment="1">
      <alignment horizontal="center" vertical="center"/>
    </xf>
    <xf numFmtId="173" fontId="69" fillId="50" borderId="0" xfId="33" applyNumberFormat="1" applyFont="1" applyFill="1" applyAlignment="1">
      <alignment horizontal="center" vertical="center"/>
    </xf>
    <xf numFmtId="4" fontId="47" fillId="0" borderId="0" xfId="56" applyNumberFormat="1" applyFont="1" applyBorder="1" applyAlignment="1">
      <alignment horizontal="left" vertical="center"/>
    </xf>
    <xf numFmtId="170" fontId="13" fillId="0" borderId="39" xfId="56" applyNumberFormat="1" applyFont="1" applyFill="1" applyBorder="1" applyAlignment="1">
      <alignment horizontal="left"/>
    </xf>
    <xf numFmtId="0" fontId="45" fillId="50" borderId="0" xfId="0" applyFont="1" applyFill="1" applyBorder="1"/>
    <xf numFmtId="165" fontId="45" fillId="50" borderId="0" xfId="34" applyFont="1" applyFill="1" applyBorder="1"/>
    <xf numFmtId="14" fontId="3" fillId="0" borderId="11" xfId="0" applyNumberFormat="1" applyFont="1" applyFill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center" vertical="center" wrapText="1"/>
    </xf>
    <xf numFmtId="0" fontId="51" fillId="0" borderId="7" xfId="0" applyFont="1" applyFill="1" applyBorder="1" applyAlignment="1">
      <alignment horizontal="center" vertical="center"/>
    </xf>
    <xf numFmtId="173" fontId="51" fillId="0" borderId="7" xfId="33" applyNumberFormat="1" applyFont="1" applyFill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left" vertical="center" wrapText="1"/>
    </xf>
    <xf numFmtId="175" fontId="3" fillId="0" borderId="7" xfId="44" applyNumberFormat="1" applyFont="1" applyFill="1" applyBorder="1" applyAlignment="1">
      <alignment vertical="center"/>
    </xf>
    <xf numFmtId="40" fontId="3" fillId="0" borderId="7" xfId="33" applyNumberFormat="1" applyFont="1" applyFill="1" applyBorder="1" applyAlignment="1">
      <alignment vertical="center"/>
    </xf>
    <xf numFmtId="40" fontId="3" fillId="0" borderId="30" xfId="33" applyNumberFormat="1" applyFont="1" applyFill="1" applyBorder="1" applyAlignment="1">
      <alignment vertical="center"/>
    </xf>
    <xf numFmtId="0" fontId="49" fillId="0" borderId="7" xfId="0" applyFont="1" applyFill="1" applyBorder="1" applyAlignment="1">
      <alignment horizontal="center" vertical="center"/>
    </xf>
    <xf numFmtId="0" fontId="49" fillId="0" borderId="7" xfId="0" applyFont="1" applyFill="1" applyBorder="1" applyAlignment="1">
      <alignment vertical="center" wrapText="1"/>
    </xf>
    <xf numFmtId="174" fontId="49" fillId="0" borderId="7" xfId="49" applyNumberFormat="1" applyFont="1" applyFill="1" applyBorder="1" applyAlignment="1">
      <alignment horizontal="center" vertical="center"/>
    </xf>
    <xf numFmtId="4" fontId="61" fillId="0" borderId="83" xfId="56" applyNumberFormat="1" applyFont="1" applyFill="1" applyBorder="1" applyAlignment="1">
      <alignment horizontal="right" vertical="center" wrapText="1"/>
    </xf>
    <xf numFmtId="167" fontId="61" fillId="0" borderId="83" xfId="33" applyFont="1" applyFill="1" applyBorder="1" applyAlignment="1">
      <alignment horizontal="right" vertical="center"/>
    </xf>
    <xf numFmtId="175" fontId="53" fillId="50" borderId="0" xfId="56" applyNumberFormat="1" applyFont="1" applyFill="1" applyAlignment="1">
      <alignment horizontal="left" vertical="top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64" fontId="15" fillId="0" borderId="7" xfId="45" applyFont="1" applyFill="1" applyBorder="1"/>
    <xf numFmtId="4" fontId="47" fillId="0" borderId="0" xfId="56" applyNumberFormat="1" applyFont="1" applyBorder="1" applyAlignment="1">
      <alignment horizontal="left" vertical="center"/>
    </xf>
    <xf numFmtId="0" fontId="1" fillId="0" borderId="7" xfId="56" applyBorder="1"/>
    <xf numFmtId="164" fontId="1" fillId="0" borderId="7" xfId="45" applyFont="1" applyBorder="1"/>
    <xf numFmtId="1" fontId="49" fillId="0" borderId="11" xfId="0" applyNumberFormat="1" applyFont="1" applyFill="1" applyBorder="1" applyAlignment="1">
      <alignment vertical="center" wrapText="1"/>
    </xf>
    <xf numFmtId="9" fontId="68" fillId="0" borderId="7" xfId="60" applyFont="1" applyFill="1" applyBorder="1" applyAlignment="1">
      <alignment horizontal="center" vertical="center"/>
    </xf>
    <xf numFmtId="9" fontId="68" fillId="0" borderId="7" xfId="60" applyFont="1" applyFill="1" applyBorder="1" applyAlignment="1">
      <alignment horizontal="center" vertical="center" wrapText="1"/>
    </xf>
    <xf numFmtId="4" fontId="13" fillId="0" borderId="0" xfId="0" applyNumberFormat="1" applyFont="1" applyFill="1" applyAlignment="1">
      <alignment vertical="center"/>
    </xf>
    <xf numFmtId="3" fontId="13" fillId="0" borderId="37" xfId="0" applyNumberFormat="1" applyFont="1" applyFill="1" applyBorder="1" applyAlignment="1">
      <alignment vertical="center"/>
    </xf>
    <xf numFmtId="3" fontId="13" fillId="0" borderId="17" xfId="48" applyNumberFormat="1" applyFont="1" applyFill="1" applyBorder="1" applyAlignment="1">
      <alignment horizontal="right" vertical="center"/>
    </xf>
    <xf numFmtId="3" fontId="13" fillId="0" borderId="39" xfId="48" applyNumberFormat="1" applyFont="1" applyFill="1" applyBorder="1" applyAlignment="1">
      <alignment horizontal="right" vertical="center"/>
    </xf>
    <xf numFmtId="3" fontId="5" fillId="48" borderId="0" xfId="56" applyNumberFormat="1" applyFont="1" applyFill="1" applyAlignment="1">
      <alignment vertical="center"/>
    </xf>
    <xf numFmtId="43" fontId="0" fillId="50" borderId="0" xfId="0" applyNumberFormat="1" applyFill="1" applyAlignment="1"/>
    <xf numFmtId="9" fontId="77" fillId="0" borderId="0" xfId="44" applyNumberFormat="1" applyFont="1" applyFill="1" applyBorder="1" applyAlignment="1">
      <alignment horizontal="center"/>
    </xf>
    <xf numFmtId="170" fontId="13" fillId="0" borderId="0" xfId="56" applyNumberFormat="1" applyFont="1" applyFill="1" applyAlignment="1">
      <alignment horizontal="left"/>
    </xf>
    <xf numFmtId="0" fontId="25" fillId="0" borderId="7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/>
    </xf>
    <xf numFmtId="175" fontId="25" fillId="0" borderId="7" xfId="49" applyNumberFormat="1" applyFont="1" applyFill="1" applyBorder="1" applyAlignment="1">
      <alignment horizontal="center" vertical="center" wrapText="1"/>
    </xf>
    <xf numFmtId="3" fontId="77" fillId="0" borderId="0" xfId="0" applyNumberFormat="1" applyFont="1"/>
    <xf numFmtId="0" fontId="78" fillId="0" borderId="0" xfId="0" applyFont="1"/>
    <xf numFmtId="167" fontId="77" fillId="0" borderId="0" xfId="33" applyFont="1"/>
    <xf numFmtId="43" fontId="78" fillId="0" borderId="0" xfId="0" applyNumberFormat="1" applyFont="1"/>
    <xf numFmtId="167" fontId="77" fillId="0" borderId="0" xfId="33" applyFont="1" applyFill="1" applyBorder="1"/>
    <xf numFmtId="175" fontId="72" fillId="0" borderId="0" xfId="0" applyNumberFormat="1" applyFont="1" applyFill="1" applyAlignment="1">
      <alignment horizontal="center" vertical="center"/>
    </xf>
    <xf numFmtId="0" fontId="72" fillId="0" borderId="0" xfId="0" applyFont="1" applyFill="1" applyAlignment="1">
      <alignment horizontal="center" vertical="center"/>
    </xf>
    <xf numFmtId="173" fontId="72" fillId="0" borderId="0" xfId="33" applyNumberFormat="1" applyFont="1" applyFill="1" applyAlignment="1">
      <alignment horizontal="center" vertical="center"/>
    </xf>
    <xf numFmtId="40" fontId="78" fillId="0" borderId="0" xfId="0" applyNumberFormat="1" applyFont="1" applyAlignment="1">
      <alignment vertical="center"/>
    </xf>
    <xf numFmtId="165" fontId="53" fillId="0" borderId="0" xfId="34" applyFont="1"/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43" fontId="68" fillId="0" borderId="0" xfId="0" applyNumberFormat="1" applyFont="1"/>
    <xf numFmtId="173" fontId="49" fillId="0" borderId="7" xfId="33" applyNumberFormat="1" applyFont="1" applyBorder="1" applyAlignment="1">
      <alignment horizontal="center" vertical="center" wrapText="1"/>
    </xf>
    <xf numFmtId="174" fontId="49" fillId="0" borderId="7" xfId="49" applyNumberFormat="1" applyFont="1" applyBorder="1" applyAlignment="1">
      <alignment horizontal="center" vertical="center" wrapText="1"/>
    </xf>
    <xf numFmtId="167" fontId="3" fillId="0" borderId="7" xfId="33" applyNumberFormat="1" applyFont="1" applyFill="1" applyBorder="1" applyAlignment="1">
      <alignment vertical="center"/>
    </xf>
    <xf numFmtId="0" fontId="61" fillId="0" borderId="0" xfId="56" applyFont="1" applyBorder="1" applyAlignment="1">
      <alignment horizontal="left" vertical="center"/>
    </xf>
    <xf numFmtId="183" fontId="61" fillId="0" borderId="0" xfId="34" applyNumberFormat="1" applyFont="1" applyFill="1" applyBorder="1" applyAlignment="1">
      <alignment horizontal="right" vertical="center" wrapText="1"/>
    </xf>
    <xf numFmtId="183" fontId="61" fillId="0" borderId="17" xfId="34" applyNumberFormat="1" applyFont="1" applyFill="1" applyBorder="1" applyAlignment="1">
      <alignment horizontal="right" vertical="center" wrapText="1"/>
    </xf>
    <xf numFmtId="183" fontId="65" fillId="0" borderId="48" xfId="34" applyNumberFormat="1" applyFont="1" applyBorder="1" applyAlignment="1">
      <alignment horizontal="right" vertical="center" wrapText="1"/>
    </xf>
    <xf numFmtId="183" fontId="65" fillId="50" borderId="53" xfId="56" applyNumberFormat="1" applyFont="1" applyFill="1" applyBorder="1" applyAlignment="1">
      <alignment horizontal="center" vertical="center"/>
    </xf>
    <xf numFmtId="183" fontId="61" fillId="50" borderId="17" xfId="34" applyNumberFormat="1" applyFont="1" applyFill="1" applyBorder="1" applyAlignment="1">
      <alignment horizontal="right" vertical="center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4" fontId="61" fillId="0" borderId="38" xfId="56" applyNumberFormat="1" applyFont="1" applyFill="1" applyBorder="1" applyAlignment="1">
      <alignment horizontal="right" vertical="center" wrapText="1"/>
    </xf>
    <xf numFmtId="175" fontId="3" fillId="0" borderId="0" xfId="56" applyNumberFormat="1" applyFont="1"/>
    <xf numFmtId="4" fontId="47" fillId="0" borderId="0" xfId="56" applyNumberFormat="1" applyFont="1" applyBorder="1" applyAlignment="1">
      <alignment horizontal="left" vertical="center"/>
    </xf>
    <xf numFmtId="175" fontId="79" fillId="0" borderId="6" xfId="56" applyNumberFormat="1" applyFont="1" applyBorder="1" applyAlignment="1">
      <alignment wrapText="1"/>
    </xf>
    <xf numFmtId="165" fontId="5" fillId="0" borderId="0" xfId="34" applyFont="1" applyFill="1" applyAlignment="1">
      <alignment vertical="center"/>
    </xf>
    <xf numFmtId="165" fontId="1" fillId="0" borderId="0" xfId="34" applyFont="1" applyFill="1" applyAlignment="1">
      <alignment vertical="center"/>
    </xf>
    <xf numFmtId="165" fontId="1" fillId="0" borderId="0" xfId="34" applyFont="1" applyAlignment="1">
      <alignment horizontal="right" vertical="center"/>
    </xf>
    <xf numFmtId="4" fontId="1" fillId="0" borderId="0" xfId="56" applyNumberFormat="1" applyFill="1" applyAlignment="1">
      <alignment vertical="center"/>
    </xf>
    <xf numFmtId="4" fontId="1" fillId="0" borderId="0" xfId="56" applyNumberFormat="1" applyFill="1" applyAlignment="1">
      <alignment horizontal="right" vertical="center"/>
    </xf>
    <xf numFmtId="43" fontId="1" fillId="0" borderId="0" xfId="56" applyNumberFormat="1" applyAlignment="1">
      <alignment horizontal="left" vertical="top"/>
    </xf>
    <xf numFmtId="173" fontId="69" fillId="50" borderId="0" xfId="33" applyNumberFormat="1" applyFont="1" applyFill="1" applyBorder="1" applyAlignment="1">
      <alignment horizontal="center" vertical="center"/>
    </xf>
    <xf numFmtId="175" fontId="77" fillId="50" borderId="0" xfId="44" applyNumberFormat="1" applyFont="1" applyFill="1" applyBorder="1" applyAlignment="1">
      <alignment horizontal="center" vertical="center"/>
    </xf>
    <xf numFmtId="175" fontId="69" fillId="50" borderId="0" xfId="0" applyNumberFormat="1" applyFont="1" applyFill="1" applyBorder="1" applyAlignment="1">
      <alignment horizontal="center" vertical="center"/>
    </xf>
    <xf numFmtId="44" fontId="78" fillId="50" borderId="0" xfId="0" applyNumberFormat="1" applyFont="1" applyFill="1" applyBorder="1"/>
    <xf numFmtId="175" fontId="69" fillId="0" borderId="0" xfId="0" applyNumberFormat="1" applyFont="1" applyAlignment="1">
      <alignment horizontal="center" vertical="center"/>
    </xf>
    <xf numFmtId="3" fontId="80" fillId="50" borderId="0" xfId="48" applyNumberFormat="1" applyFont="1" applyFill="1" applyBorder="1" applyAlignment="1">
      <alignment horizontal="left" vertical="center"/>
    </xf>
    <xf numFmtId="166" fontId="69" fillId="50" borderId="0" xfId="44" applyFont="1" applyFill="1" applyBorder="1" applyAlignment="1">
      <alignment horizontal="center" vertical="center"/>
    </xf>
    <xf numFmtId="44" fontId="69" fillId="50" borderId="0" xfId="0" applyNumberFormat="1" applyFont="1" applyFill="1" applyBorder="1" applyAlignment="1">
      <alignment horizontal="center" vertical="center"/>
    </xf>
    <xf numFmtId="174" fontId="69" fillId="50" borderId="0" xfId="0" applyNumberFormat="1" applyFont="1" applyFill="1" applyBorder="1" applyAlignment="1">
      <alignment horizontal="center" vertical="center"/>
    </xf>
    <xf numFmtId="166" fontId="69" fillId="50" borderId="0" xfId="0" applyNumberFormat="1" applyFont="1" applyFill="1" applyBorder="1" applyAlignment="1">
      <alignment horizontal="center" vertical="center"/>
    </xf>
    <xf numFmtId="44" fontId="69" fillId="0" borderId="0" xfId="0" applyNumberFormat="1" applyFont="1" applyAlignment="1">
      <alignment horizontal="center" vertical="center"/>
    </xf>
    <xf numFmtId="3" fontId="5" fillId="0" borderId="0" xfId="56" applyNumberFormat="1" applyFont="1" applyFill="1"/>
    <xf numFmtId="10" fontId="45" fillId="50" borderId="0" xfId="59" applyNumberFormat="1" applyFont="1" applyFill="1" applyBorder="1"/>
    <xf numFmtId="0" fontId="14" fillId="40" borderId="9" xfId="0" applyFont="1" applyFill="1" applyBorder="1" applyAlignment="1">
      <alignment horizontal="center" vertical="center" wrapText="1"/>
    </xf>
    <xf numFmtId="165" fontId="1" fillId="0" borderId="0" xfId="34" applyFont="1" applyFill="1" applyAlignment="1">
      <alignment horizontal="right" vertical="center"/>
    </xf>
    <xf numFmtId="165" fontId="1" fillId="0" borderId="0" xfId="34" applyFont="1" applyAlignment="1">
      <alignment vertical="center"/>
    </xf>
    <xf numFmtId="4" fontId="46" fillId="0" borderId="12" xfId="56" applyNumberFormat="1" applyFont="1" applyFill="1" applyBorder="1" applyAlignment="1">
      <alignment wrapText="1"/>
    </xf>
    <xf numFmtId="175" fontId="48" fillId="40" borderId="0" xfId="44" applyNumberFormat="1" applyFont="1" applyFill="1" applyBorder="1" applyAlignment="1">
      <alignment vertical="center"/>
    </xf>
    <xf numFmtId="175" fontId="5" fillId="52" borderId="0" xfId="44" applyNumberFormat="1" applyFont="1" applyFill="1"/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67" fontId="76" fillId="0" borderId="0" xfId="33" applyFont="1"/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66" fontId="72" fillId="0" borderId="0" xfId="44" applyFont="1" applyFill="1" applyAlignment="1">
      <alignment horizontal="center" vertical="center"/>
    </xf>
    <xf numFmtId="44" fontId="72" fillId="0" borderId="0" xfId="0" applyNumberFormat="1" applyFont="1" applyFill="1" applyAlignment="1">
      <alignment horizontal="center" vertical="center"/>
    </xf>
    <xf numFmtId="175" fontId="72" fillId="50" borderId="0" xfId="44" applyNumberFormat="1" applyFont="1" applyFill="1" applyBorder="1" applyAlignment="1">
      <alignment horizontal="center" vertical="center"/>
    </xf>
    <xf numFmtId="0" fontId="72" fillId="50" borderId="0" xfId="0" applyFont="1" applyFill="1" applyBorder="1" applyAlignment="1">
      <alignment horizontal="center" vertical="center"/>
    </xf>
    <xf numFmtId="173" fontId="72" fillId="50" borderId="0" xfId="33" applyNumberFormat="1" applyFont="1" applyFill="1" applyBorder="1" applyAlignment="1">
      <alignment horizontal="center" vertical="center"/>
    </xf>
    <xf numFmtId="175" fontId="1" fillId="0" borderId="30" xfId="44" applyNumberFormat="1" applyFont="1" applyFill="1" applyBorder="1" applyAlignment="1">
      <alignment horizontal="right" vertical="center"/>
    </xf>
    <xf numFmtId="0" fontId="5" fillId="0" borderId="28" xfId="56" applyFont="1" applyBorder="1" applyAlignment="1">
      <alignment horizontal="left"/>
    </xf>
    <xf numFmtId="166" fontId="5" fillId="0" borderId="18" xfId="44" applyNumberFormat="1" applyFont="1" applyFill="1" applyBorder="1" applyAlignment="1">
      <alignment horizontal="right" vertical="center"/>
    </xf>
    <xf numFmtId="175" fontId="5" fillId="0" borderId="19" xfId="44" applyNumberFormat="1" applyFont="1" applyFill="1" applyBorder="1" applyAlignment="1">
      <alignment horizontal="right" vertical="center"/>
    </xf>
    <xf numFmtId="165" fontId="5" fillId="0" borderId="0" xfId="34" applyFont="1" applyAlignment="1">
      <alignment horizontal="left" vertical="center"/>
    </xf>
    <xf numFmtId="165" fontId="5" fillId="0" borderId="0" xfId="34" applyFont="1" applyAlignment="1">
      <alignment vertical="center"/>
    </xf>
    <xf numFmtId="165" fontId="1" fillId="0" borderId="0" xfId="34" applyFont="1" applyBorder="1" applyAlignment="1">
      <alignment vertical="center"/>
    </xf>
    <xf numFmtId="179" fontId="1" fillId="0" borderId="0" xfId="56" applyNumberFormat="1" applyAlignment="1">
      <alignment vertical="center"/>
    </xf>
    <xf numFmtId="165" fontId="29" fillId="0" borderId="0" xfId="34" applyFont="1" applyFill="1" applyBorder="1"/>
    <xf numFmtId="43" fontId="1" fillId="0" borderId="0" xfId="56" applyNumberFormat="1" applyAlignment="1">
      <alignment vertical="center"/>
    </xf>
    <xf numFmtId="165" fontId="76" fillId="0" borderId="0" xfId="34" applyFont="1" applyFill="1"/>
    <xf numFmtId="165" fontId="49" fillId="0" borderId="0" xfId="0" applyNumberFormat="1" applyFont="1"/>
    <xf numFmtId="165" fontId="1" fillId="0" borderId="0" xfId="56" applyNumberFormat="1" applyAlignment="1">
      <alignment vertical="center"/>
    </xf>
    <xf numFmtId="165" fontId="1" fillId="0" borderId="7" xfId="34" applyFont="1" applyFill="1" applyBorder="1"/>
    <xf numFmtId="4" fontId="79" fillId="0" borderId="0" xfId="56" applyNumberFormat="1" applyFont="1"/>
    <xf numFmtId="4" fontId="69" fillId="50" borderId="0" xfId="0" applyNumberFormat="1" applyFont="1" applyFill="1" applyBorder="1" applyAlignment="1">
      <alignment horizontal="right" vertical="center"/>
    </xf>
    <xf numFmtId="44" fontId="69" fillId="50" borderId="0" xfId="0" applyNumberFormat="1" applyFont="1" applyFill="1" applyBorder="1" applyAlignment="1">
      <alignment horizontal="center" vertical="center" wrapText="1"/>
    </xf>
    <xf numFmtId="3" fontId="78" fillId="50" borderId="0" xfId="0" applyNumberFormat="1" applyFont="1" applyFill="1" applyBorder="1"/>
    <xf numFmtId="165" fontId="1" fillId="0" borderId="7" xfId="34" applyFont="1" applyBorder="1"/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4" fontId="60" fillId="50" borderId="48" xfId="56" applyNumberFormat="1" applyFont="1" applyFill="1" applyBorder="1" applyAlignment="1">
      <alignment horizontal="center" vertical="center" shrinkToFit="1"/>
    </xf>
    <xf numFmtId="0" fontId="61" fillId="50" borderId="54" xfId="56" applyFont="1" applyFill="1" applyBorder="1" applyAlignment="1">
      <alignment horizontal="left" vertical="center"/>
    </xf>
    <xf numFmtId="0" fontId="60" fillId="50" borderId="48" xfId="56" applyFont="1" applyFill="1" applyBorder="1" applyAlignment="1">
      <alignment horizontal="left" vertical="center"/>
    </xf>
    <xf numFmtId="4" fontId="61" fillId="50" borderId="48" xfId="56" applyNumberFormat="1" applyFont="1" applyFill="1" applyBorder="1" applyAlignment="1">
      <alignment horizontal="right" vertical="center"/>
    </xf>
    <xf numFmtId="183" fontId="61" fillId="50" borderId="48" xfId="34" applyNumberFormat="1" applyFont="1" applyFill="1" applyBorder="1" applyAlignment="1">
      <alignment horizontal="right" vertical="center"/>
    </xf>
    <xf numFmtId="1" fontId="13" fillId="53" borderId="11" xfId="0" applyNumberFormat="1" applyFont="1" applyFill="1" applyBorder="1" applyAlignment="1">
      <alignment horizontal="center" vertical="center"/>
    </xf>
    <xf numFmtId="0" fontId="49" fillId="53" borderId="7" xfId="0" applyFont="1" applyFill="1" applyBorder="1" applyAlignment="1">
      <alignment horizontal="center" vertical="center" wrapText="1"/>
    </xf>
    <xf numFmtId="0" fontId="49" fillId="53" borderId="7" xfId="0" applyFont="1" applyFill="1" applyBorder="1" applyAlignment="1">
      <alignment horizontal="center" vertical="center"/>
    </xf>
    <xf numFmtId="173" fontId="49" fillId="53" borderId="7" xfId="33" applyNumberFormat="1" applyFont="1" applyFill="1" applyBorder="1" applyAlignment="1">
      <alignment horizontal="center" vertical="center"/>
    </xf>
    <xf numFmtId="0" fontId="49" fillId="53" borderId="7" xfId="0" applyFont="1" applyFill="1" applyBorder="1" applyAlignment="1">
      <alignment vertical="center" wrapText="1"/>
    </xf>
    <xf numFmtId="174" fontId="49" fillId="53" borderId="7" xfId="49" applyNumberFormat="1" applyFont="1" applyFill="1" applyBorder="1" applyAlignment="1">
      <alignment horizontal="center" vertical="center"/>
    </xf>
    <xf numFmtId="175" fontId="13" fillId="53" borderId="30" xfId="44" applyNumberFormat="1" applyFont="1" applyFill="1" applyBorder="1" applyAlignment="1">
      <alignment horizontal="right" vertical="center"/>
    </xf>
    <xf numFmtId="4" fontId="45" fillId="50" borderId="0" xfId="0" applyNumberFormat="1" applyFont="1" applyFill="1" applyAlignment="1"/>
    <xf numFmtId="167" fontId="61" fillId="0" borderId="7" xfId="33" applyNumberFormat="1" applyFont="1" applyFill="1" applyBorder="1" applyAlignment="1">
      <alignment horizontal="right" vertical="center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164" fontId="15" fillId="0" borderId="53" xfId="45" applyFont="1" applyFill="1" applyBorder="1"/>
    <xf numFmtId="175" fontId="1" fillId="0" borderId="61" xfId="44" applyNumberFormat="1" applyFont="1" applyFill="1" applyBorder="1" applyAlignment="1">
      <alignment horizontal="right" vertical="center"/>
    </xf>
    <xf numFmtId="3" fontId="61" fillId="0" borderId="48" xfId="56" applyNumberFormat="1" applyFont="1" applyFill="1" applyBorder="1" applyAlignment="1">
      <alignment horizontal="right" vertical="center" wrapText="1"/>
    </xf>
    <xf numFmtId="164" fontId="1" fillId="0" borderId="0" xfId="56" applyNumberFormat="1" applyFill="1"/>
    <xf numFmtId="9" fontId="68" fillId="0" borderId="30" xfId="44" applyNumberFormat="1" applyFont="1" applyBorder="1" applyAlignment="1">
      <alignment horizontal="center"/>
    </xf>
    <xf numFmtId="3" fontId="68" fillId="0" borderId="7" xfId="48" applyNumberFormat="1" applyFont="1" applyBorder="1" applyAlignment="1">
      <alignment horizontal="right" vertical="center"/>
    </xf>
    <xf numFmtId="3" fontId="68" fillId="0" borderId="7" xfId="48" applyNumberFormat="1" applyFont="1" applyFill="1" applyBorder="1" applyAlignment="1">
      <alignment horizontal="right" vertical="center"/>
    </xf>
    <xf numFmtId="165" fontId="1" fillId="48" borderId="0" xfId="34" applyFont="1" applyFill="1" applyAlignment="1">
      <alignment horizontal="right" vertical="center"/>
    </xf>
    <xf numFmtId="164" fontId="5" fillId="48" borderId="0" xfId="45" applyFont="1" applyFill="1" applyAlignment="1">
      <alignment horizontal="left" vertical="center"/>
    </xf>
    <xf numFmtId="164" fontId="5" fillId="48" borderId="0" xfId="45" applyFont="1" applyFill="1" applyAlignment="1">
      <alignment horizontal="left"/>
    </xf>
    <xf numFmtId="164" fontId="5" fillId="48" borderId="0" xfId="45" applyFont="1" applyFill="1" applyAlignment="1">
      <alignment vertical="center"/>
    </xf>
    <xf numFmtId="3" fontId="1" fillId="37" borderId="0" xfId="56" applyNumberFormat="1" applyFill="1" applyAlignment="1">
      <alignment vertical="center"/>
    </xf>
    <xf numFmtId="4" fontId="77" fillId="0" borderId="0" xfId="56" applyNumberFormat="1" applyFont="1"/>
    <xf numFmtId="173" fontId="77" fillId="0" borderId="0" xfId="56" applyNumberFormat="1" applyFont="1"/>
    <xf numFmtId="4" fontId="61" fillId="50" borderId="54" xfId="56" applyNumberFormat="1" applyFont="1" applyFill="1" applyBorder="1" applyAlignment="1">
      <alignment horizontal="right" vertical="center"/>
    </xf>
    <xf numFmtId="4" fontId="69" fillId="0" borderId="0" xfId="0" applyNumberFormat="1" applyFont="1" applyFill="1" applyAlignment="1">
      <alignment horizontal="center" vertical="center"/>
    </xf>
    <xf numFmtId="3" fontId="69" fillId="0" borderId="0" xfId="0" applyNumberFormat="1" applyFont="1" applyAlignment="1">
      <alignment vertical="center" wrapText="1"/>
    </xf>
    <xf numFmtId="49" fontId="24" fillId="0" borderId="34" xfId="44" applyNumberFormat="1" applyFont="1" applyFill="1" applyBorder="1" applyAlignment="1">
      <alignment horizontal="justify" vertical="center" wrapText="1"/>
    </xf>
    <xf numFmtId="49" fontId="24" fillId="0" borderId="35" xfId="44" applyNumberFormat="1" applyFont="1" applyFill="1" applyBorder="1" applyAlignment="1">
      <alignment horizontal="justify" vertical="center" wrapText="1"/>
    </xf>
    <xf numFmtId="49" fontId="24" fillId="0" borderId="36" xfId="44" applyNumberFormat="1" applyFont="1" applyFill="1" applyBorder="1" applyAlignment="1">
      <alignment horizontal="justify" vertical="center" wrapText="1"/>
    </xf>
    <xf numFmtId="49" fontId="24" fillId="0" borderId="39" xfId="44" applyNumberFormat="1" applyFont="1" applyFill="1" applyBorder="1" applyAlignment="1">
      <alignment horizontal="justify" vertical="center" wrapText="1"/>
    </xf>
    <xf numFmtId="49" fontId="24" fillId="0" borderId="0" xfId="44" applyNumberFormat="1" applyFont="1" applyFill="1" applyBorder="1" applyAlignment="1">
      <alignment horizontal="justify" vertical="center" wrapText="1"/>
    </xf>
    <xf numFmtId="49" fontId="24" fillId="0" borderId="37" xfId="44" applyNumberFormat="1" applyFont="1" applyFill="1" applyBorder="1" applyAlignment="1">
      <alignment horizontal="justify" vertical="center" wrapText="1"/>
    </xf>
    <xf numFmtId="49" fontId="24" fillId="0" borderId="40" xfId="44" applyNumberFormat="1" applyFont="1" applyFill="1" applyBorder="1" applyAlignment="1">
      <alignment horizontal="justify" vertical="center" wrapText="1"/>
    </xf>
    <xf numFmtId="49" fontId="24" fillId="0" borderId="54" xfId="44" applyNumberFormat="1" applyFont="1" applyFill="1" applyBorder="1" applyAlignment="1">
      <alignment horizontal="justify" vertical="center" wrapText="1"/>
    </xf>
    <xf numFmtId="49" fontId="24" fillId="0" borderId="38" xfId="44" applyNumberFormat="1" applyFont="1" applyFill="1" applyBorder="1" applyAlignment="1">
      <alignment horizontal="justify" vertical="center" wrapText="1"/>
    </xf>
    <xf numFmtId="3" fontId="3" fillId="0" borderId="0" xfId="0" applyNumberFormat="1" applyFont="1" applyAlignment="1">
      <alignment horizontal="left" vertical="top" wrapText="1"/>
    </xf>
    <xf numFmtId="3" fontId="3" fillId="0" borderId="0" xfId="0" applyNumberFormat="1" applyFont="1" applyAlignment="1">
      <alignment horizontal="left" vertical="center" wrapText="1"/>
    </xf>
    <xf numFmtId="0" fontId="2" fillId="0" borderId="4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2" fillId="0" borderId="27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1" fontId="2" fillId="0" borderId="11" xfId="0" applyNumberFormat="1" applyFont="1" applyBorder="1" applyAlignment="1">
      <alignment horizontal="center" wrapText="1"/>
    </xf>
    <xf numFmtId="1" fontId="2" fillId="0" borderId="7" xfId="0" applyNumberFormat="1" applyFont="1" applyBorder="1" applyAlignment="1">
      <alignment horizontal="center" wrapText="1"/>
    </xf>
    <xf numFmtId="0" fontId="2" fillId="40" borderId="9" xfId="0" applyFont="1" applyFill="1" applyBorder="1" applyAlignment="1">
      <alignment horizontal="center" vertical="center" wrapText="1"/>
    </xf>
    <xf numFmtId="0" fontId="2" fillId="40" borderId="53" xfId="0" applyFont="1" applyFill="1" applyBorder="1" applyAlignment="1">
      <alignment horizontal="center" vertical="center" wrapText="1"/>
    </xf>
    <xf numFmtId="0" fontId="51" fillId="0" borderId="59" xfId="0" applyFont="1" applyFill="1" applyBorder="1" applyAlignment="1">
      <alignment horizontal="center" vertical="center" wrapText="1"/>
    </xf>
    <xf numFmtId="0" fontId="51" fillId="0" borderId="60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5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1" fontId="2" fillId="0" borderId="28" xfId="0" applyNumberFormat="1" applyFont="1" applyBorder="1" applyAlignment="1">
      <alignment horizontal="center" wrapText="1"/>
    </xf>
    <xf numFmtId="1" fontId="2" fillId="0" borderId="18" xfId="0" applyNumberFormat="1" applyFont="1" applyBorder="1" applyAlignment="1">
      <alignment horizont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" fontId="2" fillId="0" borderId="8" xfId="0" applyNumberFormat="1" applyFont="1" applyBorder="1" applyAlignment="1">
      <alignment horizontal="center" wrapText="1"/>
    </xf>
    <xf numFmtId="1" fontId="2" fillId="0" borderId="9" xfId="0" applyNumberFormat="1" applyFont="1" applyBorder="1" applyAlignment="1">
      <alignment horizontal="center" wrapText="1"/>
    </xf>
    <xf numFmtId="175" fontId="49" fillId="0" borderId="7" xfId="44" applyNumberFormat="1" applyFont="1" applyFill="1" applyBorder="1" applyAlignment="1">
      <alignment horizontal="center"/>
    </xf>
    <xf numFmtId="0" fontId="2" fillId="40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40" borderId="14" xfId="0" applyFont="1" applyFill="1" applyBorder="1" applyAlignment="1">
      <alignment horizontal="center" vertical="center"/>
    </xf>
    <xf numFmtId="0" fontId="2" fillId="40" borderId="15" xfId="0" applyFont="1" applyFill="1" applyBorder="1" applyAlignment="1">
      <alignment horizontal="center" vertical="center"/>
    </xf>
    <xf numFmtId="0" fontId="2" fillId="40" borderId="33" xfId="0" applyFont="1" applyFill="1" applyBorder="1" applyAlignment="1">
      <alignment horizontal="center" vertical="center"/>
    </xf>
    <xf numFmtId="0" fontId="2" fillId="40" borderId="24" xfId="0" applyFont="1" applyFill="1" applyBorder="1" applyAlignment="1">
      <alignment horizontal="center" vertical="center"/>
    </xf>
    <xf numFmtId="0" fontId="2" fillId="40" borderId="44" xfId="0" applyFont="1" applyFill="1" applyBorder="1" applyAlignment="1">
      <alignment horizontal="center" vertical="center"/>
    </xf>
    <xf numFmtId="4" fontId="3" fillId="0" borderId="2" xfId="0" applyNumberFormat="1" applyFont="1" applyBorder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4" fontId="3" fillId="0" borderId="33" xfId="0" applyNumberFormat="1" applyFont="1" applyBorder="1" applyAlignment="1">
      <alignment horizontal="left" vertical="center" wrapText="1"/>
    </xf>
    <xf numFmtId="4" fontId="3" fillId="0" borderId="24" xfId="0" applyNumberFormat="1" applyFont="1" applyBorder="1" applyAlignment="1">
      <alignment horizontal="left" vertical="center" wrapText="1"/>
    </xf>
    <xf numFmtId="1" fontId="49" fillId="0" borderId="7" xfId="0" applyNumberFormat="1" applyFont="1" applyBorder="1" applyAlignment="1">
      <alignment horizontal="left" vertical="center" wrapText="1"/>
    </xf>
    <xf numFmtId="3" fontId="2" fillId="40" borderId="10" xfId="0" applyNumberFormat="1" applyFont="1" applyFill="1" applyBorder="1" applyAlignment="1">
      <alignment horizontal="center" vertical="center" wrapText="1"/>
    </xf>
    <xf numFmtId="3" fontId="2" fillId="40" borderId="19" xfId="0" applyNumberFormat="1" applyFont="1" applyFill="1" applyBorder="1" applyAlignment="1">
      <alignment horizontal="center" vertical="center" wrapText="1"/>
    </xf>
    <xf numFmtId="0" fontId="2" fillId="40" borderId="45" xfId="0" applyFont="1" applyFill="1" applyBorder="1" applyAlignment="1">
      <alignment horizontal="center" vertical="center"/>
    </xf>
    <xf numFmtId="0" fontId="2" fillId="40" borderId="6" xfId="0" applyFont="1" applyFill="1" applyBorder="1" applyAlignment="1">
      <alignment horizontal="center" vertical="center"/>
    </xf>
    <xf numFmtId="0" fontId="2" fillId="40" borderId="12" xfId="0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3" fontId="2" fillId="40" borderId="61" xfId="0" applyNumberFormat="1" applyFont="1" applyFill="1" applyBorder="1" applyAlignment="1">
      <alignment horizontal="center" vertical="center" wrapText="1"/>
    </xf>
    <xf numFmtId="175" fontId="2" fillId="40" borderId="9" xfId="44" applyNumberFormat="1" applyFont="1" applyFill="1" applyBorder="1" applyAlignment="1">
      <alignment horizontal="center" vertical="center" wrapText="1"/>
    </xf>
    <xf numFmtId="175" fontId="2" fillId="40" borderId="53" xfId="44" applyNumberFormat="1" applyFont="1" applyFill="1" applyBorder="1" applyAlignment="1">
      <alignment horizontal="center" vertical="center" wrapText="1"/>
    </xf>
    <xf numFmtId="175" fontId="68" fillId="0" borderId="7" xfId="44" applyNumberFormat="1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4" fontId="2" fillId="40" borderId="9" xfId="0" applyNumberFormat="1" applyFont="1" applyFill="1" applyBorder="1" applyAlignment="1">
      <alignment horizontal="center" vertical="center" wrapText="1"/>
    </xf>
    <xf numFmtId="4" fontId="2" fillId="40" borderId="53" xfId="0" applyNumberFormat="1" applyFont="1" applyFill="1" applyBorder="1" applyAlignment="1">
      <alignment horizontal="center" vertical="center" wrapText="1"/>
    </xf>
    <xf numFmtId="1" fontId="3" fillId="0" borderId="62" xfId="0" applyNumberFormat="1" applyFont="1" applyBorder="1" applyAlignment="1">
      <alignment horizontal="center" vertical="center" wrapText="1"/>
    </xf>
    <xf numFmtId="1" fontId="3" fillId="0" borderId="63" xfId="0" applyNumberFormat="1" applyFont="1" applyBorder="1" applyAlignment="1">
      <alignment horizontal="center" vertical="center" wrapText="1"/>
    </xf>
    <xf numFmtId="0" fontId="2" fillId="40" borderId="8" xfId="0" applyFont="1" applyFill="1" applyBorder="1" applyAlignment="1">
      <alignment horizontal="center" vertical="center" wrapText="1"/>
    </xf>
    <xf numFmtId="0" fontId="2" fillId="40" borderId="28" xfId="0" applyFont="1" applyFill="1" applyBorder="1" applyAlignment="1">
      <alignment horizontal="center" vertical="center" wrapText="1"/>
    </xf>
    <xf numFmtId="1" fontId="2" fillId="40" borderId="64" xfId="0" applyNumberFormat="1" applyFont="1" applyFill="1" applyBorder="1" applyAlignment="1">
      <alignment horizontal="center" vertical="center" wrapText="1"/>
    </xf>
    <xf numFmtId="1" fontId="2" fillId="40" borderId="65" xfId="0" applyNumberFormat="1" applyFont="1" applyFill="1" applyBorder="1" applyAlignment="1">
      <alignment horizontal="center" vertical="center" wrapText="1"/>
    </xf>
    <xf numFmtId="1" fontId="2" fillId="40" borderId="39" xfId="0" applyNumberFormat="1" applyFont="1" applyFill="1" applyBorder="1" applyAlignment="1">
      <alignment horizontal="center" vertical="center" wrapText="1"/>
    </xf>
    <xf numFmtId="1" fontId="2" fillId="40" borderId="37" xfId="0" applyNumberFormat="1" applyFont="1" applyFill="1" applyBorder="1" applyAlignment="1">
      <alignment horizontal="center" vertical="center" wrapText="1"/>
    </xf>
    <xf numFmtId="3" fontId="2" fillId="40" borderId="9" xfId="0" applyNumberFormat="1" applyFont="1" applyFill="1" applyBorder="1" applyAlignment="1">
      <alignment horizontal="center" vertical="center" wrapText="1"/>
    </xf>
    <xf numFmtId="3" fontId="2" fillId="40" borderId="53" xfId="0" applyNumberFormat="1" applyFont="1" applyFill="1" applyBorder="1" applyAlignment="1">
      <alignment horizontal="center" vertical="center" wrapText="1"/>
    </xf>
    <xf numFmtId="175" fontId="2" fillId="40" borderId="18" xfId="44" applyNumberFormat="1" applyFont="1" applyFill="1" applyBorder="1" applyAlignment="1">
      <alignment horizontal="center" vertical="center" wrapText="1"/>
    </xf>
    <xf numFmtId="1" fontId="49" fillId="0" borderId="48" xfId="0" applyNumberFormat="1" applyFont="1" applyBorder="1" applyAlignment="1">
      <alignment horizontal="left" vertical="center" wrapText="1"/>
    </xf>
    <xf numFmtId="3" fontId="2" fillId="40" borderId="18" xfId="0" applyNumberFormat="1" applyFont="1" applyFill="1" applyBorder="1" applyAlignment="1">
      <alignment horizontal="center" vertical="center" wrapText="1"/>
    </xf>
    <xf numFmtId="4" fontId="2" fillId="40" borderId="18" xfId="0" applyNumberFormat="1" applyFont="1" applyFill="1" applyBorder="1" applyAlignment="1">
      <alignment horizontal="center" vertical="center" wrapText="1"/>
    </xf>
    <xf numFmtId="175" fontId="14" fillId="0" borderId="18" xfId="44" applyNumberFormat="1" applyFont="1" applyFill="1" applyBorder="1" applyAlignment="1">
      <alignment horizontal="center" vertical="center"/>
    </xf>
    <xf numFmtId="175" fontId="49" fillId="0" borderId="48" xfId="44" applyNumberFormat="1" applyFont="1" applyFill="1" applyBorder="1" applyAlignment="1">
      <alignment horizontal="center"/>
    </xf>
    <xf numFmtId="1" fontId="2" fillId="40" borderId="66" xfId="0" applyNumberFormat="1" applyFont="1" applyFill="1" applyBorder="1" applyAlignment="1">
      <alignment horizontal="center" vertical="center" wrapText="1"/>
    </xf>
    <xf numFmtId="1" fontId="2" fillId="40" borderId="67" xfId="0" applyNumberFormat="1" applyFont="1" applyFill="1" applyBorder="1" applyAlignment="1">
      <alignment horizontal="center" vertical="center" wrapText="1"/>
    </xf>
    <xf numFmtId="40" fontId="14" fillId="0" borderId="28" xfId="0" applyNumberFormat="1" applyFont="1" applyBorder="1" applyAlignment="1">
      <alignment horizontal="center"/>
    </xf>
    <xf numFmtId="40" fontId="14" fillId="0" borderId="18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2" fillId="40" borderId="14" xfId="0" applyNumberFormat="1" applyFont="1" applyFill="1" applyBorder="1" applyAlignment="1">
      <alignment horizontal="left" vertical="center"/>
    </xf>
    <xf numFmtId="4" fontId="2" fillId="40" borderId="15" xfId="0" applyNumberFormat="1" applyFont="1" applyFill="1" applyBorder="1" applyAlignment="1">
      <alignment horizontal="left" vertical="center"/>
    </xf>
    <xf numFmtId="0" fontId="2" fillId="40" borderId="52" xfId="0" applyFont="1" applyFill="1" applyBorder="1" applyAlignment="1">
      <alignment horizontal="center" vertical="center" wrapText="1"/>
    </xf>
    <xf numFmtId="0" fontId="14" fillId="44" borderId="45" xfId="0" applyFont="1" applyFill="1" applyBorder="1" applyAlignment="1">
      <alignment horizontal="left" vertical="center" wrapText="1"/>
    </xf>
    <xf numFmtId="0" fontId="14" fillId="44" borderId="6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4" fillId="44" borderId="25" xfId="0" applyFont="1" applyFill="1" applyBorder="1" applyAlignment="1">
      <alignment horizontal="center" vertical="center" wrapText="1"/>
    </xf>
    <xf numFmtId="0" fontId="14" fillId="44" borderId="27" xfId="0" applyFont="1" applyFill="1" applyBorder="1" applyAlignment="1">
      <alignment horizontal="center" vertical="center" wrapText="1"/>
    </xf>
    <xf numFmtId="0" fontId="14" fillId="44" borderId="26" xfId="0" applyFont="1" applyFill="1" applyBorder="1" applyAlignment="1">
      <alignment horizontal="center" vertical="center" wrapText="1"/>
    </xf>
    <xf numFmtId="0" fontId="14" fillId="44" borderId="29" xfId="0" applyFont="1" applyFill="1" applyBorder="1" applyAlignment="1">
      <alignment horizontal="center" vertical="center" wrapText="1"/>
    </xf>
    <xf numFmtId="0" fontId="14" fillId="44" borderId="8" xfId="0" applyFont="1" applyFill="1" applyBorder="1" applyAlignment="1">
      <alignment horizontal="center" vertical="center" wrapText="1"/>
    </xf>
    <xf numFmtId="0" fontId="14" fillId="44" borderId="11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0" fontId="14" fillId="44" borderId="68" xfId="0" applyNumberFormat="1" applyFont="1" applyFill="1" applyBorder="1" applyAlignment="1">
      <alignment horizontal="center" vertical="center"/>
    </xf>
    <xf numFmtId="40" fontId="14" fillId="44" borderId="69" xfId="0" applyNumberFormat="1" applyFont="1" applyFill="1" applyBorder="1" applyAlignment="1">
      <alignment horizontal="center" vertical="center"/>
    </xf>
    <xf numFmtId="40" fontId="14" fillId="44" borderId="70" xfId="0" applyNumberFormat="1" applyFont="1" applyFill="1" applyBorder="1" applyAlignment="1">
      <alignment horizontal="center" vertical="center"/>
    </xf>
    <xf numFmtId="0" fontId="14" fillId="44" borderId="4" xfId="0" applyFont="1" applyFill="1" applyBorder="1" applyAlignment="1">
      <alignment horizontal="left" vertical="center" wrapText="1"/>
    </xf>
    <xf numFmtId="0" fontId="14" fillId="44" borderId="5" xfId="0" applyFont="1" applyFill="1" applyBorder="1" applyAlignment="1">
      <alignment horizontal="left" vertical="center" wrapText="1"/>
    </xf>
    <xf numFmtId="0" fontId="14" fillId="44" borderId="50" xfId="0" applyFont="1" applyFill="1" applyBorder="1" applyAlignment="1">
      <alignment horizontal="left" vertical="center" wrapText="1"/>
    </xf>
    <xf numFmtId="4" fontId="14" fillId="0" borderId="0" xfId="0" applyNumberFormat="1" applyFont="1" applyAlignment="1">
      <alignment horizontal="center" vertical="center"/>
    </xf>
    <xf numFmtId="0" fontId="14" fillId="40" borderId="62" xfId="0" applyFont="1" applyFill="1" applyBorder="1" applyAlignment="1">
      <alignment horizontal="center" vertical="center" wrapText="1"/>
    </xf>
    <xf numFmtId="0" fontId="14" fillId="40" borderId="69" xfId="0" applyFont="1" applyFill="1" applyBorder="1" applyAlignment="1">
      <alignment horizontal="center" vertical="center" wrapText="1"/>
    </xf>
    <xf numFmtId="0" fontId="14" fillId="40" borderId="70" xfId="0" applyFont="1" applyFill="1" applyBorder="1" applyAlignment="1">
      <alignment horizontal="center" vertical="center" wrapText="1"/>
    </xf>
    <xf numFmtId="40" fontId="14" fillId="44" borderId="9" xfId="0" applyNumberFormat="1" applyFont="1" applyFill="1" applyBorder="1" applyAlignment="1">
      <alignment horizontal="center" vertical="center"/>
    </xf>
    <xf numFmtId="40" fontId="14" fillId="40" borderId="9" xfId="0" applyNumberFormat="1" applyFont="1" applyFill="1" applyBorder="1" applyAlignment="1">
      <alignment horizontal="center" vertical="center"/>
    </xf>
    <xf numFmtId="40" fontId="14" fillId="40" borderId="10" xfId="0" applyNumberFormat="1" applyFont="1" applyFill="1" applyBorder="1" applyAlignment="1">
      <alignment horizontal="center" vertical="center"/>
    </xf>
    <xf numFmtId="40" fontId="14" fillId="40" borderId="68" xfId="0" applyNumberFormat="1" applyFont="1" applyFill="1" applyBorder="1" applyAlignment="1">
      <alignment horizontal="center" vertical="center"/>
    </xf>
    <xf numFmtId="40" fontId="14" fillId="40" borderId="69" xfId="0" applyNumberFormat="1" applyFont="1" applyFill="1" applyBorder="1" applyAlignment="1">
      <alignment horizontal="center" vertical="center"/>
    </xf>
    <xf numFmtId="40" fontId="14" fillId="40" borderId="70" xfId="0" applyNumberFormat="1" applyFont="1" applyFill="1" applyBorder="1" applyAlignment="1">
      <alignment horizontal="center" vertical="center"/>
    </xf>
    <xf numFmtId="0" fontId="45" fillId="36" borderId="7" xfId="56" applyFont="1" applyFill="1" applyBorder="1" applyAlignment="1">
      <alignment horizontal="center" vertical="center" wrapText="1"/>
    </xf>
    <xf numFmtId="0" fontId="1" fillId="0" borderId="0" xfId="56" applyAlignment="1">
      <alignment horizontal="left" vertical="center" wrapText="1"/>
    </xf>
    <xf numFmtId="0" fontId="45" fillId="37" borderId="59" xfId="56" applyFont="1" applyFill="1" applyBorder="1" applyAlignment="1">
      <alignment horizontal="center" vertical="center" wrapText="1"/>
    </xf>
    <xf numFmtId="0" fontId="45" fillId="37" borderId="41" xfId="56" applyFont="1" applyFill="1" applyBorder="1" applyAlignment="1">
      <alignment horizontal="center" vertical="center" wrapText="1"/>
    </xf>
    <xf numFmtId="3" fontId="45" fillId="36" borderId="34" xfId="56" applyNumberFormat="1" applyFont="1" applyFill="1" applyBorder="1" applyAlignment="1">
      <alignment horizontal="center" vertical="center" wrapText="1"/>
    </xf>
    <xf numFmtId="3" fontId="45" fillId="36" borderId="40" xfId="56" applyNumberFormat="1" applyFont="1" applyFill="1" applyBorder="1" applyAlignment="1">
      <alignment horizontal="center" vertical="center" wrapText="1"/>
    </xf>
    <xf numFmtId="0" fontId="4" fillId="40" borderId="0" xfId="56" applyFont="1" applyFill="1" applyAlignment="1">
      <alignment horizontal="left" vertical="center"/>
    </xf>
    <xf numFmtId="9" fontId="64" fillId="0" borderId="0" xfId="60" applyFont="1" applyFill="1" applyBorder="1" applyAlignment="1">
      <alignment horizontal="center" vertical="center" wrapText="1"/>
    </xf>
    <xf numFmtId="3" fontId="64" fillId="45" borderId="7" xfId="0" applyNumberFormat="1" applyFont="1" applyFill="1" applyBorder="1" applyAlignment="1">
      <alignment horizontal="center" vertical="center" wrapText="1"/>
    </xf>
    <xf numFmtId="3" fontId="64" fillId="45" borderId="18" xfId="0" applyNumberFormat="1" applyFont="1" applyFill="1" applyBorder="1" applyAlignment="1">
      <alignment horizontal="center" vertical="center" wrapText="1"/>
    </xf>
    <xf numFmtId="9" fontId="64" fillId="49" borderId="62" xfId="60" applyFont="1" applyFill="1" applyBorder="1" applyAlignment="1">
      <alignment horizontal="center" vertical="center" wrapText="1"/>
    </xf>
    <xf numFmtId="9" fontId="64" fillId="49" borderId="49" xfId="60" applyFont="1" applyFill="1" applyBorder="1" applyAlignment="1">
      <alignment horizontal="center" vertical="center" wrapText="1"/>
    </xf>
    <xf numFmtId="3" fontId="64" fillId="0" borderId="0" xfId="0" applyNumberFormat="1" applyFont="1" applyFill="1" applyBorder="1" applyAlignment="1">
      <alignment horizontal="center" vertical="center" wrapText="1"/>
    </xf>
    <xf numFmtId="9" fontId="50" fillId="38" borderId="0" xfId="60" applyFont="1" applyFill="1" applyBorder="1" applyAlignment="1">
      <alignment horizontal="center" vertical="center" wrapText="1"/>
    </xf>
    <xf numFmtId="3" fontId="50" fillId="53" borderId="0" xfId="56" applyNumberFormat="1" applyFont="1" applyFill="1" applyAlignment="1">
      <alignment horizontal="center"/>
    </xf>
    <xf numFmtId="9" fontId="64" fillId="49" borderId="33" xfId="60" applyFont="1" applyFill="1" applyBorder="1" applyAlignment="1">
      <alignment horizontal="center" vertical="center" wrapText="1"/>
    </xf>
    <xf numFmtId="9" fontId="64" fillId="49" borderId="44" xfId="60" applyFont="1" applyFill="1" applyBorder="1" applyAlignment="1">
      <alignment horizontal="center" vertical="center" wrapText="1"/>
    </xf>
    <xf numFmtId="9" fontId="64" fillId="49" borderId="45" xfId="60" applyFont="1" applyFill="1" applyBorder="1" applyAlignment="1">
      <alignment horizontal="center" vertical="center" wrapText="1"/>
    </xf>
    <xf numFmtId="9" fontId="64" fillId="49" borderId="12" xfId="60" applyFont="1" applyFill="1" applyBorder="1" applyAlignment="1">
      <alignment horizontal="center" vertical="center" wrapText="1"/>
    </xf>
    <xf numFmtId="3" fontId="64" fillId="49" borderId="9" xfId="0" applyNumberFormat="1" applyFont="1" applyFill="1" applyBorder="1" applyAlignment="1">
      <alignment horizontal="center" vertical="center" wrapText="1"/>
    </xf>
    <xf numFmtId="3" fontId="64" fillId="49" borderId="18" xfId="0" applyNumberFormat="1" applyFont="1" applyFill="1" applyBorder="1" applyAlignment="1">
      <alignment horizontal="center" vertical="center" wrapText="1"/>
    </xf>
    <xf numFmtId="173" fontId="47" fillId="0" borderId="24" xfId="33" applyNumberFormat="1" applyFont="1" applyBorder="1" applyAlignment="1">
      <alignment horizontal="center" vertical="center"/>
    </xf>
    <xf numFmtId="9" fontId="64" fillId="49" borderId="9" xfId="60" applyFont="1" applyFill="1" applyBorder="1" applyAlignment="1">
      <alignment horizontal="center" vertical="center" wrapText="1"/>
    </xf>
    <xf numFmtId="9" fontId="64" fillId="49" borderId="18" xfId="60" applyFont="1" applyFill="1" applyBorder="1" applyAlignment="1">
      <alignment horizontal="center" vertical="center" wrapText="1"/>
    </xf>
    <xf numFmtId="9" fontId="64" fillId="45" borderId="7" xfId="60" applyFont="1" applyFill="1" applyBorder="1" applyAlignment="1">
      <alignment horizontal="center" vertical="center" wrapText="1"/>
    </xf>
    <xf numFmtId="9" fontId="64" fillId="45" borderId="18" xfId="60" applyFont="1" applyFill="1" applyBorder="1" applyAlignment="1">
      <alignment horizontal="center" vertical="center" wrapText="1"/>
    </xf>
    <xf numFmtId="0" fontId="2" fillId="0" borderId="0" xfId="56" applyFont="1" applyAlignment="1">
      <alignment horizontal="center" vertical="center" wrapText="1"/>
    </xf>
    <xf numFmtId="3" fontId="64" fillId="49" borderId="8" xfId="0" applyNumberFormat="1" applyFont="1" applyFill="1" applyBorder="1" applyAlignment="1">
      <alignment horizontal="center" vertical="center" wrapText="1"/>
    </xf>
    <xf numFmtId="3" fontId="64" fillId="49" borderId="28" xfId="0" applyNumberFormat="1" applyFont="1" applyFill="1" applyBorder="1" applyAlignment="1">
      <alignment horizontal="center" vertical="center" wrapText="1"/>
    </xf>
    <xf numFmtId="166" fontId="3" fillId="0" borderId="0" xfId="44" applyFont="1" applyAlignment="1">
      <alignment horizontal="left" vertical="center" wrapText="1"/>
    </xf>
    <xf numFmtId="1" fontId="2" fillId="0" borderId="24" xfId="0" applyNumberFormat="1" applyFont="1" applyBorder="1" applyAlignment="1">
      <alignment horizontal="left" wrapText="1"/>
    </xf>
    <xf numFmtId="166" fontId="65" fillId="0" borderId="7" xfId="44" applyFont="1" applyFill="1" applyBorder="1" applyAlignment="1">
      <alignment horizontal="center" vertical="center"/>
    </xf>
    <xf numFmtId="0" fontId="7" fillId="0" borderId="0" xfId="56" applyFont="1" applyAlignment="1">
      <alignment horizontal="center" vertical="top" wrapText="1"/>
    </xf>
    <xf numFmtId="0" fontId="60" fillId="0" borderId="0" xfId="56" applyFont="1" applyAlignment="1">
      <alignment horizontal="center" vertical="top" wrapText="1"/>
    </xf>
    <xf numFmtId="0" fontId="65" fillId="47" borderId="84" xfId="56" applyFont="1" applyFill="1" applyBorder="1" applyAlignment="1">
      <alignment horizontal="center" vertical="top" wrapText="1"/>
    </xf>
    <xf numFmtId="0" fontId="65" fillId="47" borderId="85" xfId="56" applyFont="1" applyFill="1" applyBorder="1" applyAlignment="1">
      <alignment horizontal="center" vertical="top" wrapText="1"/>
    </xf>
    <xf numFmtId="0" fontId="65" fillId="0" borderId="86" xfId="56" applyFont="1" applyFill="1" applyBorder="1" applyAlignment="1">
      <alignment horizontal="center" vertical="center" wrapText="1"/>
    </xf>
    <xf numFmtId="0" fontId="65" fillId="0" borderId="87" xfId="56" applyFont="1" applyFill="1" applyBorder="1" applyAlignment="1">
      <alignment horizontal="center" vertical="center" wrapText="1"/>
    </xf>
    <xf numFmtId="0" fontId="65" fillId="0" borderId="88" xfId="56" applyFont="1" applyFill="1" applyBorder="1" applyAlignment="1">
      <alignment horizontal="center" vertical="center" wrapText="1"/>
    </xf>
    <xf numFmtId="0" fontId="65" fillId="0" borderId="89" xfId="56" applyFont="1" applyFill="1" applyBorder="1" applyAlignment="1">
      <alignment horizontal="center" vertical="center" wrapText="1"/>
    </xf>
    <xf numFmtId="0" fontId="65" fillId="0" borderId="90" xfId="56" applyFont="1" applyFill="1" applyBorder="1" applyAlignment="1">
      <alignment horizontal="center" vertical="center" wrapText="1"/>
    </xf>
    <xf numFmtId="0" fontId="61" fillId="0" borderId="7" xfId="56" applyFont="1" applyFill="1" applyBorder="1" applyAlignment="1">
      <alignment horizontal="left" vertical="center" wrapText="1"/>
    </xf>
    <xf numFmtId="0" fontId="61" fillId="0" borderId="7" xfId="56" applyFont="1" applyBorder="1" applyAlignment="1">
      <alignment horizontal="left" vertical="center" wrapText="1"/>
    </xf>
    <xf numFmtId="0" fontId="61" fillId="0" borderId="59" xfId="56" applyFont="1" applyBorder="1" applyAlignment="1">
      <alignment horizontal="left" vertical="center" wrapText="1"/>
    </xf>
    <xf numFmtId="0" fontId="61" fillId="0" borderId="60" xfId="56" applyFont="1" applyBorder="1" applyAlignment="1">
      <alignment horizontal="left" vertical="center" wrapText="1"/>
    </xf>
    <xf numFmtId="0" fontId="61" fillId="50" borderId="7" xfId="56" applyFont="1" applyFill="1" applyBorder="1" applyAlignment="1">
      <alignment horizontal="left" vertical="center"/>
    </xf>
    <xf numFmtId="0" fontId="61" fillId="50" borderId="59" xfId="56" applyFont="1" applyFill="1" applyBorder="1" applyAlignment="1">
      <alignment horizontal="left" vertical="center"/>
    </xf>
    <xf numFmtId="0" fontId="61" fillId="50" borderId="60" xfId="56" applyFont="1" applyFill="1" applyBorder="1" applyAlignment="1">
      <alignment horizontal="left" vertical="center"/>
    </xf>
    <xf numFmtId="166" fontId="65" fillId="50" borderId="7" xfId="44" applyFont="1" applyFill="1" applyBorder="1" applyAlignment="1">
      <alignment horizontal="center" vertical="center"/>
    </xf>
    <xf numFmtId="0" fontId="7" fillId="50" borderId="0" xfId="56" applyFont="1" applyFill="1" applyAlignment="1">
      <alignment horizontal="center" vertical="top" wrapText="1"/>
    </xf>
    <xf numFmtId="0" fontId="60" fillId="50" borderId="0" xfId="56" applyFont="1" applyFill="1" applyAlignment="1">
      <alignment horizontal="center" vertical="top" wrapText="1"/>
    </xf>
    <xf numFmtId="0" fontId="65" fillId="50" borderId="84" xfId="56" applyFont="1" applyFill="1" applyBorder="1" applyAlignment="1">
      <alignment horizontal="center" vertical="top"/>
    </xf>
    <xf numFmtId="0" fontId="65" fillId="50" borderId="85" xfId="56" applyFont="1" applyFill="1" applyBorder="1" applyAlignment="1">
      <alignment horizontal="center" vertical="top"/>
    </xf>
    <xf numFmtId="0" fontId="65" fillId="50" borderId="86" xfId="56" applyFont="1" applyFill="1" applyBorder="1" applyAlignment="1">
      <alignment horizontal="center" vertical="center"/>
    </xf>
    <xf numFmtId="0" fontId="65" fillId="50" borderId="87" xfId="56" applyFont="1" applyFill="1" applyBorder="1" applyAlignment="1">
      <alignment horizontal="center" vertical="center"/>
    </xf>
    <xf numFmtId="0" fontId="65" fillId="50" borderId="88" xfId="56" applyFont="1" applyFill="1" applyBorder="1" applyAlignment="1">
      <alignment horizontal="center" vertical="center"/>
    </xf>
    <xf numFmtId="0" fontId="65" fillId="50" borderId="89" xfId="56" applyFont="1" applyFill="1" applyBorder="1" applyAlignment="1">
      <alignment horizontal="center" vertical="center"/>
    </xf>
    <xf numFmtId="0" fontId="65" fillId="50" borderId="90" xfId="56" applyFont="1" applyFill="1" applyBorder="1" applyAlignment="1">
      <alignment horizontal="center" vertical="center"/>
    </xf>
    <xf numFmtId="3" fontId="47" fillId="50" borderId="0" xfId="0" applyNumberFormat="1" applyFont="1" applyFill="1" applyAlignment="1">
      <alignment horizontal="left" vertical="center" wrapText="1"/>
    </xf>
    <xf numFmtId="1" fontId="46" fillId="50" borderId="24" xfId="0" applyNumberFormat="1" applyFont="1" applyFill="1" applyBorder="1" applyAlignment="1">
      <alignment horizontal="left" wrapText="1"/>
    </xf>
    <xf numFmtId="0" fontId="46" fillId="50" borderId="0" xfId="56" applyFont="1" applyFill="1" applyAlignment="1">
      <alignment horizontal="center" vertical="center" wrapText="1"/>
    </xf>
    <xf numFmtId="0" fontId="46" fillId="50" borderId="14" xfId="56" applyFont="1" applyFill="1" applyBorder="1" applyAlignment="1">
      <alignment horizontal="center" vertical="center"/>
    </xf>
    <xf numFmtId="0" fontId="46" fillId="50" borderId="15" xfId="56" applyFont="1" applyFill="1" applyBorder="1" applyAlignment="1">
      <alignment horizontal="center" vertical="center"/>
    </xf>
    <xf numFmtId="4" fontId="46" fillId="50" borderId="2" xfId="56" applyNumberFormat="1" applyFont="1" applyFill="1" applyBorder="1" applyAlignment="1">
      <alignment horizontal="left" vertical="center" wrapText="1"/>
    </xf>
    <xf numFmtId="4" fontId="46" fillId="50" borderId="0" xfId="56" applyNumberFormat="1" applyFont="1" applyFill="1" applyAlignment="1">
      <alignment horizontal="left" vertical="center" wrapText="1"/>
    </xf>
    <xf numFmtId="0" fontId="5" fillId="0" borderId="0" xfId="56" applyFont="1" applyAlignment="1">
      <alignment horizontal="center"/>
    </xf>
    <xf numFmtId="0" fontId="5" fillId="0" borderId="0" xfId="56" applyFont="1" applyAlignment="1">
      <alignment horizontal="center" vertical="center"/>
    </xf>
    <xf numFmtId="172" fontId="1" fillId="0" borderId="0" xfId="56" applyNumberFormat="1" applyFont="1" applyAlignment="1">
      <alignment horizontal="center" vertical="center" wrapText="1"/>
    </xf>
    <xf numFmtId="4" fontId="47" fillId="0" borderId="2" xfId="56" applyNumberFormat="1" applyFont="1" applyBorder="1" applyAlignment="1">
      <alignment horizontal="left" vertical="center"/>
    </xf>
    <xf numFmtId="4" fontId="47" fillId="0" borderId="0" xfId="56" applyNumberFormat="1" applyFont="1" applyBorder="1" applyAlignment="1">
      <alignment horizontal="left" vertical="center"/>
    </xf>
    <xf numFmtId="4" fontId="47" fillId="0" borderId="2" xfId="56" applyNumberFormat="1" applyFont="1" applyBorder="1" applyAlignment="1">
      <alignment horizontal="left" vertical="center" wrapText="1"/>
    </xf>
    <xf numFmtId="4" fontId="47" fillId="0" borderId="0" xfId="56" applyNumberFormat="1" applyFont="1" applyBorder="1" applyAlignment="1">
      <alignment horizontal="left" vertical="center" wrapText="1"/>
    </xf>
    <xf numFmtId="4" fontId="46" fillId="0" borderId="2" xfId="56" applyNumberFormat="1" applyFont="1" applyBorder="1" applyAlignment="1">
      <alignment horizontal="left" vertical="center" wrapText="1"/>
    </xf>
    <xf numFmtId="4" fontId="46" fillId="0" borderId="0" xfId="56" applyNumberFormat="1" applyFont="1" applyBorder="1" applyAlignment="1">
      <alignment horizontal="left" vertical="center" wrapText="1"/>
    </xf>
    <xf numFmtId="0" fontId="46" fillId="0" borderId="0" xfId="56" applyFont="1" applyAlignment="1">
      <alignment horizontal="center" vertical="center" wrapText="1"/>
    </xf>
    <xf numFmtId="0" fontId="46" fillId="0" borderId="33" xfId="56" applyFont="1" applyBorder="1" applyAlignment="1">
      <alignment horizontal="center" vertical="center"/>
    </xf>
    <xf numFmtId="0" fontId="46" fillId="0" borderId="24" xfId="56" applyFont="1" applyBorder="1" applyAlignment="1">
      <alignment horizontal="center" vertical="center"/>
    </xf>
    <xf numFmtId="3" fontId="47" fillId="0" borderId="0" xfId="0" applyNumberFormat="1" applyFont="1" applyAlignment="1">
      <alignment horizontal="left" vertical="center" wrapText="1"/>
    </xf>
    <xf numFmtId="3" fontId="47" fillId="0" borderId="0" xfId="0" applyNumberFormat="1" applyFont="1" applyFill="1" applyAlignment="1">
      <alignment horizontal="left" vertical="center" wrapText="1"/>
    </xf>
    <xf numFmtId="1" fontId="46" fillId="0" borderId="24" xfId="0" applyNumberFormat="1" applyFont="1" applyBorder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46" fillId="0" borderId="14" xfId="56" applyFont="1" applyBorder="1" applyAlignment="1">
      <alignment horizontal="center" vertical="center"/>
    </xf>
    <xf numFmtId="0" fontId="46" fillId="0" borderId="15" xfId="56" applyFont="1" applyBorder="1" applyAlignment="1">
      <alignment horizontal="center" vertical="center"/>
    </xf>
    <xf numFmtId="0" fontId="81" fillId="0" borderId="0" xfId="56" applyFont="1" applyAlignment="1">
      <alignment horizontal="center" vertical="center" wrapText="1"/>
    </xf>
    <xf numFmtId="0" fontId="51" fillId="0" borderId="0" xfId="0" applyFont="1" applyAlignment="1">
      <alignment horizontal="left" wrapText="1"/>
    </xf>
    <xf numFmtId="1" fontId="2" fillId="0" borderId="0" xfId="0" applyNumberFormat="1" applyFont="1" applyAlignment="1">
      <alignment horizontal="left" wrapText="1"/>
    </xf>
  </cellXfs>
  <cellStyles count="68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Millares" xfId="33" builtinId="3"/>
    <cellStyle name="Millares [0]" xfId="34" builtinId="6"/>
    <cellStyle name="Millares [0] 12" xfId="35" xr:uid="{00000000-0005-0000-0000-000022000000}"/>
    <cellStyle name="Millares [0] 14" xfId="36" xr:uid="{00000000-0005-0000-0000-000023000000}"/>
    <cellStyle name="Millares [0] 2" xfId="37" xr:uid="{00000000-0005-0000-0000-000024000000}"/>
    <cellStyle name="Millares [0] 3" xfId="38" xr:uid="{00000000-0005-0000-0000-000025000000}"/>
    <cellStyle name="Millares 2" xfId="39" xr:uid="{00000000-0005-0000-0000-000026000000}"/>
    <cellStyle name="Millares 3" xfId="40" xr:uid="{00000000-0005-0000-0000-000027000000}"/>
    <cellStyle name="Millares 4" xfId="41" xr:uid="{00000000-0005-0000-0000-000028000000}"/>
    <cellStyle name="Millares 5" xfId="42" xr:uid="{00000000-0005-0000-0000-000029000000}"/>
    <cellStyle name="Millares 6" xfId="43" xr:uid="{00000000-0005-0000-0000-00002A000000}"/>
    <cellStyle name="Moneda" xfId="44" builtinId="4"/>
    <cellStyle name="Moneda [0]" xfId="45" builtinId="7"/>
    <cellStyle name="Moneda [0] 11" xfId="46" xr:uid="{00000000-0005-0000-0000-00002D000000}"/>
    <cellStyle name="Moneda [0] 2" xfId="47" xr:uid="{00000000-0005-0000-0000-00002E000000}"/>
    <cellStyle name="Moneda 2" xfId="48" xr:uid="{00000000-0005-0000-0000-00002F000000}"/>
    <cellStyle name="Moneda 3" xfId="49" xr:uid="{00000000-0005-0000-0000-000030000000}"/>
    <cellStyle name="Moneda 4" xfId="50" xr:uid="{00000000-0005-0000-0000-000031000000}"/>
    <cellStyle name="Moneda 5" xfId="51" xr:uid="{00000000-0005-0000-0000-000032000000}"/>
    <cellStyle name="Moneda 6" xfId="52" xr:uid="{00000000-0005-0000-0000-000033000000}"/>
    <cellStyle name="Moneda 78" xfId="53" xr:uid="{00000000-0005-0000-0000-000034000000}"/>
    <cellStyle name="Moneda 87" xfId="54" xr:uid="{00000000-0005-0000-0000-000035000000}"/>
    <cellStyle name="Neutral" xfId="55" builtinId="28" customBuiltin="1"/>
    <cellStyle name="Normal" xfId="0" builtinId="0"/>
    <cellStyle name="Normal 2" xfId="56" xr:uid="{00000000-0005-0000-0000-000038000000}"/>
    <cellStyle name="Normal 2 2" xfId="57" xr:uid="{00000000-0005-0000-0000-000039000000}"/>
    <cellStyle name="Notas" xfId="58" builtinId="10" customBuiltin="1"/>
    <cellStyle name="Porcentaje" xfId="59" builtinId="5"/>
    <cellStyle name="Porcentaje 2" xfId="60" xr:uid="{00000000-0005-0000-0000-00003C000000}"/>
    <cellStyle name="Salida" xfId="61" builtinId="21" customBuiltin="1"/>
    <cellStyle name="Texto de advertencia" xfId="62" builtinId="11" customBuiltin="1"/>
    <cellStyle name="Texto explicativo" xfId="63" builtinId="53" customBuiltin="1"/>
    <cellStyle name="Título 2" xfId="64" builtinId="17" customBuiltin="1"/>
    <cellStyle name="Título 3" xfId="65" builtinId="18" customBuiltin="1"/>
    <cellStyle name="Título 4" xfId="66" xr:uid="{00000000-0005-0000-0000-000042000000}"/>
    <cellStyle name="Total" xfId="6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3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4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microsoft.com/office/2006/relationships/vbaProject" Target="vbaProject.bin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71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2034507" name="Line 3">
          <a:extLst>
            <a:ext uri="{FF2B5EF4-FFF2-40B4-BE49-F238E27FC236}">
              <a16:creationId xmlns:a16="http://schemas.microsoft.com/office/drawing/2014/main" id="{7AFA3E19-3111-4EA9-8BAE-4C8A46B67C88}"/>
            </a:ext>
          </a:extLst>
        </xdr:cNvPr>
        <xdr:cNvSpPr>
          <a:spLocks noChangeShapeType="1"/>
        </xdr:cNvSpPr>
      </xdr:nvSpPr>
      <xdr:spPr bwMode="auto">
        <a:xfrm>
          <a:off x="12477750" y="184404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2034508" name="Line 5">
          <a:extLst>
            <a:ext uri="{FF2B5EF4-FFF2-40B4-BE49-F238E27FC236}">
              <a16:creationId xmlns:a16="http://schemas.microsoft.com/office/drawing/2014/main" id="{4287F1B8-67CB-4812-9A33-BD85A42C1ABB}"/>
            </a:ext>
          </a:extLst>
        </xdr:cNvPr>
        <xdr:cNvSpPr>
          <a:spLocks noChangeShapeType="1"/>
        </xdr:cNvSpPr>
      </xdr:nvSpPr>
      <xdr:spPr bwMode="auto">
        <a:xfrm>
          <a:off x="12477750" y="184404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285750</xdr:colOff>
      <xdr:row>0</xdr:row>
      <xdr:rowOff>171450</xdr:rowOff>
    </xdr:from>
    <xdr:to>
      <xdr:col>2</xdr:col>
      <xdr:colOff>9525</xdr:colOff>
      <xdr:row>2</xdr:row>
      <xdr:rowOff>171450</xdr:rowOff>
    </xdr:to>
    <xdr:pic>
      <xdr:nvPicPr>
        <xdr:cNvPr id="2034509" name="Imagen 3">
          <a:extLst>
            <a:ext uri="{FF2B5EF4-FFF2-40B4-BE49-F238E27FC236}">
              <a16:creationId xmlns:a16="http://schemas.microsoft.com/office/drawing/2014/main" id="{E5FF9E01-A68A-4FE4-82B5-3BE351F83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1450"/>
          <a:ext cx="29432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142875</xdr:colOff>
      <xdr:row>0</xdr:row>
      <xdr:rowOff>142875</xdr:rowOff>
    </xdr:from>
    <xdr:to>
      <xdr:col>12</xdr:col>
      <xdr:colOff>0</xdr:colOff>
      <xdr:row>2</xdr:row>
      <xdr:rowOff>428625</xdr:rowOff>
    </xdr:to>
    <xdr:pic>
      <xdr:nvPicPr>
        <xdr:cNvPr id="2034510" name="Imagen 4">
          <a:extLst>
            <a:ext uri="{FF2B5EF4-FFF2-40B4-BE49-F238E27FC236}">
              <a16:creationId xmlns:a16="http://schemas.microsoft.com/office/drawing/2014/main" id="{4088370D-3641-42EB-9759-183F54205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22450" y="142875"/>
          <a:ext cx="250507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75</xdr:row>
      <xdr:rowOff>0</xdr:rowOff>
    </xdr:from>
    <xdr:to>
      <xdr:col>7</xdr:col>
      <xdr:colOff>0</xdr:colOff>
      <xdr:row>75</xdr:row>
      <xdr:rowOff>0</xdr:rowOff>
    </xdr:to>
    <xdr:sp macro="" textlink="">
      <xdr:nvSpPr>
        <xdr:cNvPr id="2034511" name="Line 3">
          <a:extLst>
            <a:ext uri="{FF2B5EF4-FFF2-40B4-BE49-F238E27FC236}">
              <a16:creationId xmlns:a16="http://schemas.microsoft.com/office/drawing/2014/main" id="{D4CA252A-FE2A-43E7-AE9E-FFCC098FDB1A}"/>
            </a:ext>
          </a:extLst>
        </xdr:cNvPr>
        <xdr:cNvSpPr>
          <a:spLocks noChangeShapeType="1"/>
        </xdr:cNvSpPr>
      </xdr:nvSpPr>
      <xdr:spPr bwMode="auto">
        <a:xfrm>
          <a:off x="17221200" y="192595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75</xdr:row>
      <xdr:rowOff>0</xdr:rowOff>
    </xdr:from>
    <xdr:to>
      <xdr:col>7</xdr:col>
      <xdr:colOff>0</xdr:colOff>
      <xdr:row>75</xdr:row>
      <xdr:rowOff>0</xdr:rowOff>
    </xdr:to>
    <xdr:sp macro="" textlink="">
      <xdr:nvSpPr>
        <xdr:cNvPr id="2034512" name="Line 5">
          <a:extLst>
            <a:ext uri="{FF2B5EF4-FFF2-40B4-BE49-F238E27FC236}">
              <a16:creationId xmlns:a16="http://schemas.microsoft.com/office/drawing/2014/main" id="{C1A3D260-5B9A-40D4-8097-CC86953FB8F2}"/>
            </a:ext>
          </a:extLst>
        </xdr:cNvPr>
        <xdr:cNvSpPr>
          <a:spLocks noChangeShapeType="1"/>
        </xdr:cNvSpPr>
      </xdr:nvSpPr>
      <xdr:spPr bwMode="auto">
        <a:xfrm>
          <a:off x="17221200" y="192595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104</xdr:row>
      <xdr:rowOff>0</xdr:rowOff>
    </xdr:from>
    <xdr:to>
      <xdr:col>7</xdr:col>
      <xdr:colOff>0</xdr:colOff>
      <xdr:row>104</xdr:row>
      <xdr:rowOff>0</xdr:rowOff>
    </xdr:to>
    <xdr:sp macro="" textlink="">
      <xdr:nvSpPr>
        <xdr:cNvPr id="2034513" name="Line 3">
          <a:extLst>
            <a:ext uri="{FF2B5EF4-FFF2-40B4-BE49-F238E27FC236}">
              <a16:creationId xmlns:a16="http://schemas.microsoft.com/office/drawing/2014/main" id="{71C06586-4B05-41EB-A235-C26B739A6A4E}"/>
            </a:ext>
          </a:extLst>
        </xdr:cNvPr>
        <xdr:cNvSpPr>
          <a:spLocks noChangeShapeType="1"/>
        </xdr:cNvSpPr>
      </xdr:nvSpPr>
      <xdr:spPr bwMode="auto">
        <a:xfrm>
          <a:off x="17221200" y="25688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104</xdr:row>
      <xdr:rowOff>0</xdr:rowOff>
    </xdr:from>
    <xdr:to>
      <xdr:col>7</xdr:col>
      <xdr:colOff>0</xdr:colOff>
      <xdr:row>104</xdr:row>
      <xdr:rowOff>0</xdr:rowOff>
    </xdr:to>
    <xdr:sp macro="" textlink="">
      <xdr:nvSpPr>
        <xdr:cNvPr id="2034514" name="Line 5">
          <a:extLst>
            <a:ext uri="{FF2B5EF4-FFF2-40B4-BE49-F238E27FC236}">
              <a16:creationId xmlns:a16="http://schemas.microsoft.com/office/drawing/2014/main" id="{1D334C48-5285-44CA-B9AC-DFDEEC61811F}"/>
            </a:ext>
          </a:extLst>
        </xdr:cNvPr>
        <xdr:cNvSpPr>
          <a:spLocks noChangeShapeType="1"/>
        </xdr:cNvSpPr>
      </xdr:nvSpPr>
      <xdr:spPr bwMode="auto">
        <a:xfrm>
          <a:off x="17221200" y="25688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034515" name="Line 3">
          <a:extLst>
            <a:ext uri="{FF2B5EF4-FFF2-40B4-BE49-F238E27FC236}">
              <a16:creationId xmlns:a16="http://schemas.microsoft.com/office/drawing/2014/main" id="{7D9BAF4F-04C6-40BC-89CD-B44E71119916}"/>
            </a:ext>
          </a:extLst>
        </xdr:cNvPr>
        <xdr:cNvSpPr>
          <a:spLocks noChangeShapeType="1"/>
        </xdr:cNvSpPr>
      </xdr:nvSpPr>
      <xdr:spPr bwMode="auto">
        <a:xfrm>
          <a:off x="17221200" y="167830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034516" name="Line 5">
          <a:extLst>
            <a:ext uri="{FF2B5EF4-FFF2-40B4-BE49-F238E27FC236}">
              <a16:creationId xmlns:a16="http://schemas.microsoft.com/office/drawing/2014/main" id="{930D2FE0-FD89-413A-9059-C22265F1041C}"/>
            </a:ext>
          </a:extLst>
        </xdr:cNvPr>
        <xdr:cNvSpPr>
          <a:spLocks noChangeShapeType="1"/>
        </xdr:cNvSpPr>
      </xdr:nvSpPr>
      <xdr:spPr bwMode="auto">
        <a:xfrm>
          <a:off x="17221200" y="167830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457200</xdr:colOff>
      <xdr:row>1</xdr:row>
      <xdr:rowOff>0</xdr:rowOff>
    </xdr:to>
    <xdr:pic>
      <xdr:nvPicPr>
        <xdr:cNvPr id="1791745" name="Imagen 3">
          <a:extLst>
            <a:ext uri="{FF2B5EF4-FFF2-40B4-BE49-F238E27FC236}">
              <a16:creationId xmlns:a16="http://schemas.microsoft.com/office/drawing/2014/main" id="{9E309EC9-FDD3-4B8C-BEE6-569FC16D7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4320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790575</xdr:colOff>
      <xdr:row>0</xdr:row>
      <xdr:rowOff>0</xdr:rowOff>
    </xdr:from>
    <xdr:to>
      <xdr:col>14</xdr:col>
      <xdr:colOff>428625</xdr:colOff>
      <xdr:row>1</xdr:row>
      <xdr:rowOff>0</xdr:rowOff>
    </xdr:to>
    <xdr:pic>
      <xdr:nvPicPr>
        <xdr:cNvPr id="1791746" name="Imagen 4">
          <a:extLst>
            <a:ext uri="{FF2B5EF4-FFF2-40B4-BE49-F238E27FC236}">
              <a16:creationId xmlns:a16="http://schemas.microsoft.com/office/drawing/2014/main" id="{7599969E-84D5-445C-876D-E653BC548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50450" y="0"/>
          <a:ext cx="2371725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5C094E4C-E570-47BF-9844-1F133F918BF2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E1D45A10-3748-4864-BC1B-7DB24839907E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85</xdr:row>
      <xdr:rowOff>0</xdr:rowOff>
    </xdr:from>
    <xdr:to>
      <xdr:col>0</xdr:col>
      <xdr:colOff>831374</xdr:colOff>
      <xdr:row>85</xdr:row>
      <xdr:rowOff>13494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10AA9C0B-3CDF-47A8-8855-D6A7E221E596}"/>
            </a:ext>
          </a:extLst>
        </xdr:cNvPr>
        <xdr:cNvCxnSpPr/>
      </xdr:nvCxnSpPr>
      <xdr:spPr>
        <a:xfrm rot="5400000">
          <a:off x="549195" y="81482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8A8A2EC2-EEB2-4AF0-A5F9-E23423308132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CEE7073F-3EA2-456C-9341-A635210520FC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8" name="3 Conector recto">
          <a:extLst>
            <a:ext uri="{FF2B5EF4-FFF2-40B4-BE49-F238E27FC236}">
              <a16:creationId xmlns:a16="http://schemas.microsoft.com/office/drawing/2014/main" id="{8281F661-9A68-42D9-B7BA-853B21BDCC28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9" name="3 Conector recto">
          <a:extLst>
            <a:ext uri="{FF2B5EF4-FFF2-40B4-BE49-F238E27FC236}">
              <a16:creationId xmlns:a16="http://schemas.microsoft.com/office/drawing/2014/main" id="{65AB3AC8-70AE-4467-B357-870155E1029C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85</xdr:row>
      <xdr:rowOff>0</xdr:rowOff>
    </xdr:from>
    <xdr:to>
      <xdr:col>0</xdr:col>
      <xdr:colOff>831374</xdr:colOff>
      <xdr:row>85</xdr:row>
      <xdr:rowOff>13494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98BE62B7-D5A1-4B2A-B4E5-9D121E6BEAFC}"/>
            </a:ext>
          </a:extLst>
        </xdr:cNvPr>
        <xdr:cNvCxnSpPr/>
      </xdr:nvCxnSpPr>
      <xdr:spPr>
        <a:xfrm rot="5400000">
          <a:off x="549195" y="81482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F3E4F87-9507-4F96-A940-D337A9E29D2F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93FF93D7-4EDA-4CAC-B4E8-EE0537E1E432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914400</xdr:colOff>
      <xdr:row>1</xdr:row>
      <xdr:rowOff>114300</xdr:rowOff>
    </xdr:from>
    <xdr:to>
      <xdr:col>1</xdr:col>
      <xdr:colOff>504825</xdr:colOff>
      <xdr:row>3</xdr:row>
      <xdr:rowOff>409575</xdr:rowOff>
    </xdr:to>
    <xdr:pic>
      <xdr:nvPicPr>
        <xdr:cNvPr id="2080594" name="Imagen 18">
          <a:extLst>
            <a:ext uri="{FF2B5EF4-FFF2-40B4-BE49-F238E27FC236}">
              <a16:creationId xmlns:a16="http://schemas.microsoft.com/office/drawing/2014/main" id="{769FCDF6-D6FA-4FE0-B1D8-81EA17E633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95275"/>
          <a:ext cx="23622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323850</xdr:colOff>
      <xdr:row>1</xdr:row>
      <xdr:rowOff>142875</xdr:rowOff>
    </xdr:from>
    <xdr:to>
      <xdr:col>13</xdr:col>
      <xdr:colOff>1314450</xdr:colOff>
      <xdr:row>4</xdr:row>
      <xdr:rowOff>0</xdr:rowOff>
    </xdr:to>
    <xdr:pic>
      <xdr:nvPicPr>
        <xdr:cNvPr id="2080595" name="Imagen 19">
          <a:extLst>
            <a:ext uri="{FF2B5EF4-FFF2-40B4-BE49-F238E27FC236}">
              <a16:creationId xmlns:a16="http://schemas.microsoft.com/office/drawing/2014/main" id="{2983F505-3CF9-4D23-A014-F67066194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7900" y="323850"/>
          <a:ext cx="23717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1FB8187A-113E-409E-AFB1-73114ECFC7DD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765758A-92BA-4C6D-B57B-788626BABD98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8F127D68-1C53-414E-84B3-F2CB6F3DE2E8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7D8F8755-CF34-4851-A757-08738D9E5249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068673EC-3B8D-4C4D-9B79-72B353A16EB8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470ACAAD-9FD6-4340-B4FB-94D373FE7F67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A822BBDF-A36F-4BF0-87C7-1435C7EC3B7A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C9A4C1BF-B7BF-42B0-8ECC-A41CC6003E6E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2FEBC424-8E82-4EDF-99F8-DCF89BCED56B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E1E4E82F-494A-456E-848A-7FC56C2EE70D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A61F70BE-3DD7-4F39-8273-D1D13DA4B4F9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B17FADAA-84EA-456C-8266-258AF1B9DF7E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4" name="3 Conector recto">
          <a:extLst>
            <a:ext uri="{FF2B5EF4-FFF2-40B4-BE49-F238E27FC236}">
              <a16:creationId xmlns:a16="http://schemas.microsoft.com/office/drawing/2014/main" id="{1B8DA20C-0FD9-4BA6-99EE-9BB7B8E5A7A3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5" name="3 Conector recto">
          <a:extLst>
            <a:ext uri="{FF2B5EF4-FFF2-40B4-BE49-F238E27FC236}">
              <a16:creationId xmlns:a16="http://schemas.microsoft.com/office/drawing/2014/main" id="{B47ACC68-2910-4E0C-9B95-9EF8DCFE3E7B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37" name="3 Conector recto">
          <a:extLst>
            <a:ext uri="{FF2B5EF4-FFF2-40B4-BE49-F238E27FC236}">
              <a16:creationId xmlns:a16="http://schemas.microsoft.com/office/drawing/2014/main" id="{3AA5C8AE-26B9-4995-87DD-BD2F2C6E82E7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38" name="3 Conector recto">
          <a:extLst>
            <a:ext uri="{FF2B5EF4-FFF2-40B4-BE49-F238E27FC236}">
              <a16:creationId xmlns:a16="http://schemas.microsoft.com/office/drawing/2014/main" id="{31EFA8BD-9B70-4343-B784-1FDD25CFD1E2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40" name="3 Conector recto">
          <a:extLst>
            <a:ext uri="{FF2B5EF4-FFF2-40B4-BE49-F238E27FC236}">
              <a16:creationId xmlns:a16="http://schemas.microsoft.com/office/drawing/2014/main" id="{277ECED5-889A-49CA-BEC1-31B22DC7E31D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41" name="3 Conector recto">
          <a:extLst>
            <a:ext uri="{FF2B5EF4-FFF2-40B4-BE49-F238E27FC236}">
              <a16:creationId xmlns:a16="http://schemas.microsoft.com/office/drawing/2014/main" id="{E75F59FD-586E-4984-A5E8-5155A66F4001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43" name="3 Conector recto">
          <a:extLst>
            <a:ext uri="{FF2B5EF4-FFF2-40B4-BE49-F238E27FC236}">
              <a16:creationId xmlns:a16="http://schemas.microsoft.com/office/drawing/2014/main" id="{EE5B45B9-5D2F-47DC-8E60-D18ECE745F32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44" name="3 Conector recto">
          <a:extLst>
            <a:ext uri="{FF2B5EF4-FFF2-40B4-BE49-F238E27FC236}">
              <a16:creationId xmlns:a16="http://schemas.microsoft.com/office/drawing/2014/main" id="{53C17B7F-B31D-46F0-A5BF-06184EABFE95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46" name="3 Conector recto">
          <a:extLst>
            <a:ext uri="{FF2B5EF4-FFF2-40B4-BE49-F238E27FC236}">
              <a16:creationId xmlns:a16="http://schemas.microsoft.com/office/drawing/2014/main" id="{DC78FA74-20D3-458E-A280-1AEDB7C8A1D7}"/>
            </a:ext>
          </a:extLst>
        </xdr:cNvPr>
        <xdr:cNvCxnSpPr/>
      </xdr:nvCxnSpPr>
      <xdr:spPr>
        <a:xfrm rot="5400000">
          <a:off x="56095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47" name="3 Conector recto">
          <a:extLst>
            <a:ext uri="{FF2B5EF4-FFF2-40B4-BE49-F238E27FC236}">
              <a16:creationId xmlns:a16="http://schemas.microsoft.com/office/drawing/2014/main" id="{594D530B-2AD1-4335-BE91-2593C554500B}"/>
            </a:ext>
          </a:extLst>
        </xdr:cNvPr>
        <xdr:cNvCxnSpPr/>
      </xdr:nvCxnSpPr>
      <xdr:spPr>
        <a:xfrm rot="5400000">
          <a:off x="56095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77</xdr:row>
      <xdr:rowOff>0</xdr:rowOff>
    </xdr:from>
    <xdr:to>
      <xdr:col>6</xdr:col>
      <xdr:colOff>555149</xdr:colOff>
      <xdr:row>77</xdr:row>
      <xdr:rowOff>10319</xdr:rowOff>
    </xdr:to>
    <xdr:cxnSp macro="">
      <xdr:nvCxnSpPr>
        <xdr:cNvPr id="48" name="3 Conector recto">
          <a:extLst>
            <a:ext uri="{FF2B5EF4-FFF2-40B4-BE49-F238E27FC236}">
              <a16:creationId xmlns:a16="http://schemas.microsoft.com/office/drawing/2014/main" id="{891F6557-DB2D-4289-B2EA-E2342744FB7A}"/>
            </a:ext>
          </a:extLst>
        </xdr:cNvPr>
        <xdr:cNvCxnSpPr/>
      </xdr:nvCxnSpPr>
      <xdr:spPr>
        <a:xfrm rot="5400000">
          <a:off x="5606970" y="103770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49" name="3 Conector recto">
          <a:extLst>
            <a:ext uri="{FF2B5EF4-FFF2-40B4-BE49-F238E27FC236}">
              <a16:creationId xmlns:a16="http://schemas.microsoft.com/office/drawing/2014/main" id="{05F22AE1-7A3B-4CDF-8E94-0F2598B19D4A}"/>
            </a:ext>
          </a:extLst>
        </xdr:cNvPr>
        <xdr:cNvCxnSpPr/>
      </xdr:nvCxnSpPr>
      <xdr:spPr>
        <a:xfrm rot="5400000">
          <a:off x="560002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50" name="3 Conector recto">
          <a:extLst>
            <a:ext uri="{FF2B5EF4-FFF2-40B4-BE49-F238E27FC236}">
              <a16:creationId xmlns:a16="http://schemas.microsoft.com/office/drawing/2014/main" id="{EE7FBBFC-E91D-4DFD-91D7-26EE664371D7}"/>
            </a:ext>
          </a:extLst>
        </xdr:cNvPr>
        <xdr:cNvCxnSpPr/>
      </xdr:nvCxnSpPr>
      <xdr:spPr>
        <a:xfrm rot="5400000">
          <a:off x="560002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77</xdr:row>
      <xdr:rowOff>0</xdr:rowOff>
    </xdr:from>
    <xdr:to>
      <xdr:col>6</xdr:col>
      <xdr:colOff>545624</xdr:colOff>
      <xdr:row>77</xdr:row>
      <xdr:rowOff>10319</xdr:rowOff>
    </xdr:to>
    <xdr:cxnSp macro="">
      <xdr:nvCxnSpPr>
        <xdr:cNvPr id="51" name="3 Conector recto">
          <a:extLst>
            <a:ext uri="{FF2B5EF4-FFF2-40B4-BE49-F238E27FC236}">
              <a16:creationId xmlns:a16="http://schemas.microsoft.com/office/drawing/2014/main" id="{B2544366-AC4A-4CC5-A603-C532E1A5CBED}"/>
            </a:ext>
          </a:extLst>
        </xdr:cNvPr>
        <xdr:cNvCxnSpPr/>
      </xdr:nvCxnSpPr>
      <xdr:spPr>
        <a:xfrm rot="5400000">
          <a:off x="5597445" y="103770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2" name="3 Conector recto">
          <a:extLst>
            <a:ext uri="{FF2B5EF4-FFF2-40B4-BE49-F238E27FC236}">
              <a16:creationId xmlns:a16="http://schemas.microsoft.com/office/drawing/2014/main" id="{6B80CF29-9EA7-48AE-AC52-2875386C1A86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3" name="3 Conector recto">
          <a:extLst>
            <a:ext uri="{FF2B5EF4-FFF2-40B4-BE49-F238E27FC236}">
              <a16:creationId xmlns:a16="http://schemas.microsoft.com/office/drawing/2014/main" id="{C496E746-F126-41F9-A22C-9B24DE2F1B5F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5" name="3 Conector recto">
          <a:extLst>
            <a:ext uri="{FF2B5EF4-FFF2-40B4-BE49-F238E27FC236}">
              <a16:creationId xmlns:a16="http://schemas.microsoft.com/office/drawing/2014/main" id="{114254C0-E377-460E-8AAC-992D2AE32176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6" name="3 Conector recto">
          <a:extLst>
            <a:ext uri="{FF2B5EF4-FFF2-40B4-BE49-F238E27FC236}">
              <a16:creationId xmlns:a16="http://schemas.microsoft.com/office/drawing/2014/main" id="{016D0941-0ABA-4381-95E9-5446114C7C72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58" name="3 Conector recto">
          <a:extLst>
            <a:ext uri="{FF2B5EF4-FFF2-40B4-BE49-F238E27FC236}">
              <a16:creationId xmlns:a16="http://schemas.microsoft.com/office/drawing/2014/main" id="{2DF049D6-4117-44BA-A116-169DFBAD8AE8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59" name="3 Conector recto">
          <a:extLst>
            <a:ext uri="{FF2B5EF4-FFF2-40B4-BE49-F238E27FC236}">
              <a16:creationId xmlns:a16="http://schemas.microsoft.com/office/drawing/2014/main" id="{9ADDCCD3-0B1E-4CD8-A8E9-9408043E6197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1" name="3 Conector recto">
          <a:extLst>
            <a:ext uri="{FF2B5EF4-FFF2-40B4-BE49-F238E27FC236}">
              <a16:creationId xmlns:a16="http://schemas.microsoft.com/office/drawing/2014/main" id="{2E284C67-235E-4900-8D7F-FAA96A0CCBF5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2" name="3 Conector recto">
          <a:extLst>
            <a:ext uri="{FF2B5EF4-FFF2-40B4-BE49-F238E27FC236}">
              <a16:creationId xmlns:a16="http://schemas.microsoft.com/office/drawing/2014/main" id="{D23CCC56-9738-4BBF-A522-8E2A04354258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64" name="3 Conector recto">
          <a:extLst>
            <a:ext uri="{FF2B5EF4-FFF2-40B4-BE49-F238E27FC236}">
              <a16:creationId xmlns:a16="http://schemas.microsoft.com/office/drawing/2014/main" id="{CAABA6C8-D475-478F-ACA1-B2D0AC4BE2BB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65" name="3 Conector recto">
          <a:extLst>
            <a:ext uri="{FF2B5EF4-FFF2-40B4-BE49-F238E27FC236}">
              <a16:creationId xmlns:a16="http://schemas.microsoft.com/office/drawing/2014/main" id="{71948E47-1F1F-4C2D-B0FC-0673C3C8A86A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7" name="3 Conector recto">
          <a:extLst>
            <a:ext uri="{FF2B5EF4-FFF2-40B4-BE49-F238E27FC236}">
              <a16:creationId xmlns:a16="http://schemas.microsoft.com/office/drawing/2014/main" id="{D4FA284E-726A-41A3-8506-96EC3A73091B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8" name="3 Conector recto">
          <a:extLst>
            <a:ext uri="{FF2B5EF4-FFF2-40B4-BE49-F238E27FC236}">
              <a16:creationId xmlns:a16="http://schemas.microsoft.com/office/drawing/2014/main" id="{1D76BC9D-527C-4322-965D-048C569876E7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70" name="3 Conector recto">
          <a:extLst>
            <a:ext uri="{FF2B5EF4-FFF2-40B4-BE49-F238E27FC236}">
              <a16:creationId xmlns:a16="http://schemas.microsoft.com/office/drawing/2014/main" id="{B2C81470-4C47-4ACE-8C1D-11AC51525367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71" name="3 Conector recto">
          <a:extLst>
            <a:ext uri="{FF2B5EF4-FFF2-40B4-BE49-F238E27FC236}">
              <a16:creationId xmlns:a16="http://schemas.microsoft.com/office/drawing/2014/main" id="{B67D206A-03D1-4B10-95A3-92DFA7F0DA65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3" name="3 Conector recto">
          <a:extLst>
            <a:ext uri="{FF2B5EF4-FFF2-40B4-BE49-F238E27FC236}">
              <a16:creationId xmlns:a16="http://schemas.microsoft.com/office/drawing/2014/main" id="{4907E27C-431A-4DA3-9D61-7BF14BC062EB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4" name="3 Conector recto">
          <a:extLst>
            <a:ext uri="{FF2B5EF4-FFF2-40B4-BE49-F238E27FC236}">
              <a16:creationId xmlns:a16="http://schemas.microsoft.com/office/drawing/2014/main" id="{FB4B5C7B-7978-4330-842C-9A27491D7958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6" name="3 Conector recto">
          <a:extLst>
            <a:ext uri="{FF2B5EF4-FFF2-40B4-BE49-F238E27FC236}">
              <a16:creationId xmlns:a16="http://schemas.microsoft.com/office/drawing/2014/main" id="{62BB0648-8B52-4A7F-9788-0B2F415AEF27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7" name="3 Conector recto">
          <a:extLst>
            <a:ext uri="{FF2B5EF4-FFF2-40B4-BE49-F238E27FC236}">
              <a16:creationId xmlns:a16="http://schemas.microsoft.com/office/drawing/2014/main" id="{E3CFAAC5-E00B-44DC-B7D7-311F079021B5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79" name="3 Conector recto">
          <a:extLst>
            <a:ext uri="{FF2B5EF4-FFF2-40B4-BE49-F238E27FC236}">
              <a16:creationId xmlns:a16="http://schemas.microsoft.com/office/drawing/2014/main" id="{DCAAD356-611D-4BE7-B4CE-676A57A1A957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80" name="3 Conector recto">
          <a:extLst>
            <a:ext uri="{FF2B5EF4-FFF2-40B4-BE49-F238E27FC236}">
              <a16:creationId xmlns:a16="http://schemas.microsoft.com/office/drawing/2014/main" id="{76712C61-016C-4311-BD1D-B6C3801287FA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82" name="3 Conector recto">
          <a:extLst>
            <a:ext uri="{FF2B5EF4-FFF2-40B4-BE49-F238E27FC236}">
              <a16:creationId xmlns:a16="http://schemas.microsoft.com/office/drawing/2014/main" id="{C6963560-236E-44E0-9F84-D0462645E222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83" name="3 Conector recto">
          <a:extLst>
            <a:ext uri="{FF2B5EF4-FFF2-40B4-BE49-F238E27FC236}">
              <a16:creationId xmlns:a16="http://schemas.microsoft.com/office/drawing/2014/main" id="{12CF5C1E-FBCE-4DF8-AA79-1EBDF948D09F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85" name="3 Conector recto">
          <a:extLst>
            <a:ext uri="{FF2B5EF4-FFF2-40B4-BE49-F238E27FC236}">
              <a16:creationId xmlns:a16="http://schemas.microsoft.com/office/drawing/2014/main" id="{6D493201-FA9E-49F7-87BD-A9C0F8C25AC1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86" name="3 Conector recto">
          <a:extLst>
            <a:ext uri="{FF2B5EF4-FFF2-40B4-BE49-F238E27FC236}">
              <a16:creationId xmlns:a16="http://schemas.microsoft.com/office/drawing/2014/main" id="{1985DBF6-EECB-4FAE-B799-A27366C9C320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88" name="3 Conector recto">
          <a:extLst>
            <a:ext uri="{FF2B5EF4-FFF2-40B4-BE49-F238E27FC236}">
              <a16:creationId xmlns:a16="http://schemas.microsoft.com/office/drawing/2014/main" id="{62E608F4-B850-4A78-BF22-E9F294DF59E7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89" name="3 Conector recto">
          <a:extLst>
            <a:ext uri="{FF2B5EF4-FFF2-40B4-BE49-F238E27FC236}">
              <a16:creationId xmlns:a16="http://schemas.microsoft.com/office/drawing/2014/main" id="{BC84FA82-93D2-4DAD-AB94-9DAF21692AD9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77</xdr:row>
      <xdr:rowOff>0</xdr:rowOff>
    </xdr:from>
    <xdr:to>
      <xdr:col>6</xdr:col>
      <xdr:colOff>555149</xdr:colOff>
      <xdr:row>77</xdr:row>
      <xdr:rowOff>10319</xdr:rowOff>
    </xdr:to>
    <xdr:cxnSp macro="">
      <xdr:nvCxnSpPr>
        <xdr:cNvPr id="90" name="3 Conector recto">
          <a:extLst>
            <a:ext uri="{FF2B5EF4-FFF2-40B4-BE49-F238E27FC236}">
              <a16:creationId xmlns:a16="http://schemas.microsoft.com/office/drawing/2014/main" id="{810FEEFE-4741-44A9-8E1D-CE173496F4E1}"/>
            </a:ext>
          </a:extLst>
        </xdr:cNvPr>
        <xdr:cNvCxnSpPr/>
      </xdr:nvCxnSpPr>
      <xdr:spPr>
        <a:xfrm rot="5400000">
          <a:off x="12103020" y="17387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91" name="3 Conector recto">
          <a:extLst>
            <a:ext uri="{FF2B5EF4-FFF2-40B4-BE49-F238E27FC236}">
              <a16:creationId xmlns:a16="http://schemas.microsoft.com/office/drawing/2014/main" id="{B7FB30D0-0A5E-47DD-A413-61FD6D3F695D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92" name="3 Conector recto">
          <a:extLst>
            <a:ext uri="{FF2B5EF4-FFF2-40B4-BE49-F238E27FC236}">
              <a16:creationId xmlns:a16="http://schemas.microsoft.com/office/drawing/2014/main" id="{6F15E20F-870D-41A5-A5D9-886036A590D4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77</xdr:row>
      <xdr:rowOff>0</xdr:rowOff>
    </xdr:from>
    <xdr:to>
      <xdr:col>6</xdr:col>
      <xdr:colOff>545624</xdr:colOff>
      <xdr:row>77</xdr:row>
      <xdr:rowOff>10319</xdr:rowOff>
    </xdr:to>
    <xdr:cxnSp macro="">
      <xdr:nvCxnSpPr>
        <xdr:cNvPr id="93" name="3 Conector recto">
          <a:extLst>
            <a:ext uri="{FF2B5EF4-FFF2-40B4-BE49-F238E27FC236}">
              <a16:creationId xmlns:a16="http://schemas.microsoft.com/office/drawing/2014/main" id="{EDE29FC6-0945-4714-9BC1-077FFAF5FB7A}"/>
            </a:ext>
          </a:extLst>
        </xdr:cNvPr>
        <xdr:cNvCxnSpPr/>
      </xdr:nvCxnSpPr>
      <xdr:spPr>
        <a:xfrm rot="5400000">
          <a:off x="12103020" y="17387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C85B28AC-5A1D-46AD-B479-978EAA0D2525}"/>
            </a:ext>
          </a:extLst>
        </xdr:cNvPr>
        <xdr:cNvCxnSpPr/>
      </xdr:nvCxnSpPr>
      <xdr:spPr>
        <a:xfrm rot="5400000">
          <a:off x="55177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2E0504B8-B021-454E-821B-2191E49012A1}"/>
            </a:ext>
          </a:extLst>
        </xdr:cNvPr>
        <xdr:cNvCxnSpPr/>
      </xdr:nvCxnSpPr>
      <xdr:spPr>
        <a:xfrm rot="5400000">
          <a:off x="55177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47</xdr:row>
      <xdr:rowOff>0</xdr:rowOff>
    </xdr:from>
    <xdr:to>
      <xdr:col>0</xdr:col>
      <xdr:colOff>831374</xdr:colOff>
      <xdr:row>47</xdr:row>
      <xdr:rowOff>13494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45D16D57-44CC-4401-A66D-C04D8B57D83B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809625</xdr:colOff>
      <xdr:row>3</xdr:row>
      <xdr:rowOff>142875</xdr:rowOff>
    </xdr:to>
    <xdr:pic>
      <xdr:nvPicPr>
        <xdr:cNvPr id="2091139" name="Imagen 18">
          <a:extLst>
            <a:ext uri="{FF2B5EF4-FFF2-40B4-BE49-F238E27FC236}">
              <a16:creationId xmlns:a16="http://schemas.microsoft.com/office/drawing/2014/main" id="{C8FC2D31-69CA-4BF6-9F8E-3188968EC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27717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1000125</xdr:colOff>
      <xdr:row>0</xdr:row>
      <xdr:rowOff>142875</xdr:rowOff>
    </xdr:from>
    <xdr:to>
      <xdr:col>5</xdr:col>
      <xdr:colOff>1552575</xdr:colOff>
      <xdr:row>3</xdr:row>
      <xdr:rowOff>3313</xdr:rowOff>
    </xdr:to>
    <xdr:pic>
      <xdr:nvPicPr>
        <xdr:cNvPr id="2091140" name="Imagen 19">
          <a:extLst>
            <a:ext uri="{FF2B5EF4-FFF2-40B4-BE49-F238E27FC236}">
              <a16:creationId xmlns:a16="http://schemas.microsoft.com/office/drawing/2014/main" id="{97C6D8FC-2587-48C3-8412-DF663A359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15775" y="142875"/>
          <a:ext cx="18192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C1524B1B-7E2E-407F-96EF-66C8F5A3C85B}"/>
            </a:ext>
          </a:extLst>
        </xdr:cNvPr>
        <xdr:cNvCxnSpPr/>
      </xdr:nvCxnSpPr>
      <xdr:spPr>
        <a:xfrm rot="5400000">
          <a:off x="55177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8" name="3 Conector recto">
          <a:extLst>
            <a:ext uri="{FF2B5EF4-FFF2-40B4-BE49-F238E27FC236}">
              <a16:creationId xmlns:a16="http://schemas.microsoft.com/office/drawing/2014/main" id="{355CEB48-E077-4847-9F3E-D51413B940EC}"/>
            </a:ext>
          </a:extLst>
        </xdr:cNvPr>
        <xdr:cNvCxnSpPr/>
      </xdr:nvCxnSpPr>
      <xdr:spPr>
        <a:xfrm rot="5400000">
          <a:off x="55177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47</xdr:row>
      <xdr:rowOff>0</xdr:rowOff>
    </xdr:from>
    <xdr:to>
      <xdr:col>0</xdr:col>
      <xdr:colOff>831374</xdr:colOff>
      <xdr:row>47</xdr:row>
      <xdr:rowOff>13494</xdr:rowOff>
    </xdr:to>
    <xdr:cxnSp macro="">
      <xdr:nvCxnSpPr>
        <xdr:cNvPr id="9" name="3 Conector recto">
          <a:extLst>
            <a:ext uri="{FF2B5EF4-FFF2-40B4-BE49-F238E27FC236}">
              <a16:creationId xmlns:a16="http://schemas.microsoft.com/office/drawing/2014/main" id="{2754935F-A80C-4221-8140-ECAED9AC2DFA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46</xdr:row>
      <xdr:rowOff>0</xdr:rowOff>
    </xdr:from>
    <xdr:to>
      <xdr:col>0</xdr:col>
      <xdr:colOff>815499</xdr:colOff>
      <xdr:row>46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4A17E80E-4D12-40C2-965D-070C57038116}"/>
            </a:ext>
          </a:extLst>
        </xdr:cNvPr>
        <xdr:cNvCxnSpPr/>
      </xdr:nvCxnSpPr>
      <xdr:spPr>
        <a:xfrm rot="5400000">
          <a:off x="542250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46</xdr:row>
      <xdr:rowOff>0</xdr:rowOff>
    </xdr:from>
    <xdr:to>
      <xdr:col>0</xdr:col>
      <xdr:colOff>815499</xdr:colOff>
      <xdr:row>46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578462D0-5696-4B28-BE81-0605AE63683B}"/>
            </a:ext>
          </a:extLst>
        </xdr:cNvPr>
        <xdr:cNvCxnSpPr/>
      </xdr:nvCxnSpPr>
      <xdr:spPr>
        <a:xfrm rot="5400000">
          <a:off x="542250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47</xdr:row>
      <xdr:rowOff>0</xdr:rowOff>
    </xdr:from>
    <xdr:to>
      <xdr:col>0</xdr:col>
      <xdr:colOff>815499</xdr:colOff>
      <xdr:row>47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F69BB983-C95B-4790-9007-138C4EE74D9B}"/>
            </a:ext>
          </a:extLst>
        </xdr:cNvPr>
        <xdr:cNvCxnSpPr/>
      </xdr:nvCxnSpPr>
      <xdr:spPr>
        <a:xfrm rot="5400000">
          <a:off x="539670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B70DE541-5B78-444E-ADA9-67FFCDC2C029}"/>
            </a:ext>
          </a:extLst>
        </xdr:cNvPr>
        <xdr:cNvCxnSpPr/>
      </xdr:nvCxnSpPr>
      <xdr:spPr>
        <a:xfrm rot="5400000">
          <a:off x="55177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693FD373-6097-4827-BF07-A7D99FA62C78}"/>
            </a:ext>
          </a:extLst>
        </xdr:cNvPr>
        <xdr:cNvCxnSpPr/>
      </xdr:nvCxnSpPr>
      <xdr:spPr>
        <a:xfrm rot="5400000">
          <a:off x="55177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47</xdr:row>
      <xdr:rowOff>0</xdr:rowOff>
    </xdr:from>
    <xdr:to>
      <xdr:col>0</xdr:col>
      <xdr:colOff>831374</xdr:colOff>
      <xdr:row>47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A0611218-5111-42BE-B2F4-F0391892CAE7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46</xdr:row>
      <xdr:rowOff>0</xdr:rowOff>
    </xdr:from>
    <xdr:to>
      <xdr:col>0</xdr:col>
      <xdr:colOff>815499</xdr:colOff>
      <xdr:row>46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2E4E9597-171B-4BFB-90B2-4293EABB2ADE}"/>
            </a:ext>
          </a:extLst>
        </xdr:cNvPr>
        <xdr:cNvCxnSpPr/>
      </xdr:nvCxnSpPr>
      <xdr:spPr>
        <a:xfrm rot="5400000">
          <a:off x="542250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47</xdr:row>
      <xdr:rowOff>0</xdr:rowOff>
    </xdr:from>
    <xdr:to>
      <xdr:col>0</xdr:col>
      <xdr:colOff>815499</xdr:colOff>
      <xdr:row>47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C7293454-B14D-44EE-95AC-D94A36320EE7}"/>
            </a:ext>
          </a:extLst>
        </xdr:cNvPr>
        <xdr:cNvCxnSpPr/>
      </xdr:nvCxnSpPr>
      <xdr:spPr>
        <a:xfrm rot="5400000">
          <a:off x="539670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46</xdr:row>
      <xdr:rowOff>0</xdr:rowOff>
    </xdr:from>
    <xdr:to>
      <xdr:col>3</xdr:col>
      <xdr:colOff>831374</xdr:colOff>
      <xdr:row>46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C9CC55FB-E3B2-4467-A5B9-19B64E7F4260}"/>
            </a:ext>
          </a:extLst>
        </xdr:cNvPr>
        <xdr:cNvCxnSpPr/>
      </xdr:nvCxnSpPr>
      <xdr:spPr>
        <a:xfrm rot="5400000">
          <a:off x="5609550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46</xdr:row>
      <xdr:rowOff>0</xdr:rowOff>
    </xdr:from>
    <xdr:to>
      <xdr:col>3</xdr:col>
      <xdr:colOff>831374</xdr:colOff>
      <xdr:row>46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76C5F42F-1750-48C9-A927-EA65DF59E716}"/>
            </a:ext>
          </a:extLst>
        </xdr:cNvPr>
        <xdr:cNvCxnSpPr/>
      </xdr:nvCxnSpPr>
      <xdr:spPr>
        <a:xfrm rot="5400000">
          <a:off x="5609550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47</xdr:row>
      <xdr:rowOff>0</xdr:rowOff>
    </xdr:from>
    <xdr:to>
      <xdr:col>3</xdr:col>
      <xdr:colOff>831374</xdr:colOff>
      <xdr:row>47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6980F50A-8287-48D3-B632-019B14069486}"/>
            </a:ext>
          </a:extLst>
        </xdr:cNvPr>
        <xdr:cNvCxnSpPr/>
      </xdr:nvCxnSpPr>
      <xdr:spPr>
        <a:xfrm rot="5400000">
          <a:off x="5606970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46</xdr:row>
      <xdr:rowOff>0</xdr:rowOff>
    </xdr:from>
    <xdr:to>
      <xdr:col>3</xdr:col>
      <xdr:colOff>815499</xdr:colOff>
      <xdr:row>46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D5BF4C2C-1972-449F-AB59-6C2F0B3BBA6E}"/>
            </a:ext>
          </a:extLst>
        </xdr:cNvPr>
        <xdr:cNvCxnSpPr/>
      </xdr:nvCxnSpPr>
      <xdr:spPr>
        <a:xfrm rot="5400000">
          <a:off x="560002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46</xdr:row>
      <xdr:rowOff>0</xdr:rowOff>
    </xdr:from>
    <xdr:to>
      <xdr:col>3</xdr:col>
      <xdr:colOff>815499</xdr:colOff>
      <xdr:row>46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598533A4-365D-466F-98BD-32B4D1E2554D}"/>
            </a:ext>
          </a:extLst>
        </xdr:cNvPr>
        <xdr:cNvCxnSpPr/>
      </xdr:nvCxnSpPr>
      <xdr:spPr>
        <a:xfrm rot="5400000">
          <a:off x="560002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47</xdr:row>
      <xdr:rowOff>0</xdr:rowOff>
    </xdr:from>
    <xdr:to>
      <xdr:col>3</xdr:col>
      <xdr:colOff>815499</xdr:colOff>
      <xdr:row>47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7D19BFB0-F3FC-48F0-90F5-77B634BA1516}"/>
            </a:ext>
          </a:extLst>
        </xdr:cNvPr>
        <xdr:cNvCxnSpPr/>
      </xdr:nvCxnSpPr>
      <xdr:spPr>
        <a:xfrm rot="5400000">
          <a:off x="559744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47</xdr:row>
      <xdr:rowOff>0</xdr:rowOff>
    </xdr:from>
    <xdr:to>
      <xdr:col>0</xdr:col>
      <xdr:colOff>831374</xdr:colOff>
      <xdr:row>47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1162D48A-CA20-4CC7-B71E-F4410927A543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47</xdr:row>
      <xdr:rowOff>0</xdr:rowOff>
    </xdr:from>
    <xdr:to>
      <xdr:col>0</xdr:col>
      <xdr:colOff>831374</xdr:colOff>
      <xdr:row>47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4D1E51FA-307D-4178-991E-5BE5DA19CF86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47</xdr:row>
      <xdr:rowOff>0</xdr:rowOff>
    </xdr:from>
    <xdr:to>
      <xdr:col>0</xdr:col>
      <xdr:colOff>815499</xdr:colOff>
      <xdr:row>47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8D4D83D0-CA1C-4973-A866-31441A21391C}"/>
            </a:ext>
          </a:extLst>
        </xdr:cNvPr>
        <xdr:cNvCxnSpPr/>
      </xdr:nvCxnSpPr>
      <xdr:spPr>
        <a:xfrm rot="5400000">
          <a:off x="539670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47</xdr:row>
      <xdr:rowOff>0</xdr:rowOff>
    </xdr:from>
    <xdr:to>
      <xdr:col>0</xdr:col>
      <xdr:colOff>831374</xdr:colOff>
      <xdr:row>47</xdr:row>
      <xdr:rowOff>13494</xdr:rowOff>
    </xdr:to>
    <xdr:cxnSp macro="">
      <xdr:nvCxnSpPr>
        <xdr:cNvPr id="36" name="3 Conector recto">
          <a:extLst>
            <a:ext uri="{FF2B5EF4-FFF2-40B4-BE49-F238E27FC236}">
              <a16:creationId xmlns:a16="http://schemas.microsoft.com/office/drawing/2014/main" id="{B490A946-B40D-44C8-BD45-A562E9E0B146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47</xdr:row>
      <xdr:rowOff>0</xdr:rowOff>
    </xdr:from>
    <xdr:to>
      <xdr:col>0</xdr:col>
      <xdr:colOff>815499</xdr:colOff>
      <xdr:row>47</xdr:row>
      <xdr:rowOff>13494</xdr:rowOff>
    </xdr:to>
    <xdr:cxnSp macro="">
      <xdr:nvCxnSpPr>
        <xdr:cNvPr id="39" name="3 Conector recto">
          <a:extLst>
            <a:ext uri="{FF2B5EF4-FFF2-40B4-BE49-F238E27FC236}">
              <a16:creationId xmlns:a16="http://schemas.microsoft.com/office/drawing/2014/main" id="{AD4F35FA-727D-45F9-B6B1-6220184D24B1}"/>
            </a:ext>
          </a:extLst>
        </xdr:cNvPr>
        <xdr:cNvCxnSpPr/>
      </xdr:nvCxnSpPr>
      <xdr:spPr>
        <a:xfrm rot="5400000">
          <a:off x="539670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40" name="3 Conector recto">
          <a:extLst>
            <a:ext uri="{FF2B5EF4-FFF2-40B4-BE49-F238E27FC236}">
              <a16:creationId xmlns:a16="http://schemas.microsoft.com/office/drawing/2014/main" id="{434EE69E-D6B7-4559-B926-7A58762FE944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41" name="3 Conector recto">
          <a:extLst>
            <a:ext uri="{FF2B5EF4-FFF2-40B4-BE49-F238E27FC236}">
              <a16:creationId xmlns:a16="http://schemas.microsoft.com/office/drawing/2014/main" id="{81212902-DDB8-47E7-87B4-62646BC1CB3D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809625</xdr:colOff>
      <xdr:row>3</xdr:row>
      <xdr:rowOff>142875</xdr:rowOff>
    </xdr:to>
    <xdr:pic>
      <xdr:nvPicPr>
        <xdr:cNvPr id="2091165" name="Imagen 18">
          <a:extLst>
            <a:ext uri="{FF2B5EF4-FFF2-40B4-BE49-F238E27FC236}">
              <a16:creationId xmlns:a16="http://schemas.microsoft.com/office/drawing/2014/main" id="{36CCFC67-00E9-47EE-A952-9597F4805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27717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1000125</xdr:colOff>
      <xdr:row>0</xdr:row>
      <xdr:rowOff>142875</xdr:rowOff>
    </xdr:from>
    <xdr:to>
      <xdr:col>5</xdr:col>
      <xdr:colOff>1552575</xdr:colOff>
      <xdr:row>3</xdr:row>
      <xdr:rowOff>3313</xdr:rowOff>
    </xdr:to>
    <xdr:pic>
      <xdr:nvPicPr>
        <xdr:cNvPr id="2091166" name="Imagen 19">
          <a:extLst>
            <a:ext uri="{FF2B5EF4-FFF2-40B4-BE49-F238E27FC236}">
              <a16:creationId xmlns:a16="http://schemas.microsoft.com/office/drawing/2014/main" id="{52BF8790-FC85-494C-B421-0F128A767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15775" y="142875"/>
          <a:ext cx="18192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45" name="3 Conector recto">
          <a:extLst>
            <a:ext uri="{FF2B5EF4-FFF2-40B4-BE49-F238E27FC236}">
              <a16:creationId xmlns:a16="http://schemas.microsoft.com/office/drawing/2014/main" id="{D79B9104-C5A3-4057-9920-1F67C432616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46" name="3 Conector recto">
          <a:extLst>
            <a:ext uri="{FF2B5EF4-FFF2-40B4-BE49-F238E27FC236}">
              <a16:creationId xmlns:a16="http://schemas.microsoft.com/office/drawing/2014/main" id="{B842E3E0-EA74-4BFB-B3BF-38DD541BD826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45</xdr:row>
      <xdr:rowOff>0</xdr:rowOff>
    </xdr:from>
    <xdr:to>
      <xdr:col>0</xdr:col>
      <xdr:colOff>815499</xdr:colOff>
      <xdr:row>45</xdr:row>
      <xdr:rowOff>8335</xdr:rowOff>
    </xdr:to>
    <xdr:cxnSp macro="">
      <xdr:nvCxnSpPr>
        <xdr:cNvPr id="48" name="3 Conector recto">
          <a:extLst>
            <a:ext uri="{FF2B5EF4-FFF2-40B4-BE49-F238E27FC236}">
              <a16:creationId xmlns:a16="http://schemas.microsoft.com/office/drawing/2014/main" id="{0C371B57-6401-4842-9DB7-EA1D419374BC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45</xdr:row>
      <xdr:rowOff>0</xdr:rowOff>
    </xdr:from>
    <xdr:to>
      <xdr:col>0</xdr:col>
      <xdr:colOff>815499</xdr:colOff>
      <xdr:row>45</xdr:row>
      <xdr:rowOff>8335</xdr:rowOff>
    </xdr:to>
    <xdr:cxnSp macro="">
      <xdr:nvCxnSpPr>
        <xdr:cNvPr id="49" name="3 Conector recto">
          <a:extLst>
            <a:ext uri="{FF2B5EF4-FFF2-40B4-BE49-F238E27FC236}">
              <a16:creationId xmlns:a16="http://schemas.microsoft.com/office/drawing/2014/main" id="{F5A84D08-F7F8-450A-929E-2BB4B5974E3F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46</xdr:row>
      <xdr:rowOff>0</xdr:rowOff>
    </xdr:from>
    <xdr:to>
      <xdr:col>0</xdr:col>
      <xdr:colOff>815499</xdr:colOff>
      <xdr:row>46</xdr:row>
      <xdr:rowOff>13494</xdr:rowOff>
    </xdr:to>
    <xdr:cxnSp macro="">
      <xdr:nvCxnSpPr>
        <xdr:cNvPr id="50" name="3 Conector recto">
          <a:extLst>
            <a:ext uri="{FF2B5EF4-FFF2-40B4-BE49-F238E27FC236}">
              <a16:creationId xmlns:a16="http://schemas.microsoft.com/office/drawing/2014/main" id="{D609AC7F-CC0D-4646-B6B3-167FE932D82D}"/>
            </a:ext>
          </a:extLst>
        </xdr:cNvPr>
        <xdr:cNvCxnSpPr/>
      </xdr:nvCxnSpPr>
      <xdr:spPr>
        <a:xfrm rot="5400000">
          <a:off x="5396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51" name="3 Conector recto">
          <a:extLst>
            <a:ext uri="{FF2B5EF4-FFF2-40B4-BE49-F238E27FC236}">
              <a16:creationId xmlns:a16="http://schemas.microsoft.com/office/drawing/2014/main" id="{A4A2E731-F4A4-4521-B7A3-EB7A5E646EF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52" name="3 Conector recto">
          <a:extLst>
            <a:ext uri="{FF2B5EF4-FFF2-40B4-BE49-F238E27FC236}">
              <a16:creationId xmlns:a16="http://schemas.microsoft.com/office/drawing/2014/main" id="{3B4CC043-2D28-4374-A852-F34A0EC971B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45</xdr:row>
      <xdr:rowOff>0</xdr:rowOff>
    </xdr:from>
    <xdr:to>
      <xdr:col>0</xdr:col>
      <xdr:colOff>815499</xdr:colOff>
      <xdr:row>45</xdr:row>
      <xdr:rowOff>8335</xdr:rowOff>
    </xdr:to>
    <xdr:cxnSp macro="">
      <xdr:nvCxnSpPr>
        <xdr:cNvPr id="54" name="3 Conector recto">
          <a:extLst>
            <a:ext uri="{FF2B5EF4-FFF2-40B4-BE49-F238E27FC236}">
              <a16:creationId xmlns:a16="http://schemas.microsoft.com/office/drawing/2014/main" id="{2BDF268D-1D96-438B-89D4-55BEACDCBEAD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45</xdr:row>
      <xdr:rowOff>0</xdr:rowOff>
    </xdr:from>
    <xdr:to>
      <xdr:col>0</xdr:col>
      <xdr:colOff>815499</xdr:colOff>
      <xdr:row>45</xdr:row>
      <xdr:rowOff>8335</xdr:rowOff>
    </xdr:to>
    <xdr:cxnSp macro="">
      <xdr:nvCxnSpPr>
        <xdr:cNvPr id="55" name="3 Conector recto">
          <a:extLst>
            <a:ext uri="{FF2B5EF4-FFF2-40B4-BE49-F238E27FC236}">
              <a16:creationId xmlns:a16="http://schemas.microsoft.com/office/drawing/2014/main" id="{EEEEDD53-DDDA-4361-9708-B3162BA1F0DE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46</xdr:row>
      <xdr:rowOff>0</xdr:rowOff>
    </xdr:from>
    <xdr:to>
      <xdr:col>0</xdr:col>
      <xdr:colOff>815499</xdr:colOff>
      <xdr:row>46</xdr:row>
      <xdr:rowOff>13494</xdr:rowOff>
    </xdr:to>
    <xdr:cxnSp macro="">
      <xdr:nvCxnSpPr>
        <xdr:cNvPr id="56" name="3 Conector recto">
          <a:extLst>
            <a:ext uri="{FF2B5EF4-FFF2-40B4-BE49-F238E27FC236}">
              <a16:creationId xmlns:a16="http://schemas.microsoft.com/office/drawing/2014/main" id="{596C3A72-C110-4368-BE93-7223C41EEAD5}"/>
            </a:ext>
          </a:extLst>
        </xdr:cNvPr>
        <xdr:cNvCxnSpPr/>
      </xdr:nvCxnSpPr>
      <xdr:spPr>
        <a:xfrm rot="5400000">
          <a:off x="5396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45</xdr:row>
      <xdr:rowOff>0</xdr:rowOff>
    </xdr:from>
    <xdr:to>
      <xdr:col>3</xdr:col>
      <xdr:colOff>831374</xdr:colOff>
      <xdr:row>45</xdr:row>
      <xdr:rowOff>8335</xdr:rowOff>
    </xdr:to>
    <xdr:cxnSp macro="">
      <xdr:nvCxnSpPr>
        <xdr:cNvPr id="57" name="3 Conector recto">
          <a:extLst>
            <a:ext uri="{FF2B5EF4-FFF2-40B4-BE49-F238E27FC236}">
              <a16:creationId xmlns:a16="http://schemas.microsoft.com/office/drawing/2014/main" id="{9E8E77C4-C15C-4ABA-8D64-118F9F4D766B}"/>
            </a:ext>
          </a:extLst>
        </xdr:cNvPr>
        <xdr:cNvCxnSpPr/>
      </xdr:nvCxnSpPr>
      <xdr:spPr>
        <a:xfrm rot="5400000">
          <a:off x="56095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45</xdr:row>
      <xdr:rowOff>0</xdr:rowOff>
    </xdr:from>
    <xdr:to>
      <xdr:col>3</xdr:col>
      <xdr:colOff>831374</xdr:colOff>
      <xdr:row>45</xdr:row>
      <xdr:rowOff>8335</xdr:rowOff>
    </xdr:to>
    <xdr:cxnSp macro="">
      <xdr:nvCxnSpPr>
        <xdr:cNvPr id="58" name="3 Conector recto">
          <a:extLst>
            <a:ext uri="{FF2B5EF4-FFF2-40B4-BE49-F238E27FC236}">
              <a16:creationId xmlns:a16="http://schemas.microsoft.com/office/drawing/2014/main" id="{F7AFC5DA-22F1-4F85-B9D8-BEE4E8354D88}"/>
            </a:ext>
          </a:extLst>
        </xdr:cNvPr>
        <xdr:cNvCxnSpPr/>
      </xdr:nvCxnSpPr>
      <xdr:spPr>
        <a:xfrm rot="5400000">
          <a:off x="56095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46</xdr:row>
      <xdr:rowOff>0</xdr:rowOff>
    </xdr:from>
    <xdr:to>
      <xdr:col>3</xdr:col>
      <xdr:colOff>831374</xdr:colOff>
      <xdr:row>46</xdr:row>
      <xdr:rowOff>13494</xdr:rowOff>
    </xdr:to>
    <xdr:cxnSp macro="">
      <xdr:nvCxnSpPr>
        <xdr:cNvPr id="59" name="3 Conector recto">
          <a:extLst>
            <a:ext uri="{FF2B5EF4-FFF2-40B4-BE49-F238E27FC236}">
              <a16:creationId xmlns:a16="http://schemas.microsoft.com/office/drawing/2014/main" id="{DB3B7E66-160D-4932-9275-1A26380CE207}"/>
            </a:ext>
          </a:extLst>
        </xdr:cNvPr>
        <xdr:cNvCxnSpPr/>
      </xdr:nvCxnSpPr>
      <xdr:spPr>
        <a:xfrm rot="5400000">
          <a:off x="56069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45</xdr:row>
      <xdr:rowOff>0</xdr:rowOff>
    </xdr:from>
    <xdr:to>
      <xdr:col>3</xdr:col>
      <xdr:colOff>815499</xdr:colOff>
      <xdr:row>45</xdr:row>
      <xdr:rowOff>8335</xdr:rowOff>
    </xdr:to>
    <xdr:cxnSp macro="">
      <xdr:nvCxnSpPr>
        <xdr:cNvPr id="60" name="3 Conector recto">
          <a:extLst>
            <a:ext uri="{FF2B5EF4-FFF2-40B4-BE49-F238E27FC236}">
              <a16:creationId xmlns:a16="http://schemas.microsoft.com/office/drawing/2014/main" id="{B593AFD4-78F3-4274-AC65-E7B39C05C151}"/>
            </a:ext>
          </a:extLst>
        </xdr:cNvPr>
        <xdr:cNvCxnSpPr/>
      </xdr:nvCxnSpPr>
      <xdr:spPr>
        <a:xfrm rot="5400000">
          <a:off x="560002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45</xdr:row>
      <xdr:rowOff>0</xdr:rowOff>
    </xdr:from>
    <xdr:to>
      <xdr:col>3</xdr:col>
      <xdr:colOff>815499</xdr:colOff>
      <xdr:row>45</xdr:row>
      <xdr:rowOff>8335</xdr:rowOff>
    </xdr:to>
    <xdr:cxnSp macro="">
      <xdr:nvCxnSpPr>
        <xdr:cNvPr id="61" name="3 Conector recto">
          <a:extLst>
            <a:ext uri="{FF2B5EF4-FFF2-40B4-BE49-F238E27FC236}">
              <a16:creationId xmlns:a16="http://schemas.microsoft.com/office/drawing/2014/main" id="{A3AD455C-218F-454A-98F6-E785C70DCF24}"/>
            </a:ext>
          </a:extLst>
        </xdr:cNvPr>
        <xdr:cNvCxnSpPr/>
      </xdr:nvCxnSpPr>
      <xdr:spPr>
        <a:xfrm rot="5400000">
          <a:off x="560002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46</xdr:row>
      <xdr:rowOff>0</xdr:rowOff>
    </xdr:from>
    <xdr:to>
      <xdr:col>3</xdr:col>
      <xdr:colOff>815499</xdr:colOff>
      <xdr:row>46</xdr:row>
      <xdr:rowOff>13494</xdr:rowOff>
    </xdr:to>
    <xdr:cxnSp macro="">
      <xdr:nvCxnSpPr>
        <xdr:cNvPr id="62" name="3 Conector recto">
          <a:extLst>
            <a:ext uri="{FF2B5EF4-FFF2-40B4-BE49-F238E27FC236}">
              <a16:creationId xmlns:a16="http://schemas.microsoft.com/office/drawing/2014/main" id="{E1ED5D70-9637-409A-8200-DE09E63230BC}"/>
            </a:ext>
          </a:extLst>
        </xdr:cNvPr>
        <xdr:cNvCxnSpPr/>
      </xdr:nvCxnSpPr>
      <xdr:spPr>
        <a:xfrm rot="5400000">
          <a:off x="559744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63" name="3 Conector recto">
          <a:extLst>
            <a:ext uri="{FF2B5EF4-FFF2-40B4-BE49-F238E27FC236}">
              <a16:creationId xmlns:a16="http://schemas.microsoft.com/office/drawing/2014/main" id="{63578BDD-8ADC-416E-B056-2A966E2DCCD9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64" name="3 Conector recto">
          <a:extLst>
            <a:ext uri="{FF2B5EF4-FFF2-40B4-BE49-F238E27FC236}">
              <a16:creationId xmlns:a16="http://schemas.microsoft.com/office/drawing/2014/main" id="{F16810C4-1EE5-46EA-960F-8547EB19BA1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66" name="3 Conector recto">
          <a:extLst>
            <a:ext uri="{FF2B5EF4-FFF2-40B4-BE49-F238E27FC236}">
              <a16:creationId xmlns:a16="http://schemas.microsoft.com/office/drawing/2014/main" id="{D596A83B-178D-4AD7-AFFF-0DFDB6DC2C66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67" name="3 Conector recto">
          <a:extLst>
            <a:ext uri="{FF2B5EF4-FFF2-40B4-BE49-F238E27FC236}">
              <a16:creationId xmlns:a16="http://schemas.microsoft.com/office/drawing/2014/main" id="{328526F5-3905-4298-8E62-2EBFE3799871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45</xdr:row>
      <xdr:rowOff>0</xdr:rowOff>
    </xdr:from>
    <xdr:to>
      <xdr:col>0</xdr:col>
      <xdr:colOff>815499</xdr:colOff>
      <xdr:row>45</xdr:row>
      <xdr:rowOff>8335</xdr:rowOff>
    </xdr:to>
    <xdr:cxnSp macro="">
      <xdr:nvCxnSpPr>
        <xdr:cNvPr id="69" name="3 Conector recto">
          <a:extLst>
            <a:ext uri="{FF2B5EF4-FFF2-40B4-BE49-F238E27FC236}">
              <a16:creationId xmlns:a16="http://schemas.microsoft.com/office/drawing/2014/main" id="{0A0EC898-C180-4DC5-A351-C873835FBD4A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45</xdr:row>
      <xdr:rowOff>0</xdr:rowOff>
    </xdr:from>
    <xdr:to>
      <xdr:col>0</xdr:col>
      <xdr:colOff>815499</xdr:colOff>
      <xdr:row>45</xdr:row>
      <xdr:rowOff>8335</xdr:rowOff>
    </xdr:to>
    <xdr:cxnSp macro="">
      <xdr:nvCxnSpPr>
        <xdr:cNvPr id="70" name="3 Conector recto">
          <a:extLst>
            <a:ext uri="{FF2B5EF4-FFF2-40B4-BE49-F238E27FC236}">
              <a16:creationId xmlns:a16="http://schemas.microsoft.com/office/drawing/2014/main" id="{D2EA8860-ADBD-4A5C-B8B1-78FA8A538747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46</xdr:row>
      <xdr:rowOff>0</xdr:rowOff>
    </xdr:from>
    <xdr:to>
      <xdr:col>0</xdr:col>
      <xdr:colOff>815499</xdr:colOff>
      <xdr:row>46</xdr:row>
      <xdr:rowOff>13494</xdr:rowOff>
    </xdr:to>
    <xdr:cxnSp macro="">
      <xdr:nvCxnSpPr>
        <xdr:cNvPr id="71" name="3 Conector recto">
          <a:extLst>
            <a:ext uri="{FF2B5EF4-FFF2-40B4-BE49-F238E27FC236}">
              <a16:creationId xmlns:a16="http://schemas.microsoft.com/office/drawing/2014/main" id="{1188991B-AEFC-4643-ABD8-F409BEA26DDF}"/>
            </a:ext>
          </a:extLst>
        </xdr:cNvPr>
        <xdr:cNvCxnSpPr/>
      </xdr:nvCxnSpPr>
      <xdr:spPr>
        <a:xfrm rot="5400000">
          <a:off x="5396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72" name="3 Conector recto">
          <a:extLst>
            <a:ext uri="{FF2B5EF4-FFF2-40B4-BE49-F238E27FC236}">
              <a16:creationId xmlns:a16="http://schemas.microsoft.com/office/drawing/2014/main" id="{617D0069-B598-4568-91F8-19A81E291F79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73" name="3 Conector recto">
          <a:extLst>
            <a:ext uri="{FF2B5EF4-FFF2-40B4-BE49-F238E27FC236}">
              <a16:creationId xmlns:a16="http://schemas.microsoft.com/office/drawing/2014/main" id="{9CAB6948-19B8-411F-A762-EE8041C53575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45</xdr:row>
      <xdr:rowOff>0</xdr:rowOff>
    </xdr:from>
    <xdr:to>
      <xdr:col>0</xdr:col>
      <xdr:colOff>815499</xdr:colOff>
      <xdr:row>45</xdr:row>
      <xdr:rowOff>8335</xdr:rowOff>
    </xdr:to>
    <xdr:cxnSp macro="">
      <xdr:nvCxnSpPr>
        <xdr:cNvPr id="75" name="3 Conector recto">
          <a:extLst>
            <a:ext uri="{FF2B5EF4-FFF2-40B4-BE49-F238E27FC236}">
              <a16:creationId xmlns:a16="http://schemas.microsoft.com/office/drawing/2014/main" id="{C714C53F-312C-43CC-931B-95642E1D77FF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45</xdr:row>
      <xdr:rowOff>0</xdr:rowOff>
    </xdr:from>
    <xdr:to>
      <xdr:col>0</xdr:col>
      <xdr:colOff>815499</xdr:colOff>
      <xdr:row>45</xdr:row>
      <xdr:rowOff>8335</xdr:rowOff>
    </xdr:to>
    <xdr:cxnSp macro="">
      <xdr:nvCxnSpPr>
        <xdr:cNvPr id="76" name="3 Conector recto">
          <a:extLst>
            <a:ext uri="{FF2B5EF4-FFF2-40B4-BE49-F238E27FC236}">
              <a16:creationId xmlns:a16="http://schemas.microsoft.com/office/drawing/2014/main" id="{C92AEFA2-A03C-4F8C-AA0D-436F7DE9DE2A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1609494</xdr:colOff>
      <xdr:row>42</xdr:row>
      <xdr:rowOff>58080</xdr:rowOff>
    </xdr:from>
    <xdr:to>
      <xdr:col>3</xdr:col>
      <xdr:colOff>2511674</xdr:colOff>
      <xdr:row>44</xdr:row>
      <xdr:rowOff>127775</xdr:rowOff>
    </xdr:to>
    <xdr:pic>
      <xdr:nvPicPr>
        <xdr:cNvPr id="2091194" name="Imagen 77">
          <a:extLst>
            <a:ext uri="{FF2B5EF4-FFF2-40B4-BE49-F238E27FC236}">
              <a16:creationId xmlns:a16="http://schemas.microsoft.com/office/drawing/2014/main" id="{9C7E8488-2100-4715-B3AD-A36B3781E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8823" y="9118446"/>
          <a:ext cx="902180" cy="4646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851217</xdr:colOff>
      <xdr:row>91</xdr:row>
      <xdr:rowOff>1495</xdr:rowOff>
    </xdr:from>
    <xdr:to>
      <xdr:col>0</xdr:col>
      <xdr:colOff>852805</xdr:colOff>
      <xdr:row>91</xdr:row>
      <xdr:rowOff>1495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2B5BE1A8-9E6E-4025-A0FD-61AD435BD4FB}"/>
            </a:ext>
          </a:extLst>
        </xdr:cNvPr>
        <xdr:cNvCxnSpPr/>
      </xdr:nvCxnSpPr>
      <xdr:spPr>
        <a:xfrm rot="5400000">
          <a:off x="557927" y="173430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91</xdr:row>
      <xdr:rowOff>1495</xdr:rowOff>
    </xdr:from>
    <xdr:to>
      <xdr:col>0</xdr:col>
      <xdr:colOff>852805</xdr:colOff>
      <xdr:row>91</xdr:row>
      <xdr:rowOff>1495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564BB12E-E9CB-4DA4-9925-474140CA99C4}"/>
            </a:ext>
          </a:extLst>
        </xdr:cNvPr>
        <xdr:cNvCxnSpPr/>
      </xdr:nvCxnSpPr>
      <xdr:spPr>
        <a:xfrm rot="5400000">
          <a:off x="557927" y="173430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91</xdr:row>
      <xdr:rowOff>186928</xdr:rowOff>
    </xdr:from>
    <xdr:to>
      <xdr:col>0</xdr:col>
      <xdr:colOff>842884</xdr:colOff>
      <xdr:row>92</xdr:row>
      <xdr:rowOff>1588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7E5DF1C6-94BF-4A5B-971A-2D44B7862D7C}"/>
            </a:ext>
          </a:extLst>
        </xdr:cNvPr>
        <xdr:cNvCxnSpPr/>
      </xdr:nvCxnSpPr>
      <xdr:spPr>
        <a:xfrm rot="5400000">
          <a:off x="555347" y="17536120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83</xdr:row>
      <xdr:rowOff>1564</xdr:rowOff>
    </xdr:from>
    <xdr:to>
      <xdr:col>0</xdr:col>
      <xdr:colOff>842884</xdr:colOff>
      <xdr:row>83</xdr:row>
      <xdr:rowOff>1588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6D46D05F-64BE-4038-9769-93FA2366F268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83</xdr:row>
      <xdr:rowOff>1564</xdr:rowOff>
    </xdr:from>
    <xdr:to>
      <xdr:col>0</xdr:col>
      <xdr:colOff>842884</xdr:colOff>
      <xdr:row>83</xdr:row>
      <xdr:rowOff>1588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56932FF9-0510-405E-8CAF-A06DE63973D4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851218</xdr:colOff>
      <xdr:row>84</xdr:row>
      <xdr:rowOff>232</xdr:rowOff>
    </xdr:from>
    <xdr:to>
      <xdr:col>0</xdr:col>
      <xdr:colOff>852806</xdr:colOff>
      <xdr:row>84</xdr:row>
      <xdr:rowOff>5672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6080E767-E29A-4C15-BC06-CE13323F06B9}"/>
            </a:ext>
          </a:extLst>
        </xdr:cNvPr>
        <xdr:cNvCxnSpPr/>
      </xdr:nvCxnSpPr>
      <xdr:spPr>
        <a:xfrm rot="5400000">
          <a:off x="557927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81158" name="Imagen 18">
          <a:extLst>
            <a:ext uri="{FF2B5EF4-FFF2-40B4-BE49-F238E27FC236}">
              <a16:creationId xmlns:a16="http://schemas.microsoft.com/office/drawing/2014/main" id="{CCD658B2-ABCA-43A4-BE42-3CC1D5DE5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6</xdr:col>
      <xdr:colOff>0</xdr:colOff>
      <xdr:row>2</xdr:row>
      <xdr:rowOff>457200</xdr:rowOff>
    </xdr:to>
    <xdr:pic>
      <xdr:nvPicPr>
        <xdr:cNvPr id="2081159" name="Imagen 19">
          <a:extLst>
            <a:ext uri="{FF2B5EF4-FFF2-40B4-BE49-F238E27FC236}">
              <a16:creationId xmlns:a16="http://schemas.microsoft.com/office/drawing/2014/main" id="{73C73CD4-43A3-4028-AD57-4045932A4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21717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833358</xdr:colOff>
      <xdr:row>83</xdr:row>
      <xdr:rowOff>1564</xdr:rowOff>
    </xdr:from>
    <xdr:to>
      <xdr:col>0</xdr:col>
      <xdr:colOff>842884</xdr:colOff>
      <xdr:row>83</xdr:row>
      <xdr:rowOff>1588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3CF5C2B6-AEF6-4E12-A352-D52F6E3D750B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83</xdr:row>
      <xdr:rowOff>1564</xdr:rowOff>
    </xdr:from>
    <xdr:to>
      <xdr:col>0</xdr:col>
      <xdr:colOff>842884</xdr:colOff>
      <xdr:row>83</xdr:row>
      <xdr:rowOff>1588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C7E20859-0F91-4D9E-92D6-63EE0CCF714F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851218</xdr:colOff>
      <xdr:row>84</xdr:row>
      <xdr:rowOff>232</xdr:rowOff>
    </xdr:from>
    <xdr:to>
      <xdr:col>0</xdr:col>
      <xdr:colOff>852806</xdr:colOff>
      <xdr:row>84</xdr:row>
      <xdr:rowOff>5672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8A4D8AB-4A38-466D-A2C1-8007B5E4839C}"/>
            </a:ext>
          </a:extLst>
        </xdr:cNvPr>
        <xdr:cNvCxnSpPr/>
      </xdr:nvCxnSpPr>
      <xdr:spPr>
        <a:xfrm rot="5400000">
          <a:off x="557927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83</xdr:row>
      <xdr:rowOff>1564</xdr:rowOff>
    </xdr:from>
    <xdr:to>
      <xdr:col>0</xdr:col>
      <xdr:colOff>825421</xdr:colOff>
      <xdr:row>83</xdr:row>
      <xdr:rowOff>1588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CC8B01F8-1300-4AAE-8465-E5F64BF63EEC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83</xdr:row>
      <xdr:rowOff>1564</xdr:rowOff>
    </xdr:from>
    <xdr:to>
      <xdr:col>0</xdr:col>
      <xdr:colOff>825421</xdr:colOff>
      <xdr:row>83</xdr:row>
      <xdr:rowOff>1588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D5E9551D-0A09-4F2C-B917-688475901A25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828993</xdr:colOff>
      <xdr:row>84</xdr:row>
      <xdr:rowOff>232</xdr:rowOff>
    </xdr:from>
    <xdr:to>
      <xdr:col>0</xdr:col>
      <xdr:colOff>830581</xdr:colOff>
      <xdr:row>84</xdr:row>
      <xdr:rowOff>5672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9A837889-2689-4F1D-8330-B525E61D595B}"/>
            </a:ext>
          </a:extLst>
        </xdr:cNvPr>
        <xdr:cNvCxnSpPr/>
      </xdr:nvCxnSpPr>
      <xdr:spPr>
        <a:xfrm rot="5400000">
          <a:off x="548402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83</xdr:row>
      <xdr:rowOff>1564</xdr:rowOff>
    </xdr:from>
    <xdr:to>
      <xdr:col>0</xdr:col>
      <xdr:colOff>842884</xdr:colOff>
      <xdr:row>83</xdr:row>
      <xdr:rowOff>1588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D207B1AD-5B16-46F0-8684-48D5F6D41207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83</xdr:row>
      <xdr:rowOff>1564</xdr:rowOff>
    </xdr:from>
    <xdr:to>
      <xdr:col>0</xdr:col>
      <xdr:colOff>842884</xdr:colOff>
      <xdr:row>83</xdr:row>
      <xdr:rowOff>1588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F1096C45-7730-4770-9CF1-699F57F5A1EF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851218</xdr:colOff>
      <xdr:row>84</xdr:row>
      <xdr:rowOff>232</xdr:rowOff>
    </xdr:from>
    <xdr:to>
      <xdr:col>0</xdr:col>
      <xdr:colOff>852806</xdr:colOff>
      <xdr:row>84</xdr:row>
      <xdr:rowOff>5672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60EB8064-8CB7-4E0F-8836-7A24A03A37B3}"/>
            </a:ext>
          </a:extLst>
        </xdr:cNvPr>
        <xdr:cNvCxnSpPr/>
      </xdr:nvCxnSpPr>
      <xdr:spPr>
        <a:xfrm rot="5400000">
          <a:off x="557927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83</xdr:row>
      <xdr:rowOff>1564</xdr:rowOff>
    </xdr:from>
    <xdr:to>
      <xdr:col>0</xdr:col>
      <xdr:colOff>825421</xdr:colOff>
      <xdr:row>83</xdr:row>
      <xdr:rowOff>1588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3AE67A6-9C46-4377-A7FC-3F51CD02EA17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83</xdr:row>
      <xdr:rowOff>1564</xdr:rowOff>
    </xdr:from>
    <xdr:to>
      <xdr:col>0</xdr:col>
      <xdr:colOff>825421</xdr:colOff>
      <xdr:row>83</xdr:row>
      <xdr:rowOff>1588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F428B8D-B63C-43C8-8D7A-3D69D42CE759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828993</xdr:colOff>
      <xdr:row>84</xdr:row>
      <xdr:rowOff>232</xdr:rowOff>
    </xdr:from>
    <xdr:to>
      <xdr:col>0</xdr:col>
      <xdr:colOff>830581</xdr:colOff>
      <xdr:row>84</xdr:row>
      <xdr:rowOff>5672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3586C067-BF69-4CEA-A357-99141B3F3927}"/>
            </a:ext>
          </a:extLst>
        </xdr:cNvPr>
        <xdr:cNvCxnSpPr/>
      </xdr:nvCxnSpPr>
      <xdr:spPr>
        <a:xfrm rot="5400000">
          <a:off x="548402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83</xdr:row>
      <xdr:rowOff>1564</xdr:rowOff>
    </xdr:from>
    <xdr:to>
      <xdr:col>3</xdr:col>
      <xdr:colOff>842884</xdr:colOff>
      <xdr:row>83</xdr:row>
      <xdr:rowOff>1588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A205C7A5-E1BC-4909-8287-86366DEDAF8B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83</xdr:row>
      <xdr:rowOff>1564</xdr:rowOff>
    </xdr:from>
    <xdr:to>
      <xdr:col>3</xdr:col>
      <xdr:colOff>842884</xdr:colOff>
      <xdr:row>83</xdr:row>
      <xdr:rowOff>1588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225CA30D-687B-4188-808E-11D9DD31DDA8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851218</xdr:colOff>
      <xdr:row>84</xdr:row>
      <xdr:rowOff>232</xdr:rowOff>
    </xdr:from>
    <xdr:to>
      <xdr:col>3</xdr:col>
      <xdr:colOff>852806</xdr:colOff>
      <xdr:row>84</xdr:row>
      <xdr:rowOff>5672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F6254EC5-B515-433C-8DB0-3106F0A3DF4D}"/>
            </a:ext>
          </a:extLst>
        </xdr:cNvPr>
        <xdr:cNvCxnSpPr/>
      </xdr:nvCxnSpPr>
      <xdr:spPr>
        <a:xfrm rot="5400000">
          <a:off x="5629990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83</xdr:row>
      <xdr:rowOff>1564</xdr:rowOff>
    </xdr:from>
    <xdr:to>
      <xdr:col>3</xdr:col>
      <xdr:colOff>825421</xdr:colOff>
      <xdr:row>83</xdr:row>
      <xdr:rowOff>1588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7E92EFF6-EC72-4832-AE86-00312C1298F3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83</xdr:row>
      <xdr:rowOff>1564</xdr:rowOff>
    </xdr:from>
    <xdr:to>
      <xdr:col>3</xdr:col>
      <xdr:colOff>825421</xdr:colOff>
      <xdr:row>83</xdr:row>
      <xdr:rowOff>1588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00BB9CFC-7514-4D75-92F3-FCB74FB8CDD2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828993</xdr:colOff>
      <xdr:row>84</xdr:row>
      <xdr:rowOff>232</xdr:rowOff>
    </xdr:from>
    <xdr:to>
      <xdr:col>3</xdr:col>
      <xdr:colOff>830581</xdr:colOff>
      <xdr:row>84</xdr:row>
      <xdr:rowOff>5672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74E28E87-2F7C-46E1-8705-15319F31EB58}"/>
            </a:ext>
          </a:extLst>
        </xdr:cNvPr>
        <xdr:cNvCxnSpPr/>
      </xdr:nvCxnSpPr>
      <xdr:spPr>
        <a:xfrm rot="5400000">
          <a:off x="5620465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83</xdr:row>
      <xdr:rowOff>1564</xdr:rowOff>
    </xdr:from>
    <xdr:to>
      <xdr:col>3</xdr:col>
      <xdr:colOff>842884</xdr:colOff>
      <xdr:row>83</xdr:row>
      <xdr:rowOff>1588</xdr:rowOff>
    </xdr:to>
    <xdr:cxnSp macro="">
      <xdr:nvCxnSpPr>
        <xdr:cNvPr id="34" name="3 Conector recto">
          <a:extLst>
            <a:ext uri="{FF2B5EF4-FFF2-40B4-BE49-F238E27FC236}">
              <a16:creationId xmlns:a16="http://schemas.microsoft.com/office/drawing/2014/main" id="{8F6E7607-843F-4DF9-B399-0172A11D130C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83</xdr:row>
      <xdr:rowOff>1564</xdr:rowOff>
    </xdr:from>
    <xdr:to>
      <xdr:col>3</xdr:col>
      <xdr:colOff>842884</xdr:colOff>
      <xdr:row>83</xdr:row>
      <xdr:rowOff>1588</xdr:rowOff>
    </xdr:to>
    <xdr:cxnSp macro="">
      <xdr:nvCxnSpPr>
        <xdr:cNvPr id="35" name="3 Conector recto">
          <a:extLst>
            <a:ext uri="{FF2B5EF4-FFF2-40B4-BE49-F238E27FC236}">
              <a16:creationId xmlns:a16="http://schemas.microsoft.com/office/drawing/2014/main" id="{D1CA3ACC-8592-4AEF-905D-6B592D712C8E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851218</xdr:colOff>
      <xdr:row>84</xdr:row>
      <xdr:rowOff>232</xdr:rowOff>
    </xdr:from>
    <xdr:to>
      <xdr:col>3</xdr:col>
      <xdr:colOff>852806</xdr:colOff>
      <xdr:row>84</xdr:row>
      <xdr:rowOff>5672</xdr:rowOff>
    </xdr:to>
    <xdr:cxnSp macro="">
      <xdr:nvCxnSpPr>
        <xdr:cNvPr id="36" name="3 Conector recto">
          <a:extLst>
            <a:ext uri="{FF2B5EF4-FFF2-40B4-BE49-F238E27FC236}">
              <a16:creationId xmlns:a16="http://schemas.microsoft.com/office/drawing/2014/main" id="{FCAF9431-FC24-41EA-A1F7-E89926690423}"/>
            </a:ext>
          </a:extLst>
        </xdr:cNvPr>
        <xdr:cNvCxnSpPr/>
      </xdr:nvCxnSpPr>
      <xdr:spPr>
        <a:xfrm rot="5400000">
          <a:off x="5629990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83</xdr:row>
      <xdr:rowOff>1564</xdr:rowOff>
    </xdr:from>
    <xdr:to>
      <xdr:col>3</xdr:col>
      <xdr:colOff>825421</xdr:colOff>
      <xdr:row>83</xdr:row>
      <xdr:rowOff>1588</xdr:rowOff>
    </xdr:to>
    <xdr:cxnSp macro="">
      <xdr:nvCxnSpPr>
        <xdr:cNvPr id="37" name="3 Conector recto">
          <a:extLst>
            <a:ext uri="{FF2B5EF4-FFF2-40B4-BE49-F238E27FC236}">
              <a16:creationId xmlns:a16="http://schemas.microsoft.com/office/drawing/2014/main" id="{CC10A498-0B3A-4069-B706-BF2231AC27AC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83</xdr:row>
      <xdr:rowOff>1564</xdr:rowOff>
    </xdr:from>
    <xdr:to>
      <xdr:col>3</xdr:col>
      <xdr:colOff>825421</xdr:colOff>
      <xdr:row>83</xdr:row>
      <xdr:rowOff>1588</xdr:rowOff>
    </xdr:to>
    <xdr:cxnSp macro="">
      <xdr:nvCxnSpPr>
        <xdr:cNvPr id="38" name="3 Conector recto">
          <a:extLst>
            <a:ext uri="{FF2B5EF4-FFF2-40B4-BE49-F238E27FC236}">
              <a16:creationId xmlns:a16="http://schemas.microsoft.com/office/drawing/2014/main" id="{BE97F9EE-4741-4213-83A4-F16AB0E8DC70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828993</xdr:colOff>
      <xdr:row>84</xdr:row>
      <xdr:rowOff>232</xdr:rowOff>
    </xdr:from>
    <xdr:to>
      <xdr:col>3</xdr:col>
      <xdr:colOff>830581</xdr:colOff>
      <xdr:row>84</xdr:row>
      <xdr:rowOff>5672</xdr:rowOff>
    </xdr:to>
    <xdr:cxnSp macro="">
      <xdr:nvCxnSpPr>
        <xdr:cNvPr id="39" name="3 Conector recto">
          <a:extLst>
            <a:ext uri="{FF2B5EF4-FFF2-40B4-BE49-F238E27FC236}">
              <a16:creationId xmlns:a16="http://schemas.microsoft.com/office/drawing/2014/main" id="{9286EFC1-5818-47F8-94F0-228FA0B60F4C}"/>
            </a:ext>
          </a:extLst>
        </xdr:cNvPr>
        <xdr:cNvCxnSpPr/>
      </xdr:nvCxnSpPr>
      <xdr:spPr>
        <a:xfrm rot="5400000">
          <a:off x="5620465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1276350</xdr:colOff>
      <xdr:row>79</xdr:row>
      <xdr:rowOff>66675</xdr:rowOff>
    </xdr:from>
    <xdr:to>
      <xdr:col>4</xdr:col>
      <xdr:colOff>476250</xdr:colOff>
      <xdr:row>82</xdr:row>
      <xdr:rowOff>142875</xdr:rowOff>
    </xdr:to>
    <xdr:pic>
      <xdr:nvPicPr>
        <xdr:cNvPr id="2081184" name="Imagen 77">
          <a:extLst>
            <a:ext uri="{FF2B5EF4-FFF2-40B4-BE49-F238E27FC236}">
              <a16:creationId xmlns:a16="http://schemas.microsoft.com/office/drawing/2014/main" id="{B86BABC4-7E30-46EC-BE11-A7CBFCC75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19259550"/>
          <a:ext cx="88582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104775</xdr:colOff>
      <xdr:row>1</xdr:row>
      <xdr:rowOff>0</xdr:rowOff>
    </xdr:to>
    <xdr:pic>
      <xdr:nvPicPr>
        <xdr:cNvPr id="1795850" name="Imagen 18">
          <a:extLst>
            <a:ext uri="{FF2B5EF4-FFF2-40B4-BE49-F238E27FC236}">
              <a16:creationId xmlns:a16="http://schemas.microsoft.com/office/drawing/2014/main" id="{FBF6B815-30BD-4D64-9BAA-89187A5FD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0</xdr:colOff>
      <xdr:row>0</xdr:row>
      <xdr:rowOff>238125</xdr:rowOff>
    </xdr:from>
    <xdr:to>
      <xdr:col>26</xdr:col>
      <xdr:colOff>0</xdr:colOff>
      <xdr:row>1</xdr:row>
      <xdr:rowOff>0</xdr:rowOff>
    </xdr:to>
    <xdr:pic>
      <xdr:nvPicPr>
        <xdr:cNvPr id="1795851" name="Imagen 19">
          <a:extLst>
            <a:ext uri="{FF2B5EF4-FFF2-40B4-BE49-F238E27FC236}">
              <a16:creationId xmlns:a16="http://schemas.microsoft.com/office/drawing/2014/main" id="{FAB93F81-DC30-4E80-B290-BDF003F447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45675" y="238125"/>
          <a:ext cx="11144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846852</xdr:colOff>
      <xdr:row>49</xdr:row>
      <xdr:rowOff>3344</xdr:rowOff>
    </xdr:from>
    <xdr:to>
      <xdr:col>0</xdr:col>
      <xdr:colOff>848440</xdr:colOff>
      <xdr:row>49</xdr:row>
      <xdr:rowOff>14912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730EC6BC-3D2B-4B1A-AE7B-85F32AF2AE98}"/>
            </a:ext>
          </a:extLst>
        </xdr:cNvPr>
        <xdr:cNvCxnSpPr/>
      </xdr:nvCxnSpPr>
      <xdr:spPr>
        <a:xfrm rot="5400000">
          <a:off x="553561" y="10028464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49</xdr:row>
      <xdr:rowOff>3344</xdr:rowOff>
    </xdr:from>
    <xdr:to>
      <xdr:col>0</xdr:col>
      <xdr:colOff>848440</xdr:colOff>
      <xdr:row>49</xdr:row>
      <xdr:rowOff>14912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06F86A6E-647E-4990-A7CE-2EBCE161110E}"/>
            </a:ext>
          </a:extLst>
        </xdr:cNvPr>
        <xdr:cNvCxnSpPr/>
      </xdr:nvCxnSpPr>
      <xdr:spPr>
        <a:xfrm rot="5400000">
          <a:off x="553561" y="10028464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188714</xdr:rowOff>
    </xdr:from>
    <xdr:to>
      <xdr:col>0</xdr:col>
      <xdr:colOff>833160</xdr:colOff>
      <xdr:row>50</xdr:row>
      <xdr:rowOff>3374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647D1CA2-2DE7-4362-9C2C-002A7FC5360D}"/>
            </a:ext>
          </a:extLst>
        </xdr:cNvPr>
        <xdr:cNvCxnSpPr/>
      </xdr:nvCxnSpPr>
      <xdr:spPr>
        <a:xfrm rot="5400000">
          <a:off x="553561" y="10218964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B28CC58C-01E9-4958-AECD-4597588D664B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BC52228B-13B6-4878-A4D7-7D0304BC7586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41</xdr:row>
      <xdr:rowOff>186134</xdr:rowOff>
    </xdr:from>
    <xdr:to>
      <xdr:col>0</xdr:col>
      <xdr:colOff>848440</xdr:colOff>
      <xdr:row>42</xdr:row>
      <xdr:rowOff>9128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4EF802E-79D8-40D3-8F20-A9BB82635C65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88326" name="Imagen 18">
          <a:extLst>
            <a:ext uri="{FF2B5EF4-FFF2-40B4-BE49-F238E27FC236}">
              <a16:creationId xmlns:a16="http://schemas.microsoft.com/office/drawing/2014/main" id="{404ACE70-9ACE-4EC4-903A-0B704C28E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1000125</xdr:colOff>
      <xdr:row>0</xdr:row>
      <xdr:rowOff>142875</xdr:rowOff>
    </xdr:from>
    <xdr:to>
      <xdr:col>6</xdr:col>
      <xdr:colOff>171450</xdr:colOff>
      <xdr:row>2</xdr:row>
      <xdr:rowOff>390525</xdr:rowOff>
    </xdr:to>
    <xdr:pic>
      <xdr:nvPicPr>
        <xdr:cNvPr id="2088327" name="Imagen 19">
          <a:extLst>
            <a:ext uri="{FF2B5EF4-FFF2-40B4-BE49-F238E27FC236}">
              <a16:creationId xmlns:a16="http://schemas.microsoft.com/office/drawing/2014/main" id="{203C2C28-0CBB-4BCF-B2C0-FEF692212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142875"/>
          <a:ext cx="16383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5AF83FA2-E50D-4E02-8671-991691664BFA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EEDFAA1E-CCDD-4119-8F7E-DFD2BE2FF6FA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41</xdr:row>
      <xdr:rowOff>186134</xdr:rowOff>
    </xdr:from>
    <xdr:to>
      <xdr:col>0</xdr:col>
      <xdr:colOff>848440</xdr:colOff>
      <xdr:row>42</xdr:row>
      <xdr:rowOff>9128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BABF045B-E957-4D96-9DED-62BFA25B9965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40</xdr:row>
      <xdr:rowOff>205497</xdr:rowOff>
    </xdr:from>
    <xdr:to>
      <xdr:col>0</xdr:col>
      <xdr:colOff>826810</xdr:colOff>
      <xdr:row>41</xdr:row>
      <xdr:rowOff>3374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D1AEC40-110B-4C34-9F38-F044E05E588C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40</xdr:row>
      <xdr:rowOff>205497</xdr:rowOff>
    </xdr:from>
    <xdr:to>
      <xdr:col>0</xdr:col>
      <xdr:colOff>826810</xdr:colOff>
      <xdr:row>41</xdr:row>
      <xdr:rowOff>3374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95CDC459-C130-45AE-88B0-B0C75B2832E3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41</xdr:row>
      <xdr:rowOff>186134</xdr:rowOff>
    </xdr:from>
    <xdr:to>
      <xdr:col>0</xdr:col>
      <xdr:colOff>826215</xdr:colOff>
      <xdr:row>42</xdr:row>
      <xdr:rowOff>9128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1E3079D3-44B9-47F4-AA39-5392F7D2886F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B217FC62-DD6D-4995-867F-50A7E5754243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3B99C827-42C1-4DC8-A280-B788E19337CA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41</xdr:row>
      <xdr:rowOff>186134</xdr:rowOff>
    </xdr:from>
    <xdr:to>
      <xdr:col>0</xdr:col>
      <xdr:colOff>848440</xdr:colOff>
      <xdr:row>42</xdr:row>
      <xdr:rowOff>9128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54EED885-DBC5-4056-881C-174E68584B3A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40</xdr:row>
      <xdr:rowOff>205497</xdr:rowOff>
    </xdr:from>
    <xdr:to>
      <xdr:col>0</xdr:col>
      <xdr:colOff>826810</xdr:colOff>
      <xdr:row>41</xdr:row>
      <xdr:rowOff>3374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E3CF181F-149D-49F2-860E-B5926CFC1038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40</xdr:row>
      <xdr:rowOff>205497</xdr:rowOff>
    </xdr:from>
    <xdr:to>
      <xdr:col>0</xdr:col>
      <xdr:colOff>826810</xdr:colOff>
      <xdr:row>41</xdr:row>
      <xdr:rowOff>3374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E4CB1394-3C6F-4802-9763-5570BEE8E854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41</xdr:row>
      <xdr:rowOff>186134</xdr:rowOff>
    </xdr:from>
    <xdr:to>
      <xdr:col>0</xdr:col>
      <xdr:colOff>826215</xdr:colOff>
      <xdr:row>42</xdr:row>
      <xdr:rowOff>9128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7490547F-EAF2-4924-9EF5-5D4C1B708EF4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841097</xdr:colOff>
      <xdr:row>40</xdr:row>
      <xdr:rowOff>205497</xdr:rowOff>
    </xdr:from>
    <xdr:to>
      <xdr:col>3</xdr:col>
      <xdr:colOff>842685</xdr:colOff>
      <xdr:row>41</xdr:row>
      <xdr:rowOff>3374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17618D8-FD6D-4E35-8070-A4F9BAD5CA38}"/>
            </a:ext>
          </a:extLst>
        </xdr:cNvPr>
        <xdr:cNvCxnSpPr/>
      </xdr:nvCxnSpPr>
      <xdr:spPr>
        <a:xfrm rot="5400000">
          <a:off x="5615418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841097</xdr:colOff>
      <xdr:row>40</xdr:row>
      <xdr:rowOff>205497</xdr:rowOff>
    </xdr:from>
    <xdr:to>
      <xdr:col>3</xdr:col>
      <xdr:colOff>842685</xdr:colOff>
      <xdr:row>41</xdr:row>
      <xdr:rowOff>3374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E31859BB-533E-4DC9-BBBE-B38AC8B93845}"/>
            </a:ext>
          </a:extLst>
        </xdr:cNvPr>
        <xdr:cNvCxnSpPr/>
      </xdr:nvCxnSpPr>
      <xdr:spPr>
        <a:xfrm rot="5400000">
          <a:off x="5615418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846852</xdr:colOff>
      <xdr:row>41</xdr:row>
      <xdr:rowOff>186134</xdr:rowOff>
    </xdr:from>
    <xdr:to>
      <xdr:col>3</xdr:col>
      <xdr:colOff>848440</xdr:colOff>
      <xdr:row>42</xdr:row>
      <xdr:rowOff>9128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D649B350-B8BC-490B-B708-E3AEA4484C0F}"/>
            </a:ext>
          </a:extLst>
        </xdr:cNvPr>
        <xdr:cNvCxnSpPr/>
      </xdr:nvCxnSpPr>
      <xdr:spPr>
        <a:xfrm rot="5400000">
          <a:off x="5615418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40</xdr:row>
      <xdr:rowOff>205497</xdr:rowOff>
    </xdr:from>
    <xdr:to>
      <xdr:col>3</xdr:col>
      <xdr:colOff>817285</xdr:colOff>
      <xdr:row>41</xdr:row>
      <xdr:rowOff>3374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22CB4782-2A7B-44A4-8243-C076E724ACA2}"/>
            </a:ext>
          </a:extLst>
        </xdr:cNvPr>
        <xdr:cNvCxnSpPr/>
      </xdr:nvCxnSpPr>
      <xdr:spPr>
        <a:xfrm rot="5400000">
          <a:off x="5605893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40</xdr:row>
      <xdr:rowOff>205497</xdr:rowOff>
    </xdr:from>
    <xdr:to>
      <xdr:col>3</xdr:col>
      <xdr:colOff>817285</xdr:colOff>
      <xdr:row>41</xdr:row>
      <xdr:rowOff>3374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C3A584C9-69B8-491A-B500-70AE1BAD6721}"/>
            </a:ext>
          </a:extLst>
        </xdr:cNvPr>
        <xdr:cNvCxnSpPr/>
      </xdr:nvCxnSpPr>
      <xdr:spPr>
        <a:xfrm rot="5400000">
          <a:off x="5605893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834152</xdr:colOff>
      <xdr:row>41</xdr:row>
      <xdr:rowOff>186134</xdr:rowOff>
    </xdr:from>
    <xdr:to>
      <xdr:col>3</xdr:col>
      <xdr:colOff>835740</xdr:colOff>
      <xdr:row>42</xdr:row>
      <xdr:rowOff>9128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2A9DF25B-4A8B-471E-8E4D-62C6F52866D0}"/>
            </a:ext>
          </a:extLst>
        </xdr:cNvPr>
        <xdr:cNvCxnSpPr/>
      </xdr:nvCxnSpPr>
      <xdr:spPr>
        <a:xfrm rot="5400000">
          <a:off x="5605893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37E791C2-6F1B-4BFB-B4F4-09F4EA2A5130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60EFC3AA-115F-4883-A146-3F30FE825148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41</xdr:row>
      <xdr:rowOff>186134</xdr:rowOff>
    </xdr:from>
    <xdr:to>
      <xdr:col>0</xdr:col>
      <xdr:colOff>848440</xdr:colOff>
      <xdr:row>42</xdr:row>
      <xdr:rowOff>9128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34292DA3-18AD-4857-A63F-C0249CC845A9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06283CD0-3111-4DED-B95F-83DA2C369299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10757DE3-4383-48F9-B557-19E69348695D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41</xdr:row>
      <xdr:rowOff>186134</xdr:rowOff>
    </xdr:from>
    <xdr:to>
      <xdr:col>0</xdr:col>
      <xdr:colOff>848440</xdr:colOff>
      <xdr:row>42</xdr:row>
      <xdr:rowOff>9128</xdr:rowOff>
    </xdr:to>
    <xdr:cxnSp macro="">
      <xdr:nvCxnSpPr>
        <xdr:cNvPr id="34" name="3 Conector recto">
          <a:extLst>
            <a:ext uri="{FF2B5EF4-FFF2-40B4-BE49-F238E27FC236}">
              <a16:creationId xmlns:a16="http://schemas.microsoft.com/office/drawing/2014/main" id="{AB52C048-969F-40C6-A6C7-15AE8EC49405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40</xdr:row>
      <xdr:rowOff>205497</xdr:rowOff>
    </xdr:from>
    <xdr:to>
      <xdr:col>0</xdr:col>
      <xdr:colOff>826810</xdr:colOff>
      <xdr:row>41</xdr:row>
      <xdr:rowOff>3374</xdr:rowOff>
    </xdr:to>
    <xdr:cxnSp macro="">
      <xdr:nvCxnSpPr>
        <xdr:cNvPr id="35" name="3 Conector recto">
          <a:extLst>
            <a:ext uri="{FF2B5EF4-FFF2-40B4-BE49-F238E27FC236}">
              <a16:creationId xmlns:a16="http://schemas.microsoft.com/office/drawing/2014/main" id="{190E6130-938A-4E80-B1C2-8695BDA1B4DE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40</xdr:row>
      <xdr:rowOff>205497</xdr:rowOff>
    </xdr:from>
    <xdr:to>
      <xdr:col>0</xdr:col>
      <xdr:colOff>826810</xdr:colOff>
      <xdr:row>41</xdr:row>
      <xdr:rowOff>3374</xdr:rowOff>
    </xdr:to>
    <xdr:cxnSp macro="">
      <xdr:nvCxnSpPr>
        <xdr:cNvPr id="36" name="3 Conector recto">
          <a:extLst>
            <a:ext uri="{FF2B5EF4-FFF2-40B4-BE49-F238E27FC236}">
              <a16:creationId xmlns:a16="http://schemas.microsoft.com/office/drawing/2014/main" id="{42B253DE-7354-4A71-96CD-4A421CFEC5CE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41</xdr:row>
      <xdr:rowOff>186134</xdr:rowOff>
    </xdr:from>
    <xdr:to>
      <xdr:col>0</xdr:col>
      <xdr:colOff>826215</xdr:colOff>
      <xdr:row>42</xdr:row>
      <xdr:rowOff>9128</xdr:rowOff>
    </xdr:to>
    <xdr:cxnSp macro="">
      <xdr:nvCxnSpPr>
        <xdr:cNvPr id="37" name="3 Conector recto">
          <a:extLst>
            <a:ext uri="{FF2B5EF4-FFF2-40B4-BE49-F238E27FC236}">
              <a16:creationId xmlns:a16="http://schemas.microsoft.com/office/drawing/2014/main" id="{7A63FBDA-77D3-4F61-9E5D-B21A757E6798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38" name="3 Conector recto">
          <a:extLst>
            <a:ext uri="{FF2B5EF4-FFF2-40B4-BE49-F238E27FC236}">
              <a16:creationId xmlns:a16="http://schemas.microsoft.com/office/drawing/2014/main" id="{AEE97616-E74F-456D-B57E-917509E0C7C4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40</xdr:row>
      <xdr:rowOff>205497</xdr:rowOff>
    </xdr:from>
    <xdr:to>
      <xdr:col>0</xdr:col>
      <xdr:colOff>833160</xdr:colOff>
      <xdr:row>41</xdr:row>
      <xdr:rowOff>3374</xdr:rowOff>
    </xdr:to>
    <xdr:cxnSp macro="">
      <xdr:nvCxnSpPr>
        <xdr:cNvPr id="39" name="3 Conector recto">
          <a:extLst>
            <a:ext uri="{FF2B5EF4-FFF2-40B4-BE49-F238E27FC236}">
              <a16:creationId xmlns:a16="http://schemas.microsoft.com/office/drawing/2014/main" id="{1973BD05-26D2-4711-B52C-2C6FED5049D4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41</xdr:row>
      <xdr:rowOff>186134</xdr:rowOff>
    </xdr:from>
    <xdr:to>
      <xdr:col>0</xdr:col>
      <xdr:colOff>848440</xdr:colOff>
      <xdr:row>42</xdr:row>
      <xdr:rowOff>9128</xdr:rowOff>
    </xdr:to>
    <xdr:cxnSp macro="">
      <xdr:nvCxnSpPr>
        <xdr:cNvPr id="40" name="3 Conector recto">
          <a:extLst>
            <a:ext uri="{FF2B5EF4-FFF2-40B4-BE49-F238E27FC236}">
              <a16:creationId xmlns:a16="http://schemas.microsoft.com/office/drawing/2014/main" id="{A2718029-941E-4D11-AAD7-96EA8EBB4FB6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40</xdr:row>
      <xdr:rowOff>205497</xdr:rowOff>
    </xdr:from>
    <xdr:to>
      <xdr:col>0</xdr:col>
      <xdr:colOff>826810</xdr:colOff>
      <xdr:row>41</xdr:row>
      <xdr:rowOff>3374</xdr:rowOff>
    </xdr:to>
    <xdr:cxnSp macro="">
      <xdr:nvCxnSpPr>
        <xdr:cNvPr id="41" name="3 Conector recto">
          <a:extLst>
            <a:ext uri="{FF2B5EF4-FFF2-40B4-BE49-F238E27FC236}">
              <a16:creationId xmlns:a16="http://schemas.microsoft.com/office/drawing/2014/main" id="{5DC83DD0-0F37-4470-BF2D-F28D6605B0B1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40</xdr:row>
      <xdr:rowOff>205497</xdr:rowOff>
    </xdr:from>
    <xdr:to>
      <xdr:col>0</xdr:col>
      <xdr:colOff>826810</xdr:colOff>
      <xdr:row>41</xdr:row>
      <xdr:rowOff>3374</xdr:rowOff>
    </xdr:to>
    <xdr:cxnSp macro="">
      <xdr:nvCxnSpPr>
        <xdr:cNvPr id="42" name="3 Conector recto">
          <a:extLst>
            <a:ext uri="{FF2B5EF4-FFF2-40B4-BE49-F238E27FC236}">
              <a16:creationId xmlns:a16="http://schemas.microsoft.com/office/drawing/2014/main" id="{910D5430-AE79-495C-BBB4-28F4B91F2138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41</xdr:row>
      <xdr:rowOff>186134</xdr:rowOff>
    </xdr:from>
    <xdr:to>
      <xdr:col>0</xdr:col>
      <xdr:colOff>826215</xdr:colOff>
      <xdr:row>42</xdr:row>
      <xdr:rowOff>9128</xdr:rowOff>
    </xdr:to>
    <xdr:cxnSp macro="">
      <xdr:nvCxnSpPr>
        <xdr:cNvPr id="43" name="3 Conector recto">
          <a:extLst>
            <a:ext uri="{FF2B5EF4-FFF2-40B4-BE49-F238E27FC236}">
              <a16:creationId xmlns:a16="http://schemas.microsoft.com/office/drawing/2014/main" id="{BF49F1BF-8F14-46E0-B42D-4DBFC05A393B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1340643</xdr:colOff>
      <xdr:row>5</xdr:row>
      <xdr:rowOff>-1</xdr:rowOff>
    </xdr:from>
    <xdr:to>
      <xdr:col>7</xdr:col>
      <xdr:colOff>1008615</xdr:colOff>
      <xdr:row>6</xdr:row>
      <xdr:rowOff>4534</xdr:rowOff>
    </xdr:to>
    <xdr:sp macro="[0]!insertar_fila" textlink="">
      <xdr:nvSpPr>
        <xdr:cNvPr id="9" name="Rectángulo: esquinas redondeadas 8">
          <a:extLst>
            <a:ext uri="{FF2B5EF4-FFF2-40B4-BE49-F238E27FC236}">
              <a16:creationId xmlns:a16="http://schemas.microsoft.com/office/drawing/2014/main" id="{A731044C-7351-40B5-A0A2-506FB92CFA72}"/>
            </a:ext>
          </a:extLst>
        </xdr:cNvPr>
        <xdr:cNvSpPr/>
      </xdr:nvSpPr>
      <xdr:spPr>
        <a:xfrm>
          <a:off x="10132218" y="1976437"/>
          <a:ext cx="1047750" cy="404812"/>
        </a:xfrm>
        <a:prstGeom prst="roundRect">
          <a:avLst/>
        </a:prstGeom>
        <a:noFill/>
        <a:effectLst>
          <a:glow rad="38100">
            <a:schemeClr val="tx2">
              <a:lumMod val="40000"/>
              <a:lumOff val="60000"/>
              <a:alpha val="9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>
              <a:solidFill>
                <a:schemeClr val="tx1"/>
              </a:solidFill>
              <a:latin typeface="+mn-lt"/>
              <a:cs typeface="Aharoni" panose="02010803020104030203" pitchFamily="2" charset="-79"/>
            </a:rPr>
            <a:t>INSERTAR </a:t>
          </a:r>
          <a:endParaRPr lang="es-CO" sz="1100">
            <a:solidFill>
              <a:schemeClr val="tx1"/>
            </a:solidFill>
            <a:latin typeface="+mn-lt"/>
            <a:cs typeface="Aharoni" panose="02010803020104030203" pitchFamily="2" charset="-79"/>
          </a:endParaRPr>
        </a:p>
      </xdr:txBody>
    </xdr:sp>
    <xdr:clientData/>
  </xdr:twoCellAnchor>
  <xdr:twoCellAnchor>
    <xdr:from>
      <xdr:col>3</xdr:col>
      <xdr:colOff>841097</xdr:colOff>
      <xdr:row>47</xdr:row>
      <xdr:rowOff>5925</xdr:rowOff>
    </xdr:from>
    <xdr:to>
      <xdr:col>3</xdr:col>
      <xdr:colOff>842685</xdr:colOff>
      <xdr:row>47</xdr:row>
      <xdr:rowOff>3374</xdr:rowOff>
    </xdr:to>
    <xdr:cxnSp macro="">
      <xdr:nvCxnSpPr>
        <xdr:cNvPr id="44" name="3 Conector recto">
          <a:extLst>
            <a:ext uri="{FF2B5EF4-FFF2-40B4-BE49-F238E27FC236}">
              <a16:creationId xmlns:a16="http://schemas.microsoft.com/office/drawing/2014/main" id="{B70BFC12-122A-4C0F-925D-44D391506F4C}"/>
            </a:ext>
          </a:extLst>
        </xdr:cNvPr>
        <xdr:cNvCxnSpPr/>
      </xdr:nvCxnSpPr>
      <xdr:spPr>
        <a:xfrm rot="5400000">
          <a:off x="5615418" y="9620250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841097</xdr:colOff>
      <xdr:row>47</xdr:row>
      <xdr:rowOff>5925</xdr:rowOff>
    </xdr:from>
    <xdr:to>
      <xdr:col>3</xdr:col>
      <xdr:colOff>842685</xdr:colOff>
      <xdr:row>47</xdr:row>
      <xdr:rowOff>3374</xdr:rowOff>
    </xdr:to>
    <xdr:cxnSp macro="">
      <xdr:nvCxnSpPr>
        <xdr:cNvPr id="45" name="3 Conector recto">
          <a:extLst>
            <a:ext uri="{FF2B5EF4-FFF2-40B4-BE49-F238E27FC236}">
              <a16:creationId xmlns:a16="http://schemas.microsoft.com/office/drawing/2014/main" id="{79D3A739-C88D-4224-B54B-0B9CCC855F37}"/>
            </a:ext>
          </a:extLst>
        </xdr:cNvPr>
        <xdr:cNvCxnSpPr/>
      </xdr:nvCxnSpPr>
      <xdr:spPr>
        <a:xfrm rot="5400000">
          <a:off x="5615418" y="9620250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846852</xdr:colOff>
      <xdr:row>48</xdr:row>
      <xdr:rowOff>3345</xdr:rowOff>
    </xdr:from>
    <xdr:to>
      <xdr:col>3</xdr:col>
      <xdr:colOff>848440</xdr:colOff>
      <xdr:row>48</xdr:row>
      <xdr:rowOff>9128</xdr:rowOff>
    </xdr:to>
    <xdr:cxnSp macro="">
      <xdr:nvCxnSpPr>
        <xdr:cNvPr id="46" name="3 Conector recto">
          <a:extLst>
            <a:ext uri="{FF2B5EF4-FFF2-40B4-BE49-F238E27FC236}">
              <a16:creationId xmlns:a16="http://schemas.microsoft.com/office/drawing/2014/main" id="{A5269DA8-E11F-4E55-88AE-82A2C37CCCCC}"/>
            </a:ext>
          </a:extLst>
        </xdr:cNvPr>
        <xdr:cNvCxnSpPr/>
      </xdr:nvCxnSpPr>
      <xdr:spPr>
        <a:xfrm rot="5400000">
          <a:off x="5615418" y="9824357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47</xdr:row>
      <xdr:rowOff>5925</xdr:rowOff>
    </xdr:from>
    <xdr:to>
      <xdr:col>3</xdr:col>
      <xdr:colOff>817285</xdr:colOff>
      <xdr:row>47</xdr:row>
      <xdr:rowOff>3374</xdr:rowOff>
    </xdr:to>
    <xdr:cxnSp macro="">
      <xdr:nvCxnSpPr>
        <xdr:cNvPr id="47" name="3 Conector recto">
          <a:extLst>
            <a:ext uri="{FF2B5EF4-FFF2-40B4-BE49-F238E27FC236}">
              <a16:creationId xmlns:a16="http://schemas.microsoft.com/office/drawing/2014/main" id="{943092B6-5FE0-476F-AD59-41E478FC498B}"/>
            </a:ext>
          </a:extLst>
        </xdr:cNvPr>
        <xdr:cNvCxnSpPr/>
      </xdr:nvCxnSpPr>
      <xdr:spPr>
        <a:xfrm rot="5400000">
          <a:off x="5605893" y="9620250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47</xdr:row>
      <xdr:rowOff>5925</xdr:rowOff>
    </xdr:from>
    <xdr:to>
      <xdr:col>3</xdr:col>
      <xdr:colOff>817285</xdr:colOff>
      <xdr:row>47</xdr:row>
      <xdr:rowOff>3374</xdr:rowOff>
    </xdr:to>
    <xdr:cxnSp macro="">
      <xdr:nvCxnSpPr>
        <xdr:cNvPr id="48" name="3 Conector recto">
          <a:extLst>
            <a:ext uri="{FF2B5EF4-FFF2-40B4-BE49-F238E27FC236}">
              <a16:creationId xmlns:a16="http://schemas.microsoft.com/office/drawing/2014/main" id="{622C84FC-CCD0-4098-9F8C-D5F3C8CBC9A5}"/>
            </a:ext>
          </a:extLst>
        </xdr:cNvPr>
        <xdr:cNvCxnSpPr/>
      </xdr:nvCxnSpPr>
      <xdr:spPr>
        <a:xfrm rot="5400000">
          <a:off x="5605893" y="9620250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834152</xdr:colOff>
      <xdr:row>48</xdr:row>
      <xdr:rowOff>3345</xdr:rowOff>
    </xdr:from>
    <xdr:to>
      <xdr:col>3</xdr:col>
      <xdr:colOff>835740</xdr:colOff>
      <xdr:row>48</xdr:row>
      <xdr:rowOff>9128</xdr:rowOff>
    </xdr:to>
    <xdr:cxnSp macro="">
      <xdr:nvCxnSpPr>
        <xdr:cNvPr id="49" name="3 Conector recto">
          <a:extLst>
            <a:ext uri="{FF2B5EF4-FFF2-40B4-BE49-F238E27FC236}">
              <a16:creationId xmlns:a16="http://schemas.microsoft.com/office/drawing/2014/main" id="{89AB3DAB-4D99-4968-A69E-B32CD35EBB06}"/>
            </a:ext>
          </a:extLst>
        </xdr:cNvPr>
        <xdr:cNvCxnSpPr/>
      </xdr:nvCxnSpPr>
      <xdr:spPr>
        <a:xfrm rot="5400000">
          <a:off x="5605893" y="9824357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1676400</xdr:colOff>
      <xdr:row>36</xdr:row>
      <xdr:rowOff>180975</xdr:rowOff>
    </xdr:from>
    <xdr:to>
      <xdr:col>4</xdr:col>
      <xdr:colOff>857250</xdr:colOff>
      <xdr:row>39</xdr:row>
      <xdr:rowOff>200026</xdr:rowOff>
    </xdr:to>
    <xdr:pic>
      <xdr:nvPicPr>
        <xdr:cNvPr id="2088368" name="Imagen 77">
          <a:extLst>
            <a:ext uri="{FF2B5EF4-FFF2-40B4-BE49-F238E27FC236}">
              <a16:creationId xmlns:a16="http://schemas.microsoft.com/office/drawing/2014/main" id="{C15C31A5-B103-48AC-9BAD-9082D8FF1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9353550"/>
          <a:ext cx="8667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26988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998FE9A5-EB19-4919-91F3-26301CD413A0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26988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9D9DED72-EB2E-4494-A994-E1087D671337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38</xdr:row>
      <xdr:rowOff>0</xdr:rowOff>
    </xdr:from>
    <xdr:to>
      <xdr:col>0</xdr:col>
      <xdr:colOff>831374</xdr:colOff>
      <xdr:row>38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83389259-1B92-46A1-8A73-ABCDFB760D6F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096A9E31-AE09-43A8-894D-527F39B86A1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8B536602-F81A-418A-A6C4-AF331811B26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FDC57511-658C-4652-B6BC-CD5C0A00487A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82182" name="Imagen 18">
          <a:extLst>
            <a:ext uri="{FF2B5EF4-FFF2-40B4-BE49-F238E27FC236}">
              <a16:creationId xmlns:a16="http://schemas.microsoft.com/office/drawing/2014/main" id="{D13AFF75-2771-4BA4-B07F-6D3C3C9D4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82183" name="Imagen 19">
          <a:extLst>
            <a:ext uri="{FF2B5EF4-FFF2-40B4-BE49-F238E27FC236}">
              <a16:creationId xmlns:a16="http://schemas.microsoft.com/office/drawing/2014/main" id="{233D170C-6C46-4EBB-94D3-DC6DD6A34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7699ADBA-41A2-4D45-A102-F95290FF602F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30102244-E925-4ED8-9E21-7F90B8F6E6C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F7829AD-62A4-4FC5-BE3E-D1C8A1FC3C43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F000021C-B839-456D-BD1F-C09A5B458287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2AC3DF9F-2827-4CCA-ADAF-33B1160A04AF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A0B38C66-6DA3-450F-A8A1-DC093EB45AB4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3CE693CE-3F2B-4703-8CC2-266E8094F25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7A3BB4C0-9BA8-46DE-854F-98AC6556B3A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CFF8710C-B5C8-45DC-A09F-D0BCAA59059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CBF25709-0A80-4833-98F1-EB31D1CD297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B43F20AF-478F-4117-BA95-26328090E1A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F190BFA3-E907-4FE4-B433-57B3EFF2B6D7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0D7EC04-647E-4CD5-BE19-C713CDA15925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EF57FE0B-0E51-4370-ACC0-62AAE00A1AF6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29</xdr:row>
      <xdr:rowOff>0</xdr:rowOff>
    </xdr:from>
    <xdr:to>
      <xdr:col>3</xdr:col>
      <xdr:colOff>831374</xdr:colOff>
      <xdr:row>29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4C1C6C58-79D2-4F0A-B0BD-B0078731D9D5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E0789622-8374-45CF-A333-F4B1E42AA1AA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B06B358F-A46B-4DE3-8F10-100D8B361FC0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29</xdr:row>
      <xdr:rowOff>0</xdr:rowOff>
    </xdr:from>
    <xdr:to>
      <xdr:col>3</xdr:col>
      <xdr:colOff>825024</xdr:colOff>
      <xdr:row>29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4CE4412B-9ABF-4CDD-905C-86A14CBDA0D9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35</xdr:row>
      <xdr:rowOff>0</xdr:rowOff>
    </xdr:from>
    <xdr:to>
      <xdr:col>3</xdr:col>
      <xdr:colOff>831374</xdr:colOff>
      <xdr:row>35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07BE42C7-C54B-4817-B793-FF66188ABBA4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35</xdr:row>
      <xdr:rowOff>0</xdr:rowOff>
    </xdr:from>
    <xdr:to>
      <xdr:col>3</xdr:col>
      <xdr:colOff>831374</xdr:colOff>
      <xdr:row>35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67AC2847-60BE-40F7-9648-7288E43DFD50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36</xdr:row>
      <xdr:rowOff>0</xdr:rowOff>
    </xdr:from>
    <xdr:to>
      <xdr:col>3</xdr:col>
      <xdr:colOff>831374</xdr:colOff>
      <xdr:row>36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EBDB5BDF-9413-4FEF-ADE3-27A0FA4B08C9}"/>
            </a:ext>
          </a:extLst>
        </xdr:cNvPr>
        <xdr:cNvCxnSpPr/>
      </xdr:nvCxnSpPr>
      <xdr:spPr>
        <a:xfrm rot="5400000">
          <a:off x="5606970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35</xdr:row>
      <xdr:rowOff>0</xdr:rowOff>
    </xdr:from>
    <xdr:to>
      <xdr:col>3</xdr:col>
      <xdr:colOff>825024</xdr:colOff>
      <xdr:row>35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7F76C3D8-778E-426A-8422-6ED448578F0F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35</xdr:row>
      <xdr:rowOff>0</xdr:rowOff>
    </xdr:from>
    <xdr:to>
      <xdr:col>3</xdr:col>
      <xdr:colOff>825024</xdr:colOff>
      <xdr:row>35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CE24EF71-F496-405D-B303-9C534718A6F2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36</xdr:row>
      <xdr:rowOff>0</xdr:rowOff>
    </xdr:from>
    <xdr:to>
      <xdr:col>3</xdr:col>
      <xdr:colOff>825024</xdr:colOff>
      <xdr:row>36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7C59BF13-5728-400B-9D54-C8DB20883A6B}"/>
            </a:ext>
          </a:extLst>
        </xdr:cNvPr>
        <xdr:cNvCxnSpPr/>
      </xdr:nvCxnSpPr>
      <xdr:spPr>
        <a:xfrm rot="5400000">
          <a:off x="5597445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1452562</xdr:colOff>
      <xdr:row>37</xdr:row>
      <xdr:rowOff>26194</xdr:rowOff>
    </xdr:from>
    <xdr:to>
      <xdr:col>4</xdr:col>
      <xdr:colOff>642937</xdr:colOff>
      <xdr:row>40</xdr:row>
      <xdr:rowOff>92869</xdr:rowOff>
    </xdr:to>
    <xdr:pic>
      <xdr:nvPicPr>
        <xdr:cNvPr id="2082208" name="Imagen 77">
          <a:extLst>
            <a:ext uri="{FF2B5EF4-FFF2-40B4-BE49-F238E27FC236}">
              <a16:creationId xmlns:a16="http://schemas.microsoft.com/office/drawing/2014/main" id="{383D46A9-745A-4EBF-A9EE-9B14FA6B4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4625" y="9551194"/>
          <a:ext cx="881062" cy="673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F5CD587A-9441-44CF-AA17-9781C8FD1CBD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60B8D54C-C206-4119-8007-80FDCCCB4AF9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16670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5B15F3D3-A9D3-4D04-9C0A-9833D221A4DD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7DFE552C-071D-44A7-8D87-BFDCE11402E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7D70A2AD-800E-4927-845B-0F785D7824A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FA1588A9-7887-4F35-B1F3-433C102C0E90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89094" name="Imagen 18">
          <a:extLst>
            <a:ext uri="{FF2B5EF4-FFF2-40B4-BE49-F238E27FC236}">
              <a16:creationId xmlns:a16="http://schemas.microsoft.com/office/drawing/2014/main" id="{F873E820-FACC-4B5A-B5D0-4E9E66D21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89095" name="Imagen 19">
          <a:extLst>
            <a:ext uri="{FF2B5EF4-FFF2-40B4-BE49-F238E27FC236}">
              <a16:creationId xmlns:a16="http://schemas.microsoft.com/office/drawing/2014/main" id="{85112557-1EFE-4240-A8AB-8A3E26041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5CD219D7-84B4-49CC-80C8-B1C5009C20A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B6DBEAD6-7126-4EED-A93B-552D1BF96C4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511EF58A-1B13-49D7-AB26-739684F3F60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E2F8A0B5-C067-4BB3-8DB8-53158E3A7DB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691C12E1-C56B-4A40-AD3C-B1FEA0125637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71CA8B0-C613-4275-88C3-686385F7309B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6C1CF663-DCA9-4D6B-9060-6F5BA4295A0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5320A5C5-A799-495F-831F-3741A9C4475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AE9C64AB-6798-499B-B958-9714462FE9B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6E65C89B-9043-43D1-B927-52200B86EDA6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EB14F0AB-A4D2-4458-9BCB-5044E21FB3B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B06656FA-DEA2-46A4-98A1-1281E05DE43C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25D32D89-392C-4588-B2FC-51D8A6427E3F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5AD2FFF4-05DE-46CB-AFE4-022A3B0B2508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29</xdr:row>
      <xdr:rowOff>0</xdr:rowOff>
    </xdr:from>
    <xdr:to>
      <xdr:col>3</xdr:col>
      <xdr:colOff>831374</xdr:colOff>
      <xdr:row>29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804E09E2-D960-4D32-B837-B5D96CC11FD7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D6B8C593-DA30-481C-A0CC-2BEB67EE5217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38B9A918-C6AC-4261-B890-7CAA3A043538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29</xdr:row>
      <xdr:rowOff>0</xdr:rowOff>
    </xdr:from>
    <xdr:to>
      <xdr:col>3</xdr:col>
      <xdr:colOff>825024</xdr:colOff>
      <xdr:row>29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C7D92A52-EFC0-4662-A102-C8C02A3195FD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1296794</xdr:colOff>
      <xdr:row>37</xdr:row>
      <xdr:rowOff>40190</xdr:rowOff>
    </xdr:from>
    <xdr:to>
      <xdr:col>4</xdr:col>
      <xdr:colOff>487169</xdr:colOff>
      <xdr:row>40</xdr:row>
      <xdr:rowOff>154491</xdr:rowOff>
    </xdr:to>
    <xdr:pic>
      <xdr:nvPicPr>
        <xdr:cNvPr id="2089114" name="Imagen 77">
          <a:extLst>
            <a:ext uri="{FF2B5EF4-FFF2-40B4-BE49-F238E27FC236}">
              <a16:creationId xmlns:a16="http://schemas.microsoft.com/office/drawing/2014/main" id="{7800A278-EB3A-4181-A3AA-971EFA7DD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9690" y="9751044"/>
          <a:ext cx="874674" cy="706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7B0EC653-2D69-4AFF-BB38-0FD6B5707192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1CB38210-6A31-4F70-A045-D849948763CE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16670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97BB9AB8-5A86-458A-B66E-3C31C090EA5F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5675CB58-B7F7-4E29-A468-C81E7EA532A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2C63826B-8670-4AB5-81E1-80E9F4C38B1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E7A3B2C-622F-48D9-9C10-47900C9B7D36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83206" name="Imagen 18">
          <a:extLst>
            <a:ext uri="{FF2B5EF4-FFF2-40B4-BE49-F238E27FC236}">
              <a16:creationId xmlns:a16="http://schemas.microsoft.com/office/drawing/2014/main" id="{5D80D76C-F63D-48A0-95ED-D687D8071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83207" name="Imagen 19">
          <a:extLst>
            <a:ext uri="{FF2B5EF4-FFF2-40B4-BE49-F238E27FC236}">
              <a16:creationId xmlns:a16="http://schemas.microsoft.com/office/drawing/2014/main" id="{111CA7AC-829C-4807-9118-974BE03E6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4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B4836501-02DC-4723-8EE1-14FA57E6008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26AB1159-0858-4762-B51D-71DB7562EC5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22E82F52-E64F-44A4-88F9-3799F49FB75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07C75153-0906-4586-AC8A-4A8D846398D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1D22F94F-E1D2-4A9A-80B6-44CFFDAAAB6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87EF56A2-6A38-4FDF-9E3E-497D15C3F2D1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09D0BFB2-D2FA-4791-A80D-96CEEF9D133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F3889CF-7765-402E-92D0-6371A0638C1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54AE8D81-BF5C-48F7-B036-F45527CD71DB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817D6FCC-717F-497E-85F5-1B2D359F9D9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C1AF7BC9-24E8-4DC1-BC83-3EE6816C6A9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E8A32F51-F858-4341-9D3B-88D6766014C9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25</xdr:row>
      <xdr:rowOff>0</xdr:rowOff>
    </xdr:from>
    <xdr:to>
      <xdr:col>3</xdr:col>
      <xdr:colOff>840899</xdr:colOff>
      <xdr:row>25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00CA164-02B8-49DF-B2BC-831904023BFD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25</xdr:row>
      <xdr:rowOff>0</xdr:rowOff>
    </xdr:from>
    <xdr:to>
      <xdr:col>3</xdr:col>
      <xdr:colOff>840899</xdr:colOff>
      <xdr:row>25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7DEE90DC-BEC8-492F-B6A8-84A22B6E3469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29</xdr:row>
      <xdr:rowOff>0</xdr:rowOff>
    </xdr:from>
    <xdr:to>
      <xdr:col>3</xdr:col>
      <xdr:colOff>840899</xdr:colOff>
      <xdr:row>29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BA158836-DD48-4FC0-BE23-D7A3FFDEBCF9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25</xdr:row>
      <xdr:rowOff>0</xdr:rowOff>
    </xdr:from>
    <xdr:to>
      <xdr:col>3</xdr:col>
      <xdr:colOff>815499</xdr:colOff>
      <xdr:row>25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629829D9-76E4-4B64-BE41-E73371EB167E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25</xdr:row>
      <xdr:rowOff>0</xdr:rowOff>
    </xdr:from>
    <xdr:to>
      <xdr:col>3</xdr:col>
      <xdr:colOff>815499</xdr:colOff>
      <xdr:row>25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48E3216E-8337-4098-BF52-A3CBD30E83A1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29</xdr:row>
      <xdr:rowOff>0</xdr:rowOff>
    </xdr:from>
    <xdr:to>
      <xdr:col>3</xdr:col>
      <xdr:colOff>815499</xdr:colOff>
      <xdr:row>29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385A0952-7160-4994-B990-2B081E4DDF94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34</xdr:row>
      <xdr:rowOff>0</xdr:rowOff>
    </xdr:from>
    <xdr:to>
      <xdr:col>3</xdr:col>
      <xdr:colOff>840899</xdr:colOff>
      <xdr:row>34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EDD20B1A-928F-4CCE-BB0E-89383138DC13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34</xdr:row>
      <xdr:rowOff>0</xdr:rowOff>
    </xdr:from>
    <xdr:to>
      <xdr:col>3</xdr:col>
      <xdr:colOff>840899</xdr:colOff>
      <xdr:row>34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EC923152-2FE0-4C1E-A802-D74FD97EF923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35</xdr:row>
      <xdr:rowOff>0</xdr:rowOff>
    </xdr:from>
    <xdr:to>
      <xdr:col>3</xdr:col>
      <xdr:colOff>840899</xdr:colOff>
      <xdr:row>35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37DEA258-CC80-4CCF-B8E7-BA32E786059C}"/>
            </a:ext>
          </a:extLst>
        </xdr:cNvPr>
        <xdr:cNvCxnSpPr/>
      </xdr:nvCxnSpPr>
      <xdr:spPr>
        <a:xfrm rot="5400000">
          <a:off x="5606970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34</xdr:row>
      <xdr:rowOff>0</xdr:rowOff>
    </xdr:from>
    <xdr:to>
      <xdr:col>3</xdr:col>
      <xdr:colOff>815499</xdr:colOff>
      <xdr:row>34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5D054FC3-8EB2-4EA3-8B61-43CC418CFE6F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34</xdr:row>
      <xdr:rowOff>0</xdr:rowOff>
    </xdr:from>
    <xdr:to>
      <xdr:col>3</xdr:col>
      <xdr:colOff>815499</xdr:colOff>
      <xdr:row>34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F35FBFDD-7C58-41C5-88E7-68FAF95DBB0B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35</xdr:row>
      <xdr:rowOff>0</xdr:rowOff>
    </xdr:from>
    <xdr:to>
      <xdr:col>3</xdr:col>
      <xdr:colOff>815499</xdr:colOff>
      <xdr:row>35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2BAF4F12-FEB8-4B23-949A-A0B2ECF37813}"/>
            </a:ext>
          </a:extLst>
        </xdr:cNvPr>
        <xdr:cNvCxnSpPr/>
      </xdr:nvCxnSpPr>
      <xdr:spPr>
        <a:xfrm rot="5400000">
          <a:off x="5597445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1550194</xdr:colOff>
      <xdr:row>36</xdr:row>
      <xdr:rowOff>190499</xdr:rowOff>
    </xdr:from>
    <xdr:to>
      <xdr:col>4</xdr:col>
      <xdr:colOff>645319</xdr:colOff>
      <xdr:row>40</xdr:row>
      <xdr:rowOff>83343</xdr:rowOff>
    </xdr:to>
    <xdr:pic>
      <xdr:nvPicPr>
        <xdr:cNvPr id="2083232" name="Imagen 77">
          <a:extLst>
            <a:ext uri="{FF2B5EF4-FFF2-40B4-BE49-F238E27FC236}">
              <a16:creationId xmlns:a16="http://schemas.microsoft.com/office/drawing/2014/main" id="{51FDB200-9776-43C5-9502-8938F6074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7038" y="9513093"/>
          <a:ext cx="845344" cy="7024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C7F6B80C-4063-4E57-8B33-4D8B766C0DE2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6551B6E2-35C0-42DF-A43B-6D294F874A94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26D6AAF4-17EE-497D-9F78-22BE3206C0DA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32CEF566-DA61-4FB5-AA6B-B64970F5A6D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6FCDA6B3-D79A-4CCF-ADB0-1611B81444C0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D44B3E99-FA0B-41AE-B9DE-B171156D4948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84230" name="Imagen 18">
          <a:extLst>
            <a:ext uri="{FF2B5EF4-FFF2-40B4-BE49-F238E27FC236}">
              <a16:creationId xmlns:a16="http://schemas.microsoft.com/office/drawing/2014/main" id="{0E0B84E1-3AAA-43B7-9527-D535CCF34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84231" name="Imagen 19">
          <a:extLst>
            <a:ext uri="{FF2B5EF4-FFF2-40B4-BE49-F238E27FC236}">
              <a16:creationId xmlns:a16="http://schemas.microsoft.com/office/drawing/2014/main" id="{FA8B23B5-40D2-4646-B207-AEBD2ACF6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8900CEA6-2706-44BD-B5B9-6CFADFA7939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385A2DE0-2DD4-4C50-BB6A-F0AE52E1ACE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16F03DBC-2CC6-4D87-862B-B27419071086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EF5E7A60-F4C6-410B-BF2E-36454A287EF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4C1E0817-15BA-42AE-A225-D6D3C055675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D97D97DA-14B0-4F9D-B62C-42BF04E6444E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E9CDAFBB-B1AB-4965-B458-F221CDA89D7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61EE1241-7EA9-4493-89B8-C147DBD6FAD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C8A4298C-7CA9-4CC8-AE9C-E37AFCDDA39B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101AED65-ECCA-45E9-931E-8D53CE49625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3A857BA-650D-4C85-BCD9-F4F1549E112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E1C6FA2B-4947-48AF-83D5-D193549C0349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CC2B0AC2-1807-4994-BF24-E56A2CD4D56C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294CC2E8-AC34-458F-BBAF-60B2CC78D119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29</xdr:row>
      <xdr:rowOff>0</xdr:rowOff>
    </xdr:from>
    <xdr:to>
      <xdr:col>3</xdr:col>
      <xdr:colOff>831374</xdr:colOff>
      <xdr:row>29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9A7227B7-D94D-4ABE-B16B-BAB691CBBEB1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D1758499-15CB-4E89-9EA9-CFDE1EADC6CF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C65D51E6-4E27-49A0-AF49-0496A9E1E094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29</xdr:row>
      <xdr:rowOff>0</xdr:rowOff>
    </xdr:from>
    <xdr:to>
      <xdr:col>3</xdr:col>
      <xdr:colOff>825024</xdr:colOff>
      <xdr:row>29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494AD9F2-6453-418A-8E73-244F4039E2A1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34</xdr:row>
      <xdr:rowOff>0</xdr:rowOff>
    </xdr:from>
    <xdr:to>
      <xdr:col>3</xdr:col>
      <xdr:colOff>831374</xdr:colOff>
      <xdr:row>34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6C1E0666-233A-436B-AEF3-0DF3FFE4CFB7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34</xdr:row>
      <xdr:rowOff>0</xdr:rowOff>
    </xdr:from>
    <xdr:to>
      <xdr:col>3</xdr:col>
      <xdr:colOff>831374</xdr:colOff>
      <xdr:row>34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D0CCCE86-7450-4591-A6DD-0AF962D03873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35</xdr:row>
      <xdr:rowOff>0</xdr:rowOff>
    </xdr:from>
    <xdr:to>
      <xdr:col>3</xdr:col>
      <xdr:colOff>831374</xdr:colOff>
      <xdr:row>35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79938665-0F78-4E65-961E-BB529B5FC2A3}"/>
            </a:ext>
          </a:extLst>
        </xdr:cNvPr>
        <xdr:cNvCxnSpPr/>
      </xdr:nvCxnSpPr>
      <xdr:spPr>
        <a:xfrm rot="5400000">
          <a:off x="5606970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34</xdr:row>
      <xdr:rowOff>0</xdr:rowOff>
    </xdr:from>
    <xdr:to>
      <xdr:col>3</xdr:col>
      <xdr:colOff>825024</xdr:colOff>
      <xdr:row>34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BD9AF2AC-E0D3-4896-8E35-940B2928258F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34</xdr:row>
      <xdr:rowOff>0</xdr:rowOff>
    </xdr:from>
    <xdr:to>
      <xdr:col>3</xdr:col>
      <xdr:colOff>825024</xdr:colOff>
      <xdr:row>34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2059B9BB-D91C-42A0-8AA1-9E5746264670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35</xdr:row>
      <xdr:rowOff>0</xdr:rowOff>
    </xdr:from>
    <xdr:to>
      <xdr:col>3</xdr:col>
      <xdr:colOff>825024</xdr:colOff>
      <xdr:row>35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BFC56374-D082-45DF-B5BC-878F3D6B98AE}"/>
            </a:ext>
          </a:extLst>
        </xdr:cNvPr>
        <xdr:cNvCxnSpPr/>
      </xdr:nvCxnSpPr>
      <xdr:spPr>
        <a:xfrm rot="5400000">
          <a:off x="5597445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1471612</xdr:colOff>
      <xdr:row>37</xdr:row>
      <xdr:rowOff>100012</xdr:rowOff>
    </xdr:from>
    <xdr:to>
      <xdr:col>4</xdr:col>
      <xdr:colOff>804862</xdr:colOff>
      <xdr:row>40</xdr:row>
      <xdr:rowOff>157162</xdr:rowOff>
    </xdr:to>
    <xdr:pic>
      <xdr:nvPicPr>
        <xdr:cNvPr id="2084256" name="Imagen 77">
          <a:extLst>
            <a:ext uri="{FF2B5EF4-FFF2-40B4-BE49-F238E27FC236}">
              <a16:creationId xmlns:a16="http://schemas.microsoft.com/office/drawing/2014/main" id="{BC9E8074-80F3-4B94-8C9C-60C508A86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9601200"/>
          <a:ext cx="1023937" cy="6643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502197B9-3EE3-4BA5-8DE7-77CAD105F66F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51AF86D-4E57-4224-A8A3-79425698A26A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B827037B-C477-46F5-88D9-3452BBBFABD1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0A2AC9DB-38C5-42C5-8E5F-1870A98F2480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D8B093DA-0FF2-4BDC-800E-AEA8108DBE7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675E076-1650-48B4-ACBC-C5DDDE94106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85254" name="Imagen 18">
          <a:extLst>
            <a:ext uri="{FF2B5EF4-FFF2-40B4-BE49-F238E27FC236}">
              <a16:creationId xmlns:a16="http://schemas.microsoft.com/office/drawing/2014/main" id="{35F6AE31-B936-4915-BDD1-65749C37B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85255" name="Imagen 19">
          <a:extLst>
            <a:ext uri="{FF2B5EF4-FFF2-40B4-BE49-F238E27FC236}">
              <a16:creationId xmlns:a16="http://schemas.microsoft.com/office/drawing/2014/main" id="{49B5A4D8-7833-42AB-A4B5-06C3D0B8E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9F03202F-2A95-487F-908C-6C0B0AF6B2C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FEE90BFB-5023-4374-9C10-08AD54AFD65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19FCADE-680D-41CC-B5D2-C82F7D861719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D727170-D68D-413F-97AD-FF4964DB98F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44423513-D54A-4A44-91F2-71D335CF4075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AB3EF2BF-8BE9-41CB-8415-695BF15DE171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3D5EE96E-6853-498C-A6C7-F5695F53EB6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A0D593E5-E53B-45D5-BFE1-8BC6BAFAFEE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4A148B83-E289-49DE-9D04-A612DD5F807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CBA11D22-8085-4A80-98F2-F9798CCC0A6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B04AA986-DC9B-4B97-B0B0-33EA1C0E5636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36CB471E-C7A4-428D-84AB-EA640A931FC0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AF9E3FE2-1B11-4781-8568-ADCB537CCFE2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E9377A04-165E-475B-A016-0A2D0E83ABDE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29</xdr:row>
      <xdr:rowOff>0</xdr:rowOff>
    </xdr:from>
    <xdr:to>
      <xdr:col>3</xdr:col>
      <xdr:colOff>831374</xdr:colOff>
      <xdr:row>29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E6E522AB-F2F2-40E1-AD45-E876E8444AD0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F2931A3A-FC3A-4485-BB4D-0845B042D403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D10C3824-CFD8-4BBB-B67B-45B652EFD664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29</xdr:row>
      <xdr:rowOff>0</xdr:rowOff>
    </xdr:from>
    <xdr:to>
      <xdr:col>3</xdr:col>
      <xdr:colOff>825024</xdr:colOff>
      <xdr:row>29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7C294117-EA51-4F88-8C6B-6477FFEEDDAA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34</xdr:row>
      <xdr:rowOff>0</xdr:rowOff>
    </xdr:from>
    <xdr:to>
      <xdr:col>3</xdr:col>
      <xdr:colOff>831374</xdr:colOff>
      <xdr:row>34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FCAFB760-CD0D-459B-B76C-B6FECA6284CC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34</xdr:row>
      <xdr:rowOff>0</xdr:rowOff>
    </xdr:from>
    <xdr:to>
      <xdr:col>3</xdr:col>
      <xdr:colOff>831374</xdr:colOff>
      <xdr:row>34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9517AC8F-96F1-4065-B66D-9A50E92C2623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35</xdr:row>
      <xdr:rowOff>0</xdr:rowOff>
    </xdr:from>
    <xdr:to>
      <xdr:col>3</xdr:col>
      <xdr:colOff>831374</xdr:colOff>
      <xdr:row>35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2F9BBA4E-DD40-458E-B99D-9C59CAA38C3C}"/>
            </a:ext>
          </a:extLst>
        </xdr:cNvPr>
        <xdr:cNvCxnSpPr/>
      </xdr:nvCxnSpPr>
      <xdr:spPr>
        <a:xfrm rot="5400000">
          <a:off x="5606970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34</xdr:row>
      <xdr:rowOff>0</xdr:rowOff>
    </xdr:from>
    <xdr:to>
      <xdr:col>3</xdr:col>
      <xdr:colOff>825024</xdr:colOff>
      <xdr:row>34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D7B28BBD-D606-4F30-AD1D-D9C1766FD800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34</xdr:row>
      <xdr:rowOff>0</xdr:rowOff>
    </xdr:from>
    <xdr:to>
      <xdr:col>3</xdr:col>
      <xdr:colOff>825024</xdr:colOff>
      <xdr:row>34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65E1CF33-63E3-466A-88DA-68A153DBD8EC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35</xdr:row>
      <xdr:rowOff>0</xdr:rowOff>
    </xdr:from>
    <xdr:to>
      <xdr:col>3</xdr:col>
      <xdr:colOff>825024</xdr:colOff>
      <xdr:row>35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80170DA6-20E9-456F-9AD3-FC1876C0420C}"/>
            </a:ext>
          </a:extLst>
        </xdr:cNvPr>
        <xdr:cNvCxnSpPr/>
      </xdr:nvCxnSpPr>
      <xdr:spPr>
        <a:xfrm rot="5400000">
          <a:off x="5597445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1331118</xdr:colOff>
      <xdr:row>36</xdr:row>
      <xdr:rowOff>109538</xdr:rowOff>
    </xdr:from>
    <xdr:to>
      <xdr:col>4</xdr:col>
      <xdr:colOff>511968</xdr:colOff>
      <xdr:row>40</xdr:row>
      <xdr:rowOff>30956</xdr:rowOff>
    </xdr:to>
    <xdr:pic>
      <xdr:nvPicPr>
        <xdr:cNvPr id="2085280" name="Imagen 77">
          <a:extLst>
            <a:ext uri="{FF2B5EF4-FFF2-40B4-BE49-F238E27FC236}">
              <a16:creationId xmlns:a16="http://schemas.microsoft.com/office/drawing/2014/main" id="{0E4F22EF-3B4B-4C7A-8D77-B308DB576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3181" y="9408319"/>
          <a:ext cx="871537" cy="731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91E71225-9145-4851-A0ED-7F1230192D5F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ECE25C67-EAD1-44F0-8378-C20983090BC8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14F2FEC8-9883-4ABB-B879-71FC23C93ABB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6F57C2E8-D603-44D4-B9DC-C07D87B727A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BA4DF07A-732D-47D6-B061-F13FC1A74A0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26988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9F3113AD-1990-4E94-ABFF-D0E3551B843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86278" name="Imagen 18">
          <a:extLst>
            <a:ext uri="{FF2B5EF4-FFF2-40B4-BE49-F238E27FC236}">
              <a16:creationId xmlns:a16="http://schemas.microsoft.com/office/drawing/2014/main" id="{943442EB-FB58-4D15-8734-11E492ED5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86279" name="Imagen 19">
          <a:extLst>
            <a:ext uri="{FF2B5EF4-FFF2-40B4-BE49-F238E27FC236}">
              <a16:creationId xmlns:a16="http://schemas.microsoft.com/office/drawing/2014/main" id="{332927E6-B56F-478B-94C6-3CEF95649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F93D7299-F034-4F0C-8515-CCC7AAEFDDD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92B8BD04-95E9-44C7-8D32-AF99D310CCD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26988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30A8BE4F-8AEF-41BD-92A4-E4C273E26F28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16670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61CF99F1-E4B3-407F-8BBF-544A12A85AF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16670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DF577770-6BBF-4152-B898-40B4561D323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26988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F95BC4FF-6EAF-4E8B-92EB-043E1A82D805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D159FE90-017C-4D11-9B06-BD6B2716E63F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08D6C873-750A-4B98-9964-08A313605A9A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26988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0EAAF5E4-1826-4232-9836-D01F9C5C8D6F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16670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09955EB1-E725-4D11-AB94-B2A24AC2383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16670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9DDC3389-C27B-430F-BC40-A42F4E99712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26988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88A4F9E8-58AB-4E9A-B250-AC1BCA2A964A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16670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D2F7274-11C6-44AD-AF7C-208732F58309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16670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36AB31B6-DE83-47BA-B6A1-B99497AB7AEA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29</xdr:row>
      <xdr:rowOff>0</xdr:rowOff>
    </xdr:from>
    <xdr:to>
      <xdr:col>3</xdr:col>
      <xdr:colOff>831374</xdr:colOff>
      <xdr:row>29</xdr:row>
      <xdr:rowOff>26988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19C1EA43-45D2-462B-BD82-A974375998CB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16670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0A558920-E622-4EE4-A068-F823E70B9385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16670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71551AE2-24DB-4DA2-B498-95577FF54EC4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29</xdr:row>
      <xdr:rowOff>0</xdr:rowOff>
    </xdr:from>
    <xdr:to>
      <xdr:col>3</xdr:col>
      <xdr:colOff>825024</xdr:colOff>
      <xdr:row>29</xdr:row>
      <xdr:rowOff>26988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6AA8DF38-75A3-43A9-B061-B05EA9EB7267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34</xdr:row>
      <xdr:rowOff>0</xdr:rowOff>
    </xdr:from>
    <xdr:to>
      <xdr:col>3</xdr:col>
      <xdr:colOff>831374</xdr:colOff>
      <xdr:row>34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AEBED1D8-35C9-4B10-8AF9-E524A13D1224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34</xdr:row>
      <xdr:rowOff>0</xdr:rowOff>
    </xdr:from>
    <xdr:to>
      <xdr:col>3</xdr:col>
      <xdr:colOff>831374</xdr:colOff>
      <xdr:row>34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21FB3E6C-5F9C-404D-A218-FF57D40D700E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35</xdr:row>
      <xdr:rowOff>0</xdr:rowOff>
    </xdr:from>
    <xdr:to>
      <xdr:col>3</xdr:col>
      <xdr:colOff>831374</xdr:colOff>
      <xdr:row>35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3A37B780-6776-45CE-BFA1-67965C54FF75}"/>
            </a:ext>
          </a:extLst>
        </xdr:cNvPr>
        <xdr:cNvCxnSpPr/>
      </xdr:nvCxnSpPr>
      <xdr:spPr>
        <a:xfrm rot="5400000">
          <a:off x="5606970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34</xdr:row>
      <xdr:rowOff>0</xdr:rowOff>
    </xdr:from>
    <xdr:to>
      <xdr:col>3</xdr:col>
      <xdr:colOff>825024</xdr:colOff>
      <xdr:row>34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5DFE9B60-4179-4740-856E-49881140FAB3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34</xdr:row>
      <xdr:rowOff>0</xdr:rowOff>
    </xdr:from>
    <xdr:to>
      <xdr:col>3</xdr:col>
      <xdr:colOff>825024</xdr:colOff>
      <xdr:row>34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AA4AEA30-22DC-4143-B2AA-26CFD9A4F071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35</xdr:row>
      <xdr:rowOff>0</xdr:rowOff>
    </xdr:from>
    <xdr:to>
      <xdr:col>3</xdr:col>
      <xdr:colOff>825024</xdr:colOff>
      <xdr:row>35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345CAE56-2ABF-4403-9EA7-593C2DDDC97D}"/>
            </a:ext>
          </a:extLst>
        </xdr:cNvPr>
        <xdr:cNvCxnSpPr/>
      </xdr:nvCxnSpPr>
      <xdr:spPr>
        <a:xfrm rot="5400000">
          <a:off x="5597445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1414462</xdr:colOff>
      <xdr:row>36</xdr:row>
      <xdr:rowOff>183357</xdr:rowOff>
    </xdr:from>
    <xdr:to>
      <xdr:col>4</xdr:col>
      <xdr:colOff>747712</xdr:colOff>
      <xdr:row>40</xdr:row>
      <xdr:rowOff>19050</xdr:rowOff>
    </xdr:to>
    <xdr:pic>
      <xdr:nvPicPr>
        <xdr:cNvPr id="2086304" name="Imagen 77">
          <a:extLst>
            <a:ext uri="{FF2B5EF4-FFF2-40B4-BE49-F238E27FC236}">
              <a16:creationId xmlns:a16="http://schemas.microsoft.com/office/drawing/2014/main" id="{2340D8F2-9168-4B71-9EC1-05EA7334C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5" y="9279732"/>
          <a:ext cx="1023937" cy="645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384693F7-33EA-4ABD-80A3-FD471E475F80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60C7278D-63BE-40B9-8663-B2BCFA2D8458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7F117659-6F11-4A35-BFD8-FE4CA172FCE9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CED4F955-86B1-4BB8-8822-C5648F4180A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A0F4E327-5551-45D5-9062-657D3D4B783A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7534FF58-B350-4643-A78A-40EAD25619BF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75270" name="Imagen 18">
          <a:extLst>
            <a:ext uri="{FF2B5EF4-FFF2-40B4-BE49-F238E27FC236}">
              <a16:creationId xmlns:a16="http://schemas.microsoft.com/office/drawing/2014/main" id="{C6775A06-0657-408A-BE12-D040CC355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75271" name="Imagen 19">
          <a:extLst>
            <a:ext uri="{FF2B5EF4-FFF2-40B4-BE49-F238E27FC236}">
              <a16:creationId xmlns:a16="http://schemas.microsoft.com/office/drawing/2014/main" id="{F02DCFE7-55E5-4DD3-92AE-FED26AE6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2FD9E40C-5FE2-4907-AF8E-2406D86D2CE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A824D948-4375-496C-8D9A-FA790B7DAD0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9B7F5D18-BC33-4F6A-8C47-2860FE1B923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25BAE784-89B9-4223-84E0-196756CBE4F5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A3831C3B-0FFD-47FD-B86D-DE63D9BED54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049073F-A138-457E-9D21-170738229196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927B436C-7736-4B14-9D56-423A09AC0E5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5C9020B3-0B5B-4A86-A17C-3EB5176675D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F22BD488-BD4F-48FD-8F3F-5CB76A76B684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51BDFE70-1960-4286-B7E7-D37C858AD35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D2A62565-279B-40DB-96A7-BFE0C0EA0E1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717BDB8-B117-4F7A-929F-273F11BC57D0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35</xdr:row>
      <xdr:rowOff>0</xdr:rowOff>
    </xdr:from>
    <xdr:to>
      <xdr:col>3</xdr:col>
      <xdr:colOff>831374</xdr:colOff>
      <xdr:row>35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C92685F6-4A11-432B-8C02-857AF708BB6E}"/>
            </a:ext>
          </a:extLst>
        </xdr:cNvPr>
        <xdr:cNvCxnSpPr/>
      </xdr:nvCxnSpPr>
      <xdr:spPr>
        <a:xfrm rot="5400000">
          <a:off x="5606970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35</xdr:row>
      <xdr:rowOff>0</xdr:rowOff>
    </xdr:from>
    <xdr:to>
      <xdr:col>3</xdr:col>
      <xdr:colOff>825024</xdr:colOff>
      <xdr:row>35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456E7ECD-782F-498C-8078-BED324F9CF26}"/>
            </a:ext>
          </a:extLst>
        </xdr:cNvPr>
        <xdr:cNvCxnSpPr/>
      </xdr:nvCxnSpPr>
      <xdr:spPr>
        <a:xfrm rot="5400000">
          <a:off x="5597445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1235869</xdr:colOff>
      <xdr:row>36</xdr:row>
      <xdr:rowOff>185738</xdr:rowOff>
    </xdr:from>
    <xdr:to>
      <xdr:col>4</xdr:col>
      <xdr:colOff>569119</xdr:colOff>
      <xdr:row>40</xdr:row>
      <xdr:rowOff>128588</xdr:rowOff>
    </xdr:to>
    <xdr:pic>
      <xdr:nvPicPr>
        <xdr:cNvPr id="2075286" name="Imagen 77">
          <a:extLst>
            <a:ext uri="{FF2B5EF4-FFF2-40B4-BE49-F238E27FC236}">
              <a16:creationId xmlns:a16="http://schemas.microsoft.com/office/drawing/2014/main" id="{045E6952-7FCE-47E5-B441-DAFFFBBCA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7932" y="9484519"/>
          <a:ext cx="1023937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810E747F-7A16-493A-A3DB-8F2C856FBF17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3745B75-F32C-4026-8E5A-57DF61F7B86C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A58FB3A2-FC27-47D5-83E7-C3168948F81B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55245C2D-D65A-45B1-B8F4-365A76E3A7B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F46E14DC-25AB-4478-87EE-EBD3CEA35C1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291429FA-88E6-4163-AA0F-75BC1FB5819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77062" name="Imagen 18">
          <a:extLst>
            <a:ext uri="{FF2B5EF4-FFF2-40B4-BE49-F238E27FC236}">
              <a16:creationId xmlns:a16="http://schemas.microsoft.com/office/drawing/2014/main" id="{03C57607-BAFF-493F-AAB3-B773FF2C4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77063" name="Imagen 19">
          <a:extLst>
            <a:ext uri="{FF2B5EF4-FFF2-40B4-BE49-F238E27FC236}">
              <a16:creationId xmlns:a16="http://schemas.microsoft.com/office/drawing/2014/main" id="{C826D159-D69C-4449-B551-80FD3F6A4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570BFA8C-DA2B-49AB-8C3B-F2DD0A01D87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335380E-BC49-4129-9DC7-E6AB22646B5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1975EFA1-16C2-46D7-9065-3D69C1D65CE4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21427DF4-18C4-4FFE-B2C4-7851B589F3E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C4F1C627-9349-4179-A797-472DB8675B4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B288F12-692E-4F00-8A57-897973C0F07E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B57E5F65-D1FE-47BD-A1C1-9284760B530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9BC4E7A7-7231-497F-80E8-6CC720C2414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0CB56D2E-86F5-43C5-AEBE-12BD1D4059F8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41F8B267-5D7B-4D8B-A07D-CE778A02364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9B17DE6-C5AF-457F-BCEC-BF44DF2552C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B13622EF-0B25-4070-A1D7-E6DDA9142C02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44F8988-4080-46EB-AD25-C2E920FDF850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25</xdr:row>
      <xdr:rowOff>0</xdr:rowOff>
    </xdr:from>
    <xdr:to>
      <xdr:col>3</xdr:col>
      <xdr:colOff>831374</xdr:colOff>
      <xdr:row>25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5A45D834-E309-4AA6-8112-8DCE3E5D07E8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ACBDC45E-EC72-4855-BD71-EE1BFE17172F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3881A18A-B1BE-4B9E-9F00-F23A9DA73D97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1604963</xdr:colOff>
      <xdr:row>36</xdr:row>
      <xdr:rowOff>152400</xdr:rowOff>
    </xdr:from>
    <xdr:to>
      <xdr:col>4</xdr:col>
      <xdr:colOff>833438</xdr:colOff>
      <xdr:row>40</xdr:row>
      <xdr:rowOff>0</xdr:rowOff>
    </xdr:to>
    <xdr:pic>
      <xdr:nvPicPr>
        <xdr:cNvPr id="2077080" name="Imagen 77">
          <a:extLst>
            <a:ext uri="{FF2B5EF4-FFF2-40B4-BE49-F238E27FC236}">
              <a16:creationId xmlns:a16="http://schemas.microsoft.com/office/drawing/2014/main" id="{D832CBC3-E98F-4706-BAEC-3BF13B5DB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6" y="9451181"/>
          <a:ext cx="919162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F7BADE7A-EFD7-4F64-87DB-BB539330CDD3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B8E41416-386E-4ECF-8247-61E6C901525C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2D107E5F-2931-4121-A4AC-42C145B8F77C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D2A5BE43-E65E-474D-9383-9C0C9B1BD79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7099DF1F-F771-4F08-89C9-4BCEC425B6C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9741CFF3-0BAE-4CE1-99FC-7E50D7D0948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62214" name="Imagen 18">
          <a:extLst>
            <a:ext uri="{FF2B5EF4-FFF2-40B4-BE49-F238E27FC236}">
              <a16:creationId xmlns:a16="http://schemas.microsoft.com/office/drawing/2014/main" id="{6493140B-A0F4-4C8A-94DD-5378FB664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62215" name="Imagen 19">
          <a:extLst>
            <a:ext uri="{FF2B5EF4-FFF2-40B4-BE49-F238E27FC236}">
              <a16:creationId xmlns:a16="http://schemas.microsoft.com/office/drawing/2014/main" id="{235CC629-1ED2-404B-AE88-F671CBB77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DBE48B93-CFBA-4C4D-94A0-95637DDAFAA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14D46F89-CB3D-41EF-B9D8-FD1E947BF11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30629D73-9921-4274-BEF8-F2D9C8A66AB8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B663D6B6-AC2A-425A-92F2-49C99FDEC54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7635F02B-6197-4389-9C83-719DD283B495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E81182F7-F2A7-4115-B042-F15329C7CA5F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927A2313-9DF2-4364-9965-5A298CACF77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CA8AAC4F-2D38-4A40-953E-962114971BA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C7CDF176-90BB-4227-993D-7DB53134229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B0F8D08-A5CA-4ABB-91B7-ADA4184A4DE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EB08FA2F-744A-4D12-BAD5-B65C0A84EFC7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1607344</xdr:colOff>
      <xdr:row>36</xdr:row>
      <xdr:rowOff>119063</xdr:rowOff>
    </xdr:from>
    <xdr:to>
      <xdr:col>4</xdr:col>
      <xdr:colOff>940594</xdr:colOff>
      <xdr:row>39</xdr:row>
      <xdr:rowOff>166687</xdr:rowOff>
    </xdr:to>
    <xdr:pic>
      <xdr:nvPicPr>
        <xdr:cNvPr id="2062228" name="Imagen 77">
          <a:extLst>
            <a:ext uri="{FF2B5EF4-FFF2-40B4-BE49-F238E27FC236}">
              <a16:creationId xmlns:a16="http://schemas.microsoft.com/office/drawing/2014/main" id="{CF256403-23F3-4371-83FD-E89862066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9407" y="9417844"/>
          <a:ext cx="1023937" cy="654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49500482-125D-4CCE-8BE6-C0D55595B8E3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3A390558-89D4-4841-BEA7-AE64C3E6C4E8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55062CFD-1036-4C08-875F-33FBD9420B16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1413D60A-5A7C-4757-BAF9-F0A6BFE36A9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69BFAADE-2211-4831-B67A-D4FDC0A09C3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84E9F10F-00B7-42A4-B98F-22BEF3B3D13C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78086" name="Imagen 18">
          <a:extLst>
            <a:ext uri="{FF2B5EF4-FFF2-40B4-BE49-F238E27FC236}">
              <a16:creationId xmlns:a16="http://schemas.microsoft.com/office/drawing/2014/main" id="{4868F59F-04E8-467C-970A-7029EA250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6</xdr:col>
      <xdr:colOff>9525</xdr:colOff>
      <xdr:row>2</xdr:row>
      <xdr:rowOff>457200</xdr:rowOff>
    </xdr:to>
    <xdr:pic>
      <xdr:nvPicPr>
        <xdr:cNvPr id="2078087" name="Imagen 19">
          <a:extLst>
            <a:ext uri="{FF2B5EF4-FFF2-40B4-BE49-F238E27FC236}">
              <a16:creationId xmlns:a16="http://schemas.microsoft.com/office/drawing/2014/main" id="{84531DD7-C8A6-455C-B37E-02E3648EC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390525"/>
          <a:ext cx="16764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8E931F33-4AE1-428A-9970-0C12C1C25EF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D6C7B05-70EB-45EF-AB6D-06660D7AA86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BB732B2F-279A-47FA-ACA7-95B0F75A00FF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CC117435-8A48-4CF8-9265-70DAC5C8626D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FED5DC8B-AB7E-4369-ADF2-D535FB3AFE0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4502AE8-4BE6-486C-81BD-6B66791C0E55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276C5D17-6725-4851-88A9-DA8171AD0F6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D6FF61D9-52DC-49E2-8B9D-DC77E76D2DE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2899CA5D-BF79-4063-8FC3-CF84546FBDD3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0706E667-8B78-4058-80FB-E8073000DCD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9D54281B-16EF-4076-8746-BA0F11D7A36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501A70A-AF6C-4436-B723-17B773A3716C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BB149907-0012-4923-9F24-904A9FA6D5B3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25</xdr:row>
      <xdr:rowOff>0</xdr:rowOff>
    </xdr:from>
    <xdr:to>
      <xdr:col>3</xdr:col>
      <xdr:colOff>825024</xdr:colOff>
      <xdr:row>25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D1A8AFF5-1847-4CAB-B677-EC6274F390ED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34</xdr:row>
      <xdr:rowOff>0</xdr:rowOff>
    </xdr:from>
    <xdr:to>
      <xdr:col>3</xdr:col>
      <xdr:colOff>825024</xdr:colOff>
      <xdr:row>34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6136FB1D-14BC-4103-96B8-F2C3737A2128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34</xdr:row>
      <xdr:rowOff>0</xdr:rowOff>
    </xdr:from>
    <xdr:to>
      <xdr:col>3</xdr:col>
      <xdr:colOff>825024</xdr:colOff>
      <xdr:row>34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A4040FB8-BFDD-4B06-94D8-D55A4E23F97A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1485900</xdr:colOff>
      <xdr:row>36</xdr:row>
      <xdr:rowOff>57150</xdr:rowOff>
    </xdr:from>
    <xdr:to>
      <xdr:col>4</xdr:col>
      <xdr:colOff>676275</xdr:colOff>
      <xdr:row>39</xdr:row>
      <xdr:rowOff>114300</xdr:rowOff>
    </xdr:to>
    <xdr:pic>
      <xdr:nvPicPr>
        <xdr:cNvPr id="2078104" name="Imagen 77">
          <a:extLst>
            <a:ext uri="{FF2B5EF4-FFF2-40B4-BE49-F238E27FC236}">
              <a16:creationId xmlns:a16="http://schemas.microsoft.com/office/drawing/2014/main" id="{2713E368-8693-4701-A566-D737133A6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9401175"/>
          <a:ext cx="8763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32916E4A-88A2-4F89-BCD9-5E113F9DE2F2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8FD83D82-3AB5-434C-8F0F-E3BB6ACF2B9D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816D9B96-B48C-4462-96C3-69868E154BD8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5B423936-7014-451B-8D23-4949CBB4BCA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1ECF9C96-3A24-4E9F-A45E-CDD9F2ADA4C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E96D7F7D-D8A8-43FA-8518-2E6D09F70E8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63238" name="Imagen 18">
          <a:extLst>
            <a:ext uri="{FF2B5EF4-FFF2-40B4-BE49-F238E27FC236}">
              <a16:creationId xmlns:a16="http://schemas.microsoft.com/office/drawing/2014/main" id="{3E5B93D4-2C52-4213-B81D-00EC5B332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63239" name="Imagen 19">
          <a:extLst>
            <a:ext uri="{FF2B5EF4-FFF2-40B4-BE49-F238E27FC236}">
              <a16:creationId xmlns:a16="http://schemas.microsoft.com/office/drawing/2014/main" id="{27AADA3F-ED76-4432-A0DD-B87C94545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F2E7D3B5-4001-4673-9857-523F52BF512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C83A8CD-585A-44C6-ADB0-D1968BA487E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55FC1E30-A4F0-4481-B696-5A78642C9F6A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F7D304AC-88C7-4053-B3CA-4CDF59DBDF34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03381090-D0D8-4EC2-AEB8-B51937C437B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7732857A-F8CA-4814-A59B-8018AC66E666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9837505C-1DFA-4D2B-8F43-026271AB9360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1A640DCD-3E3D-4DEB-9EF7-B463D4EF1A7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D060E119-ED7E-4DA0-98AC-E536CC6E6B1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BCF7ACA8-8329-49D7-A454-7C2EED907FB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6AAB5EB-4EC0-4BAE-81D4-DF6D4965AC64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BD3BF93-1B23-42B0-932F-9E4B69468EF3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1493044</xdr:colOff>
      <xdr:row>36</xdr:row>
      <xdr:rowOff>190501</xdr:rowOff>
    </xdr:from>
    <xdr:to>
      <xdr:col>4</xdr:col>
      <xdr:colOff>826294</xdr:colOff>
      <xdr:row>40</xdr:row>
      <xdr:rowOff>114301</xdr:rowOff>
    </xdr:to>
    <xdr:pic>
      <xdr:nvPicPr>
        <xdr:cNvPr id="2063252" name="Imagen 77">
          <a:extLst>
            <a:ext uri="{FF2B5EF4-FFF2-40B4-BE49-F238E27FC236}">
              <a16:creationId xmlns:a16="http://schemas.microsoft.com/office/drawing/2014/main" id="{7757A88C-E57C-4D25-9C14-31F8B826B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5107" y="9489282"/>
          <a:ext cx="1023937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AB42393C-1EFF-45B0-B4CC-0BE8A86EF70E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E6851387-68B2-4DE0-B5BA-099E196E4969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C4EAB2A5-42A1-4AB3-9974-9A7ECF18AA70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DD177915-D2BE-4F0B-8D35-6F0DE3EA276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246CDA03-053D-48C7-917B-5AC552036C8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7AC76F39-1499-4D5F-872A-4FC2EC0193D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64262" name="Imagen 18">
          <a:extLst>
            <a:ext uri="{FF2B5EF4-FFF2-40B4-BE49-F238E27FC236}">
              <a16:creationId xmlns:a16="http://schemas.microsoft.com/office/drawing/2014/main" id="{C9F90885-3883-40F9-97FC-343CCE0E0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64263" name="Imagen 19">
          <a:extLst>
            <a:ext uri="{FF2B5EF4-FFF2-40B4-BE49-F238E27FC236}">
              <a16:creationId xmlns:a16="http://schemas.microsoft.com/office/drawing/2014/main" id="{52DD06D4-4334-4025-84AE-E10F27C10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287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76E073F3-A980-43F0-8639-8CCE3E75B6B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7036733-8B25-4FD1-9110-D54107546EC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2CC10EF9-4598-4E1C-B716-7DC13866CBEF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8D0C2FE4-B23F-44F4-90B7-A05241440C6D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355FEEAE-2336-4EF9-9DD3-DB5A694B0D0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983CEA10-E238-4009-8C62-F38246B9844E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6C26FDA8-F045-4FE0-A221-0B7023CCE37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791E3950-18EE-4050-89EF-ED0FC2C6AF7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D5E6E785-6370-4A7B-965A-A818FE8D045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4567162-823F-4A1C-9DA3-2ED2224B6C97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40AA1B35-2C62-48E5-A638-FDD7B609389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1892C99F-2B85-468F-AF6B-18ECB8BDF728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1200150</xdr:colOff>
      <xdr:row>36</xdr:row>
      <xdr:rowOff>135731</xdr:rowOff>
    </xdr:from>
    <xdr:to>
      <xdr:col>4</xdr:col>
      <xdr:colOff>476250</xdr:colOff>
      <xdr:row>40</xdr:row>
      <xdr:rowOff>69056</xdr:rowOff>
    </xdr:to>
    <xdr:pic>
      <xdr:nvPicPr>
        <xdr:cNvPr id="2064276" name="Imagen 77">
          <a:extLst>
            <a:ext uri="{FF2B5EF4-FFF2-40B4-BE49-F238E27FC236}">
              <a16:creationId xmlns:a16="http://schemas.microsoft.com/office/drawing/2014/main" id="{8281D3E3-B00C-40B2-91F4-892D069B5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5" y="9434512"/>
          <a:ext cx="966788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CB1F0DDA-DEF5-4259-AA53-29D8964ABAE4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503F1D7E-2DEE-46C8-8E5F-E291F99A3285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EAAE76AE-A311-4F87-A15E-28EC514FA32E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D8FA1427-5830-4A36-B175-A7E4E74002A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571888C6-A92F-4C35-8959-C0A0A44A188B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CCF81ED6-F450-41B1-803A-C9CE28C0D8A5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65286" name="Imagen 18">
          <a:extLst>
            <a:ext uri="{FF2B5EF4-FFF2-40B4-BE49-F238E27FC236}">
              <a16:creationId xmlns:a16="http://schemas.microsoft.com/office/drawing/2014/main" id="{F4361968-333D-4A36-83BD-9EFE8C067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65287" name="Imagen 19">
          <a:extLst>
            <a:ext uri="{FF2B5EF4-FFF2-40B4-BE49-F238E27FC236}">
              <a16:creationId xmlns:a16="http://schemas.microsoft.com/office/drawing/2014/main" id="{7EECFA6E-9DFD-4E61-B96D-66F673D20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B443F1EB-3820-4302-96E8-6FA1144E892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5A39C311-4759-43F6-8E77-899D2D2A15A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6BC9A005-8E14-4067-970B-0D04056CB2BD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CA175F18-AE9C-46E0-807E-0C64DE1082E6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F0F6A0E0-D036-4950-BD2A-5D40A2F7D9D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2D68B111-EA8F-4830-B3EE-16D49B925EC7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29801120-7AA0-454B-86BD-65BC93EFDAB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CB6E98DA-6D5F-4CD5-B20C-73AB88181B7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292545C2-7598-4CFC-BD52-A02633A5556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6FA8B546-7BD9-4600-AF23-EA85497571A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7C2486E2-3B41-42AD-95DB-B2C5A2C6E1C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F52EDDBB-742A-4894-95A6-41C5750AC221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1562100</xdr:colOff>
      <xdr:row>36</xdr:row>
      <xdr:rowOff>38100</xdr:rowOff>
    </xdr:from>
    <xdr:to>
      <xdr:col>4</xdr:col>
      <xdr:colOff>877574</xdr:colOff>
      <xdr:row>40</xdr:row>
      <xdr:rowOff>59531</xdr:rowOff>
    </xdr:to>
    <xdr:pic>
      <xdr:nvPicPr>
        <xdr:cNvPr id="2065300" name="Imagen 77">
          <a:extLst>
            <a:ext uri="{FF2B5EF4-FFF2-40B4-BE49-F238E27FC236}">
              <a16:creationId xmlns:a16="http://schemas.microsoft.com/office/drawing/2014/main" id="{F17D2992-280E-4EBF-B300-DB06E8B0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4163" y="9336881"/>
          <a:ext cx="1006161" cy="831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859949</xdr:colOff>
      <xdr:row>43</xdr:row>
      <xdr:rowOff>198437</xdr:rowOff>
    </xdr:from>
    <xdr:to>
      <xdr:col>0</xdr:col>
      <xdr:colOff>861537</xdr:colOff>
      <xdr:row>43</xdr:row>
      <xdr:rowOff>198437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695537F8-1CD9-4314-AF9A-1DD335C0DAAA}"/>
            </a:ext>
          </a:extLst>
        </xdr:cNvPr>
        <xdr:cNvCxnSpPr/>
      </xdr:nvCxnSpPr>
      <xdr:spPr>
        <a:xfrm rot="5400000">
          <a:off x="557927" y="9163447"/>
          <a:ext cx="34131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859949</xdr:colOff>
      <xdr:row>43</xdr:row>
      <xdr:rowOff>198437</xdr:rowOff>
    </xdr:from>
    <xdr:to>
      <xdr:col>0</xdr:col>
      <xdr:colOff>861537</xdr:colOff>
      <xdr:row>43</xdr:row>
      <xdr:rowOff>198437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C31CFFD1-11F4-4C7B-8128-B94E5D3604A3}"/>
            </a:ext>
          </a:extLst>
        </xdr:cNvPr>
        <xdr:cNvCxnSpPr/>
      </xdr:nvCxnSpPr>
      <xdr:spPr>
        <a:xfrm rot="5400000">
          <a:off x="557927" y="9163447"/>
          <a:ext cx="34131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852011</xdr:colOff>
      <xdr:row>45</xdr:row>
      <xdr:rowOff>794</xdr:rowOff>
    </xdr:from>
    <xdr:to>
      <xdr:col>0</xdr:col>
      <xdr:colOff>853599</xdr:colOff>
      <xdr:row>45</xdr:row>
      <xdr:rowOff>794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DB5F9EFC-0ED5-4459-AE12-10F52C0467FE}"/>
            </a:ext>
          </a:extLst>
        </xdr:cNvPr>
        <xdr:cNvCxnSpPr/>
      </xdr:nvCxnSpPr>
      <xdr:spPr>
        <a:xfrm rot="5400000">
          <a:off x="555347" y="9368433"/>
          <a:ext cx="17066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24</xdr:row>
      <xdr:rowOff>225326</xdr:rowOff>
    </xdr:from>
    <xdr:to>
      <xdr:col>0</xdr:col>
      <xdr:colOff>841991</xdr:colOff>
      <xdr:row>25</xdr:row>
      <xdr:rowOff>2481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A771A8C9-72E0-49E9-BD89-39062A87A84D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24</xdr:row>
      <xdr:rowOff>225326</xdr:rowOff>
    </xdr:from>
    <xdr:to>
      <xdr:col>0</xdr:col>
      <xdr:colOff>841991</xdr:colOff>
      <xdr:row>25</xdr:row>
      <xdr:rowOff>2481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7C33419E-ED85-4FFF-A583-E15A44CDAA00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26</xdr:row>
      <xdr:rowOff>0</xdr:rowOff>
    </xdr:from>
    <xdr:to>
      <xdr:col>0</xdr:col>
      <xdr:colOff>852805</xdr:colOff>
      <xdr:row>26</xdr:row>
      <xdr:rowOff>0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568539C6-43AB-47A8-B982-F23F19FEC0A0}"/>
            </a:ext>
          </a:extLst>
        </xdr:cNvPr>
        <xdr:cNvCxnSpPr/>
      </xdr:nvCxnSpPr>
      <xdr:spPr>
        <a:xfrm rot="5400000">
          <a:off x="557927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66310" name="Imagen 18">
          <a:extLst>
            <a:ext uri="{FF2B5EF4-FFF2-40B4-BE49-F238E27FC236}">
              <a16:creationId xmlns:a16="http://schemas.microsoft.com/office/drawing/2014/main" id="{D3BA7DAB-DE5B-4488-A54B-725033556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66311" name="Imagen 19">
          <a:extLst>
            <a:ext uri="{FF2B5EF4-FFF2-40B4-BE49-F238E27FC236}">
              <a16:creationId xmlns:a16="http://schemas.microsoft.com/office/drawing/2014/main" id="{0FC6C664-8464-4518-A116-EA34F9611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6700" y="390525"/>
          <a:ext cx="19431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832465</xdr:colOff>
      <xdr:row>24</xdr:row>
      <xdr:rowOff>225326</xdr:rowOff>
    </xdr:from>
    <xdr:to>
      <xdr:col>0</xdr:col>
      <xdr:colOff>841991</xdr:colOff>
      <xdr:row>25</xdr:row>
      <xdr:rowOff>2481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F55928F7-C96E-4808-A137-6F8DB83A6AEC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24</xdr:row>
      <xdr:rowOff>225326</xdr:rowOff>
    </xdr:from>
    <xdr:to>
      <xdr:col>0</xdr:col>
      <xdr:colOff>841991</xdr:colOff>
      <xdr:row>25</xdr:row>
      <xdr:rowOff>2481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FB5B1ED0-D7C1-4ACF-A787-149915A430ED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26</xdr:row>
      <xdr:rowOff>0</xdr:rowOff>
    </xdr:from>
    <xdr:to>
      <xdr:col>0</xdr:col>
      <xdr:colOff>852805</xdr:colOff>
      <xdr:row>26</xdr:row>
      <xdr:rowOff>0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F7CDBA26-F557-4FF5-AAFA-54126AD0040F}"/>
            </a:ext>
          </a:extLst>
        </xdr:cNvPr>
        <xdr:cNvCxnSpPr/>
      </xdr:nvCxnSpPr>
      <xdr:spPr>
        <a:xfrm rot="5400000">
          <a:off x="557927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24</xdr:row>
      <xdr:rowOff>225326</xdr:rowOff>
    </xdr:from>
    <xdr:to>
      <xdr:col>0</xdr:col>
      <xdr:colOff>824528</xdr:colOff>
      <xdr:row>25</xdr:row>
      <xdr:rowOff>2481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65E69436-9CE9-440D-8BC5-9E22AF967434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24</xdr:row>
      <xdr:rowOff>225326</xdr:rowOff>
    </xdr:from>
    <xdr:to>
      <xdr:col>0</xdr:col>
      <xdr:colOff>824528</xdr:colOff>
      <xdr:row>25</xdr:row>
      <xdr:rowOff>2481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C4604626-8313-4FB1-8317-E542B892A8D8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828992</xdr:colOff>
      <xdr:row>26</xdr:row>
      <xdr:rowOff>0</xdr:rowOff>
    </xdr:from>
    <xdr:to>
      <xdr:col>0</xdr:col>
      <xdr:colOff>830580</xdr:colOff>
      <xdr:row>26</xdr:row>
      <xdr:rowOff>0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207AFE17-E537-4ABE-A023-1B39CB6802A9}"/>
            </a:ext>
          </a:extLst>
        </xdr:cNvPr>
        <xdr:cNvCxnSpPr/>
      </xdr:nvCxnSpPr>
      <xdr:spPr>
        <a:xfrm rot="5400000">
          <a:off x="548402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24</xdr:row>
      <xdr:rowOff>225326</xdr:rowOff>
    </xdr:from>
    <xdr:to>
      <xdr:col>0</xdr:col>
      <xdr:colOff>841991</xdr:colOff>
      <xdr:row>25</xdr:row>
      <xdr:rowOff>2481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A79EDF01-E0F3-4A9C-B194-1CA5351AEB60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24</xdr:row>
      <xdr:rowOff>225326</xdr:rowOff>
    </xdr:from>
    <xdr:to>
      <xdr:col>0</xdr:col>
      <xdr:colOff>841991</xdr:colOff>
      <xdr:row>25</xdr:row>
      <xdr:rowOff>2481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344C1AC-2587-4DF4-8CE2-AD2E7EB1DF4E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26</xdr:row>
      <xdr:rowOff>0</xdr:rowOff>
    </xdr:from>
    <xdr:to>
      <xdr:col>0</xdr:col>
      <xdr:colOff>852805</xdr:colOff>
      <xdr:row>26</xdr:row>
      <xdr:rowOff>0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3D6EAEEA-7DC1-4A8A-B121-A99F48C1812A}"/>
            </a:ext>
          </a:extLst>
        </xdr:cNvPr>
        <xdr:cNvCxnSpPr/>
      </xdr:nvCxnSpPr>
      <xdr:spPr>
        <a:xfrm rot="5400000">
          <a:off x="557927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24</xdr:row>
      <xdr:rowOff>225326</xdr:rowOff>
    </xdr:from>
    <xdr:to>
      <xdr:col>0</xdr:col>
      <xdr:colOff>824528</xdr:colOff>
      <xdr:row>25</xdr:row>
      <xdr:rowOff>2481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29352B82-689B-476F-97D5-F8BFEBD15BBC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24</xdr:row>
      <xdr:rowOff>225326</xdr:rowOff>
    </xdr:from>
    <xdr:to>
      <xdr:col>0</xdr:col>
      <xdr:colOff>824528</xdr:colOff>
      <xdr:row>25</xdr:row>
      <xdr:rowOff>2481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E8869A23-099F-4C01-B997-F10266470F8C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828992</xdr:colOff>
      <xdr:row>26</xdr:row>
      <xdr:rowOff>0</xdr:rowOff>
    </xdr:from>
    <xdr:to>
      <xdr:col>0</xdr:col>
      <xdr:colOff>830580</xdr:colOff>
      <xdr:row>26</xdr:row>
      <xdr:rowOff>0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4FD5F516-A466-4000-BE1B-CE7BC73F4CF5}"/>
            </a:ext>
          </a:extLst>
        </xdr:cNvPr>
        <xdr:cNvCxnSpPr/>
      </xdr:nvCxnSpPr>
      <xdr:spPr>
        <a:xfrm rot="5400000">
          <a:off x="548402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1450181</xdr:colOff>
      <xdr:row>45</xdr:row>
      <xdr:rowOff>50006</xdr:rowOff>
    </xdr:from>
    <xdr:to>
      <xdr:col>4</xdr:col>
      <xdr:colOff>792956</xdr:colOff>
      <xdr:row>48</xdr:row>
      <xdr:rowOff>107157</xdr:rowOff>
    </xdr:to>
    <xdr:pic>
      <xdr:nvPicPr>
        <xdr:cNvPr id="2066324" name="Imagen 77">
          <a:extLst>
            <a:ext uri="{FF2B5EF4-FFF2-40B4-BE49-F238E27FC236}">
              <a16:creationId xmlns:a16="http://schemas.microsoft.com/office/drawing/2014/main" id="{5BC26718-A216-46BA-9A44-0185F6EDA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5619" y="11134725"/>
          <a:ext cx="1033462" cy="664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35</xdr:row>
      <xdr:rowOff>0</xdr:rowOff>
    </xdr:from>
    <xdr:to>
      <xdr:col>0</xdr:col>
      <xdr:colOff>831374</xdr:colOff>
      <xdr:row>35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B50BBB4A-38C1-407C-B0D2-787BB69641D1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35</xdr:row>
      <xdr:rowOff>0</xdr:rowOff>
    </xdr:from>
    <xdr:to>
      <xdr:col>0</xdr:col>
      <xdr:colOff>831374</xdr:colOff>
      <xdr:row>35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112CA68-DD46-4D8F-8909-179968A2231A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9904E36B-FCFA-4219-BE17-BCEB31C2CB3F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6170D3A6-0E76-4F11-B8E5-64522837A3CB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A506055A-AC9D-4475-9049-5FD069B3B27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28</xdr:row>
      <xdr:rowOff>0</xdr:rowOff>
    </xdr:from>
    <xdr:to>
      <xdr:col>0</xdr:col>
      <xdr:colOff>831374</xdr:colOff>
      <xdr:row>28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38DCF779-2FA1-4B1E-AA2E-43077590DE04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67334" name="Imagen 18">
          <a:extLst>
            <a:ext uri="{FF2B5EF4-FFF2-40B4-BE49-F238E27FC236}">
              <a16:creationId xmlns:a16="http://schemas.microsoft.com/office/drawing/2014/main" id="{3456C474-7B2F-440E-84A1-778C957F0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67335" name="Imagen 19">
          <a:extLst>
            <a:ext uri="{FF2B5EF4-FFF2-40B4-BE49-F238E27FC236}">
              <a16:creationId xmlns:a16="http://schemas.microsoft.com/office/drawing/2014/main" id="{8A1617E0-BD2D-4AB2-8808-92EC3DE38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7B5ADF69-BB0E-4B1B-BEFE-6AD0BCE285F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C4D82A15-208E-48DB-908F-BBDE62CF257F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28</xdr:row>
      <xdr:rowOff>0</xdr:rowOff>
    </xdr:from>
    <xdr:to>
      <xdr:col>0</xdr:col>
      <xdr:colOff>831374</xdr:colOff>
      <xdr:row>28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B756F764-8C8D-4EC7-A463-91BA0C67923B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AF23C86-3799-43ED-8CD3-61AF3ED6889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4F1CEFE1-1333-4537-B70D-E1EAE62FA7EF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28</xdr:row>
      <xdr:rowOff>0</xdr:rowOff>
    </xdr:from>
    <xdr:to>
      <xdr:col>0</xdr:col>
      <xdr:colOff>825024</xdr:colOff>
      <xdr:row>28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90DA2101-C2CF-4F90-9E90-B9210209A51A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505029E9-D07E-47B1-8AE9-57DB1009410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1E0A37A5-C252-4B7A-ACFD-E5291283C76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28</xdr:row>
      <xdr:rowOff>0</xdr:rowOff>
    </xdr:from>
    <xdr:to>
      <xdr:col>0</xdr:col>
      <xdr:colOff>831374</xdr:colOff>
      <xdr:row>28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52D865BC-DF1E-4C66-BFDE-65FE1F81A3A6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7AC11225-B9C3-4B79-9D44-FCA281DAF08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269F7720-C6DC-4378-AF1A-9F07622355F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28</xdr:row>
      <xdr:rowOff>0</xdr:rowOff>
    </xdr:from>
    <xdr:to>
      <xdr:col>0</xdr:col>
      <xdr:colOff>825024</xdr:colOff>
      <xdr:row>28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69C2B54D-F842-4A84-B6EC-6D0171977064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1473993</xdr:colOff>
      <xdr:row>36</xdr:row>
      <xdr:rowOff>154782</xdr:rowOff>
    </xdr:from>
    <xdr:to>
      <xdr:col>4</xdr:col>
      <xdr:colOff>654843</xdr:colOff>
      <xdr:row>40</xdr:row>
      <xdr:rowOff>19050</xdr:rowOff>
    </xdr:to>
    <xdr:pic>
      <xdr:nvPicPr>
        <xdr:cNvPr id="2067348" name="Imagen 77">
          <a:extLst>
            <a:ext uri="{FF2B5EF4-FFF2-40B4-BE49-F238E27FC236}">
              <a16:creationId xmlns:a16="http://schemas.microsoft.com/office/drawing/2014/main" id="{AC6EEE7B-E8A4-4C45-B84C-F6E34D904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6056" y="9453563"/>
          <a:ext cx="871537" cy="67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33</xdr:row>
      <xdr:rowOff>0</xdr:rowOff>
    </xdr:from>
    <xdr:to>
      <xdr:col>0</xdr:col>
      <xdr:colOff>831374</xdr:colOff>
      <xdr:row>33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9294E4DF-FC7E-4591-AA80-AFAF488F16E8}"/>
            </a:ext>
          </a:extLst>
        </xdr:cNvPr>
        <xdr:cNvCxnSpPr/>
      </xdr:nvCxnSpPr>
      <xdr:spPr>
        <a:xfrm rot="5400000">
          <a:off x="549195" y="6957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33</xdr:row>
      <xdr:rowOff>0</xdr:rowOff>
    </xdr:from>
    <xdr:to>
      <xdr:col>0</xdr:col>
      <xdr:colOff>831374</xdr:colOff>
      <xdr:row>33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F8FDFF20-57C9-4186-A3B2-6FA7F6E0CA5F}"/>
            </a:ext>
          </a:extLst>
        </xdr:cNvPr>
        <xdr:cNvCxnSpPr/>
      </xdr:nvCxnSpPr>
      <xdr:spPr>
        <a:xfrm rot="5400000">
          <a:off x="549195" y="6957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34</xdr:row>
      <xdr:rowOff>0</xdr:rowOff>
    </xdr:from>
    <xdr:to>
      <xdr:col>0</xdr:col>
      <xdr:colOff>831374</xdr:colOff>
      <xdr:row>34</xdr:row>
      <xdr:rowOff>16670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4E424CFF-6E60-4549-8F81-38DBBF4B3498}"/>
            </a:ext>
          </a:extLst>
        </xdr:cNvPr>
        <xdr:cNvCxnSpPr/>
      </xdr:nvCxnSpPr>
      <xdr:spPr>
        <a:xfrm rot="5400000">
          <a:off x="551775" y="7145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3D968B8A-29B9-4387-B5B1-940825C517B6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DF761752-F49F-4293-A82B-184AA74C648E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9EDE55BC-C473-4437-810B-CDFCA0D68921}"/>
            </a:ext>
          </a:extLst>
        </xdr:cNvPr>
        <xdr:cNvCxnSpPr/>
      </xdr:nvCxnSpPr>
      <xdr:spPr>
        <a:xfrm rot="5400000">
          <a:off x="549195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68358" name="Imagen 18">
          <a:extLst>
            <a:ext uri="{FF2B5EF4-FFF2-40B4-BE49-F238E27FC236}">
              <a16:creationId xmlns:a16="http://schemas.microsoft.com/office/drawing/2014/main" id="{86F0FF7F-D7A6-4F8F-BB7B-4B055EAF7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68359" name="Imagen 19">
          <a:extLst>
            <a:ext uri="{FF2B5EF4-FFF2-40B4-BE49-F238E27FC236}">
              <a16:creationId xmlns:a16="http://schemas.microsoft.com/office/drawing/2014/main" id="{72CFD1BB-F1B2-4D28-B399-3884E5603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169DB81E-2E03-4BE6-89DB-9503E46F9B79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716A62C-88A3-46A1-8E05-D4D97740A7BD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C2CF1AA-52B5-41F3-A8FB-9160ADC8CED4}"/>
            </a:ext>
          </a:extLst>
        </xdr:cNvPr>
        <xdr:cNvCxnSpPr/>
      </xdr:nvCxnSpPr>
      <xdr:spPr>
        <a:xfrm rot="5400000">
          <a:off x="549195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16670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E28E3C24-2655-4AE5-AA23-0F6C4C88A809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16670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6F9F5834-9761-4795-B089-662A58115DE1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FB3E9F85-77B2-474A-9B70-6E57213B78FE}"/>
            </a:ext>
          </a:extLst>
        </xdr:cNvPr>
        <xdr:cNvCxnSpPr/>
      </xdr:nvCxnSpPr>
      <xdr:spPr>
        <a:xfrm rot="5400000">
          <a:off x="539670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D7D1CB92-BF1A-4C94-9661-8336DE4FD49A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25</xdr:row>
      <xdr:rowOff>0</xdr:rowOff>
    </xdr:from>
    <xdr:to>
      <xdr:col>0</xdr:col>
      <xdr:colOff>831374</xdr:colOff>
      <xdr:row>25</xdr:row>
      <xdr:rowOff>16670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0222A502-3486-419B-B45C-C8856345E51A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A84E8DE3-6A58-4D11-AB2D-331CD472E4EE}"/>
            </a:ext>
          </a:extLst>
        </xdr:cNvPr>
        <xdr:cNvCxnSpPr/>
      </xdr:nvCxnSpPr>
      <xdr:spPr>
        <a:xfrm rot="5400000">
          <a:off x="549195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16670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DC6B7D53-6A0C-49B8-8C2F-6328286CDA46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25</xdr:row>
      <xdr:rowOff>0</xdr:rowOff>
    </xdr:from>
    <xdr:to>
      <xdr:col>0</xdr:col>
      <xdr:colOff>825024</xdr:colOff>
      <xdr:row>25</xdr:row>
      <xdr:rowOff>16670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3AFA32EE-13ED-400C-BB39-60F5F050FF7B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2ECD7DD4-FA99-4622-AF21-EB127359D451}"/>
            </a:ext>
          </a:extLst>
        </xdr:cNvPr>
        <xdr:cNvCxnSpPr/>
      </xdr:nvCxnSpPr>
      <xdr:spPr>
        <a:xfrm rot="5400000">
          <a:off x="539670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1221581</xdr:colOff>
      <xdr:row>33</xdr:row>
      <xdr:rowOff>178593</xdr:rowOff>
    </xdr:from>
    <xdr:to>
      <xdr:col>4</xdr:col>
      <xdr:colOff>554831</xdr:colOff>
      <xdr:row>37</xdr:row>
      <xdr:rowOff>64293</xdr:rowOff>
    </xdr:to>
    <xdr:pic>
      <xdr:nvPicPr>
        <xdr:cNvPr id="2068372" name="Imagen 77">
          <a:extLst>
            <a:ext uri="{FF2B5EF4-FFF2-40B4-BE49-F238E27FC236}">
              <a16:creationId xmlns:a16="http://schemas.microsoft.com/office/drawing/2014/main" id="{1706C72C-3600-4A95-A4D1-88578022D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4144" y="8596312"/>
          <a:ext cx="1023937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846852</xdr:colOff>
      <xdr:row>30</xdr:row>
      <xdr:rowOff>202803</xdr:rowOff>
    </xdr:from>
    <xdr:to>
      <xdr:col>0</xdr:col>
      <xdr:colOff>848440</xdr:colOff>
      <xdr:row>31</xdr:row>
      <xdr:rowOff>12938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E5342996-D928-49C4-ADBC-DCD29D9792CA}"/>
            </a:ext>
          </a:extLst>
        </xdr:cNvPr>
        <xdr:cNvCxnSpPr/>
      </xdr:nvCxnSpPr>
      <xdr:spPr>
        <a:xfrm rot="5400000">
          <a:off x="553561" y="7524750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30</xdr:row>
      <xdr:rowOff>202803</xdr:rowOff>
    </xdr:from>
    <xdr:to>
      <xdr:col>0</xdr:col>
      <xdr:colOff>848440</xdr:colOff>
      <xdr:row>31</xdr:row>
      <xdr:rowOff>12938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685137D6-3B76-488C-B03F-A0C6F2DF5F48}"/>
            </a:ext>
          </a:extLst>
        </xdr:cNvPr>
        <xdr:cNvCxnSpPr/>
      </xdr:nvCxnSpPr>
      <xdr:spPr>
        <a:xfrm rot="5400000">
          <a:off x="553561" y="7524750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31</xdr:row>
      <xdr:rowOff>203795</xdr:rowOff>
    </xdr:from>
    <xdr:to>
      <xdr:col>0</xdr:col>
      <xdr:colOff>833160</xdr:colOff>
      <xdr:row>32</xdr:row>
      <xdr:rowOff>3374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256CA2C5-3AEF-4E81-97BD-CD6A37FFED33}"/>
            </a:ext>
          </a:extLst>
        </xdr:cNvPr>
        <xdr:cNvCxnSpPr/>
      </xdr:nvCxnSpPr>
      <xdr:spPr>
        <a:xfrm rot="5400000">
          <a:off x="553561" y="772715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23</xdr:row>
      <xdr:rowOff>228997</xdr:rowOff>
    </xdr:from>
    <xdr:to>
      <xdr:col>0</xdr:col>
      <xdr:colOff>848440</xdr:colOff>
      <xdr:row>24</xdr:row>
      <xdr:rowOff>9128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B0C9AB9F-D239-4DFE-B388-F3A2B7A66006}"/>
            </a:ext>
          </a:extLst>
        </xdr:cNvPr>
        <xdr:cNvCxnSpPr/>
      </xdr:nvCxnSpPr>
      <xdr:spPr>
        <a:xfrm rot="5400000">
          <a:off x="553561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87044" name="Imagen 18">
          <a:extLst>
            <a:ext uri="{FF2B5EF4-FFF2-40B4-BE49-F238E27FC236}">
              <a16:creationId xmlns:a16="http://schemas.microsoft.com/office/drawing/2014/main" id="{91A71031-E602-4599-A041-E462E4AD9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87045" name="Imagen 19">
          <a:extLst>
            <a:ext uri="{FF2B5EF4-FFF2-40B4-BE49-F238E27FC236}">
              <a16:creationId xmlns:a16="http://schemas.microsoft.com/office/drawing/2014/main" id="{0155C060-009F-4735-8489-2D59BEEBC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846852</xdr:colOff>
      <xdr:row>23</xdr:row>
      <xdr:rowOff>228997</xdr:rowOff>
    </xdr:from>
    <xdr:to>
      <xdr:col>0</xdr:col>
      <xdr:colOff>848440</xdr:colOff>
      <xdr:row>24</xdr:row>
      <xdr:rowOff>9128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C10C1CFB-BA8E-4ABA-A70C-F957B626ADC1}"/>
            </a:ext>
          </a:extLst>
        </xdr:cNvPr>
        <xdr:cNvCxnSpPr/>
      </xdr:nvCxnSpPr>
      <xdr:spPr>
        <a:xfrm rot="5400000">
          <a:off x="553561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23</xdr:row>
      <xdr:rowOff>228997</xdr:rowOff>
    </xdr:from>
    <xdr:to>
      <xdr:col>0</xdr:col>
      <xdr:colOff>826215</xdr:colOff>
      <xdr:row>24</xdr:row>
      <xdr:rowOff>9128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0BE7C0E4-C930-4B1B-A1F0-24165A5CD641}"/>
            </a:ext>
          </a:extLst>
        </xdr:cNvPr>
        <xdr:cNvCxnSpPr/>
      </xdr:nvCxnSpPr>
      <xdr:spPr>
        <a:xfrm rot="5400000">
          <a:off x="544036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23</xdr:row>
      <xdr:rowOff>228997</xdr:rowOff>
    </xdr:from>
    <xdr:to>
      <xdr:col>0</xdr:col>
      <xdr:colOff>848440</xdr:colOff>
      <xdr:row>24</xdr:row>
      <xdr:rowOff>9128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AA1AE0C7-3A90-4997-BEC1-7459EC79C1FD}"/>
            </a:ext>
          </a:extLst>
        </xdr:cNvPr>
        <xdr:cNvCxnSpPr/>
      </xdr:nvCxnSpPr>
      <xdr:spPr>
        <a:xfrm rot="5400000">
          <a:off x="553561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23</xdr:row>
      <xdr:rowOff>228997</xdr:rowOff>
    </xdr:from>
    <xdr:to>
      <xdr:col>0</xdr:col>
      <xdr:colOff>826215</xdr:colOff>
      <xdr:row>24</xdr:row>
      <xdr:rowOff>9128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54414D13-AE63-4176-AA85-3811E066E0AE}"/>
            </a:ext>
          </a:extLst>
        </xdr:cNvPr>
        <xdr:cNvCxnSpPr/>
      </xdr:nvCxnSpPr>
      <xdr:spPr>
        <a:xfrm rot="5400000">
          <a:off x="544036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1345407</xdr:colOff>
      <xdr:row>31</xdr:row>
      <xdr:rowOff>109538</xdr:rowOff>
    </xdr:from>
    <xdr:to>
      <xdr:col>4</xdr:col>
      <xdr:colOff>516732</xdr:colOff>
      <xdr:row>35</xdr:row>
      <xdr:rowOff>21432</xdr:rowOff>
    </xdr:to>
    <xdr:pic>
      <xdr:nvPicPr>
        <xdr:cNvPr id="2087050" name="Imagen 77">
          <a:extLst>
            <a:ext uri="{FF2B5EF4-FFF2-40B4-BE49-F238E27FC236}">
              <a16:creationId xmlns:a16="http://schemas.microsoft.com/office/drawing/2014/main" id="{94561F33-D5B7-49A1-ACD5-7A285BE50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7970" y="8277226"/>
          <a:ext cx="862012" cy="72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2E2D798C-6071-43D9-99DF-2815C91FCA2A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46B2D3E-8444-4832-843F-2C5611C11397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B6390749-E0E3-40A7-B08E-95F432C11ADF}"/>
            </a:ext>
          </a:extLst>
        </xdr:cNvPr>
        <xdr:cNvCxnSpPr/>
      </xdr:nvCxnSpPr>
      <xdr:spPr>
        <a:xfrm rot="5400000">
          <a:off x="551775" y="64597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B27BD115-F4DC-4430-913A-210BD0F6148B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814A5CA5-E08F-4BF8-BA82-D3FFCF9920AA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A7AC1A4-F2E7-4136-87D6-0C974E5C8F22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79110" name="Imagen 18">
          <a:extLst>
            <a:ext uri="{FF2B5EF4-FFF2-40B4-BE49-F238E27FC236}">
              <a16:creationId xmlns:a16="http://schemas.microsoft.com/office/drawing/2014/main" id="{FA569E2F-7588-405A-9B6B-C551A8A7B7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79111" name="Imagen 19">
          <a:extLst>
            <a:ext uri="{FF2B5EF4-FFF2-40B4-BE49-F238E27FC236}">
              <a16:creationId xmlns:a16="http://schemas.microsoft.com/office/drawing/2014/main" id="{A3ADA361-2DCA-46C8-8E09-C07FD2394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2AC66AFB-C235-4759-9479-1F03655FC397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A3C136D-6B47-458E-B014-C8ED111B58EA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73D03EFB-1951-4D0F-8A0D-1C31C81A8966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19</xdr:row>
      <xdr:rowOff>0</xdr:rowOff>
    </xdr:from>
    <xdr:to>
      <xdr:col>0</xdr:col>
      <xdr:colOff>825024</xdr:colOff>
      <xdr:row>19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F4C53E6B-A8C0-4F34-9BDF-CD250A43139F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19</xdr:row>
      <xdr:rowOff>0</xdr:rowOff>
    </xdr:from>
    <xdr:to>
      <xdr:col>0</xdr:col>
      <xdr:colOff>825024</xdr:colOff>
      <xdr:row>19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239CB6DB-9704-4E38-A9E4-16B5509A3B26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22</xdr:row>
      <xdr:rowOff>0</xdr:rowOff>
    </xdr:from>
    <xdr:to>
      <xdr:col>0</xdr:col>
      <xdr:colOff>825024</xdr:colOff>
      <xdr:row>22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292BC4D-539E-4ECF-AD6E-364A979FDB0F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F8F90A6E-D439-4265-BBD5-A138B2558D46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8026D0B0-8D03-421A-B8BB-450F80A0F660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DE35DA99-CE39-4C75-A0DD-57B8A1AD7CE0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19</xdr:row>
      <xdr:rowOff>0</xdr:rowOff>
    </xdr:from>
    <xdr:to>
      <xdr:col>0</xdr:col>
      <xdr:colOff>825024</xdr:colOff>
      <xdr:row>19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6A794295-CDD0-46F4-A0F6-70BB2C08739D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19</xdr:row>
      <xdr:rowOff>0</xdr:rowOff>
    </xdr:from>
    <xdr:to>
      <xdr:col>0</xdr:col>
      <xdr:colOff>825024</xdr:colOff>
      <xdr:row>19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9FF09E54-6464-4D12-861F-4899215311A3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22</xdr:row>
      <xdr:rowOff>0</xdr:rowOff>
    </xdr:from>
    <xdr:to>
      <xdr:col>0</xdr:col>
      <xdr:colOff>825024</xdr:colOff>
      <xdr:row>22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773AA18-020F-4912-A370-37C0405B5DB7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27</xdr:row>
      <xdr:rowOff>0</xdr:rowOff>
    </xdr:from>
    <xdr:to>
      <xdr:col>3</xdr:col>
      <xdr:colOff>840899</xdr:colOff>
      <xdr:row>27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E0965B8C-7D11-41C5-945B-79101C674B6C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27</xdr:row>
      <xdr:rowOff>0</xdr:rowOff>
    </xdr:from>
    <xdr:to>
      <xdr:col>3</xdr:col>
      <xdr:colOff>840899</xdr:colOff>
      <xdr:row>27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B76E323B-FE1B-488A-BCFD-916C52B81EFE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27</xdr:row>
      <xdr:rowOff>0</xdr:rowOff>
    </xdr:from>
    <xdr:to>
      <xdr:col>3</xdr:col>
      <xdr:colOff>815499</xdr:colOff>
      <xdr:row>27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043EF134-A7FA-4774-AE3C-F8CFA213BC5D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27</xdr:row>
      <xdr:rowOff>0</xdr:rowOff>
    </xdr:from>
    <xdr:to>
      <xdr:col>3</xdr:col>
      <xdr:colOff>815499</xdr:colOff>
      <xdr:row>27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9B7DAC7B-8804-4F63-9569-C8D94FCECD13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1307306</xdr:colOff>
      <xdr:row>30</xdr:row>
      <xdr:rowOff>190501</xdr:rowOff>
    </xdr:from>
    <xdr:to>
      <xdr:col>4</xdr:col>
      <xdr:colOff>640556</xdr:colOff>
      <xdr:row>34</xdr:row>
      <xdr:rowOff>38101</xdr:rowOff>
    </xdr:to>
    <xdr:pic>
      <xdr:nvPicPr>
        <xdr:cNvPr id="2079128" name="Imagen 77">
          <a:extLst>
            <a:ext uri="{FF2B5EF4-FFF2-40B4-BE49-F238E27FC236}">
              <a16:creationId xmlns:a16="http://schemas.microsoft.com/office/drawing/2014/main" id="{4930DD14-AACF-4DC8-A7F9-FE99CF092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9869" y="8155782"/>
          <a:ext cx="1023937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9FE4BBF0-AB72-450A-B9C0-D190AEC8E607}"/>
            </a:ext>
          </a:extLst>
        </xdr:cNvPr>
        <xdr:cNvCxnSpPr/>
      </xdr:nvCxnSpPr>
      <xdr:spPr>
        <a:xfrm rot="5400000">
          <a:off x="549195" y="64718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345076A8-8829-411A-A55D-AF669E0417E9}"/>
            </a:ext>
          </a:extLst>
        </xdr:cNvPr>
        <xdr:cNvCxnSpPr/>
      </xdr:nvCxnSpPr>
      <xdr:spPr>
        <a:xfrm rot="5400000">
          <a:off x="549195" y="64718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6582DA71-98E0-41DB-9944-40DF3B275DC8}"/>
            </a:ext>
          </a:extLst>
        </xdr:cNvPr>
        <xdr:cNvCxnSpPr/>
      </xdr:nvCxnSpPr>
      <xdr:spPr>
        <a:xfrm rot="5400000">
          <a:off x="551775" y="665976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0DB4D4B8-83D2-4BD3-87D1-77CB51C69429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8E2A8B98-7A03-49CF-A8EB-C9756238B864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3A57D94B-075A-4FC5-8508-EC8768F0B6B8}"/>
            </a:ext>
          </a:extLst>
        </xdr:cNvPr>
        <xdr:cNvCxnSpPr/>
      </xdr:nvCxnSpPr>
      <xdr:spPr>
        <a:xfrm rot="5400000">
          <a:off x="549195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1162050</xdr:colOff>
      <xdr:row>2</xdr:row>
      <xdr:rowOff>428625</xdr:rowOff>
    </xdr:to>
    <xdr:pic>
      <xdr:nvPicPr>
        <xdr:cNvPr id="2069382" name="Imagen 18">
          <a:extLst>
            <a:ext uri="{FF2B5EF4-FFF2-40B4-BE49-F238E27FC236}">
              <a16:creationId xmlns:a16="http://schemas.microsoft.com/office/drawing/2014/main" id="{CE5C3BB7-3CD6-4644-85DF-0FB3349EC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8479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69383" name="Imagen 19">
          <a:extLst>
            <a:ext uri="{FF2B5EF4-FFF2-40B4-BE49-F238E27FC236}">
              <a16:creationId xmlns:a16="http://schemas.microsoft.com/office/drawing/2014/main" id="{88E7A9FB-3953-4D46-B645-E23C1614B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30D72AA2-6884-4B1D-B319-3A0F197689CF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EB01FD6-1F4F-41B3-8C2F-4A0AAF042CE1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7233572-7CC5-44D2-A80C-F55DC5236E84}"/>
            </a:ext>
          </a:extLst>
        </xdr:cNvPr>
        <xdr:cNvCxnSpPr/>
      </xdr:nvCxnSpPr>
      <xdr:spPr>
        <a:xfrm rot="5400000">
          <a:off x="549195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19</xdr:row>
      <xdr:rowOff>0</xdr:rowOff>
    </xdr:from>
    <xdr:to>
      <xdr:col>0</xdr:col>
      <xdr:colOff>825024</xdr:colOff>
      <xdr:row>19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67C94629-EF02-444F-B067-7AA4A4E6467A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19</xdr:row>
      <xdr:rowOff>0</xdr:rowOff>
    </xdr:from>
    <xdr:to>
      <xdr:col>0</xdr:col>
      <xdr:colOff>825024</xdr:colOff>
      <xdr:row>19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ED9EF3E0-11CE-481B-B957-757FBD709BA9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22</xdr:row>
      <xdr:rowOff>0</xdr:rowOff>
    </xdr:from>
    <xdr:to>
      <xdr:col>0</xdr:col>
      <xdr:colOff>825024</xdr:colOff>
      <xdr:row>22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B94B6E0A-48BA-4B7D-9C4C-968AA462BAF7}"/>
            </a:ext>
          </a:extLst>
        </xdr:cNvPr>
        <xdr:cNvCxnSpPr/>
      </xdr:nvCxnSpPr>
      <xdr:spPr>
        <a:xfrm rot="5400000">
          <a:off x="539670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A63B8E28-5B96-4A71-AEA0-38BCA1156E6C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19</xdr:row>
      <xdr:rowOff>0</xdr:rowOff>
    </xdr:from>
    <xdr:to>
      <xdr:col>0</xdr:col>
      <xdr:colOff>831374</xdr:colOff>
      <xdr:row>19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FC83EDB9-FC3C-45D2-8129-377A397D1E0C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E905F5AA-B7CA-4D97-9B0B-E95FF31DD9B6}"/>
            </a:ext>
          </a:extLst>
        </xdr:cNvPr>
        <xdr:cNvCxnSpPr/>
      </xdr:nvCxnSpPr>
      <xdr:spPr>
        <a:xfrm rot="5400000">
          <a:off x="549195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19</xdr:row>
      <xdr:rowOff>0</xdr:rowOff>
    </xdr:from>
    <xdr:to>
      <xdr:col>0</xdr:col>
      <xdr:colOff>825024</xdr:colOff>
      <xdr:row>19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AA3F940-D1B8-4DD2-9717-CFF4BA8535FA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19</xdr:row>
      <xdr:rowOff>0</xdr:rowOff>
    </xdr:from>
    <xdr:to>
      <xdr:col>0</xdr:col>
      <xdr:colOff>825024</xdr:colOff>
      <xdr:row>19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B7AF41A1-6A58-4C3E-9A61-45792108557E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22</xdr:row>
      <xdr:rowOff>0</xdr:rowOff>
    </xdr:from>
    <xdr:to>
      <xdr:col>0</xdr:col>
      <xdr:colOff>825024</xdr:colOff>
      <xdr:row>22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5D9372A8-4798-46F2-8811-38E55FC2C5B0}"/>
            </a:ext>
          </a:extLst>
        </xdr:cNvPr>
        <xdr:cNvCxnSpPr/>
      </xdr:nvCxnSpPr>
      <xdr:spPr>
        <a:xfrm rot="5400000">
          <a:off x="539670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1026319</xdr:colOff>
      <xdr:row>31</xdr:row>
      <xdr:rowOff>9525</xdr:rowOff>
    </xdr:from>
    <xdr:to>
      <xdr:col>4</xdr:col>
      <xdr:colOff>216694</xdr:colOff>
      <xdr:row>34</xdr:row>
      <xdr:rowOff>38100</xdr:rowOff>
    </xdr:to>
    <xdr:pic>
      <xdr:nvPicPr>
        <xdr:cNvPr id="2069396" name="Imagen 77">
          <a:extLst>
            <a:ext uri="{FF2B5EF4-FFF2-40B4-BE49-F238E27FC236}">
              <a16:creationId xmlns:a16="http://schemas.microsoft.com/office/drawing/2014/main" id="{CE6E4DD0-8C8E-4304-A6E2-D304480ED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8882" y="8177213"/>
          <a:ext cx="881062" cy="635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27</xdr:row>
      <xdr:rowOff>0</xdr:rowOff>
    </xdr:from>
    <xdr:to>
      <xdr:col>0</xdr:col>
      <xdr:colOff>831374</xdr:colOff>
      <xdr:row>27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EE57A3C4-DE96-40A6-9258-FFF3689161A2}"/>
            </a:ext>
          </a:extLst>
        </xdr:cNvPr>
        <xdr:cNvCxnSpPr/>
      </xdr:nvCxnSpPr>
      <xdr:spPr>
        <a:xfrm rot="5400000">
          <a:off x="549195" y="67290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27</xdr:row>
      <xdr:rowOff>0</xdr:rowOff>
    </xdr:from>
    <xdr:to>
      <xdr:col>0</xdr:col>
      <xdr:colOff>831374</xdr:colOff>
      <xdr:row>27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C7A66C9A-17A5-4F88-B59F-D4F37580C5D7}"/>
            </a:ext>
          </a:extLst>
        </xdr:cNvPr>
        <xdr:cNvCxnSpPr/>
      </xdr:nvCxnSpPr>
      <xdr:spPr>
        <a:xfrm rot="5400000">
          <a:off x="549195" y="67290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28</xdr:row>
      <xdr:rowOff>0</xdr:rowOff>
    </xdr:from>
    <xdr:to>
      <xdr:col>0</xdr:col>
      <xdr:colOff>831374</xdr:colOff>
      <xdr:row>28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0C48085D-907A-4054-9184-DCE71C8D0C02}"/>
            </a:ext>
          </a:extLst>
        </xdr:cNvPr>
        <xdr:cNvCxnSpPr/>
      </xdr:nvCxnSpPr>
      <xdr:spPr>
        <a:xfrm rot="5400000">
          <a:off x="551775" y="69169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17</xdr:row>
      <xdr:rowOff>0</xdr:rowOff>
    </xdr:from>
    <xdr:to>
      <xdr:col>0</xdr:col>
      <xdr:colOff>831374</xdr:colOff>
      <xdr:row>17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99E5B346-7D3F-4EC0-A14A-3312C98B1C0B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17</xdr:row>
      <xdr:rowOff>0</xdr:rowOff>
    </xdr:from>
    <xdr:to>
      <xdr:col>0</xdr:col>
      <xdr:colOff>831374</xdr:colOff>
      <xdr:row>17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6FA0FFC0-0AC1-4D49-A8B1-C2BB57178B20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29F36090-E7EB-4BE9-B6D0-77F7CB436FA6}"/>
            </a:ext>
          </a:extLst>
        </xdr:cNvPr>
        <xdr:cNvCxnSpPr/>
      </xdr:nvCxnSpPr>
      <xdr:spPr>
        <a:xfrm rot="5400000">
          <a:off x="5491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90118" name="Imagen 18">
          <a:extLst>
            <a:ext uri="{FF2B5EF4-FFF2-40B4-BE49-F238E27FC236}">
              <a16:creationId xmlns:a16="http://schemas.microsoft.com/office/drawing/2014/main" id="{89D571EE-47FF-456A-8FAA-55BE5CAB7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90119" name="Imagen 19">
          <a:extLst>
            <a:ext uri="{FF2B5EF4-FFF2-40B4-BE49-F238E27FC236}">
              <a16:creationId xmlns:a16="http://schemas.microsoft.com/office/drawing/2014/main" id="{84FFC1E3-0AFA-43AD-A85B-93FE9A130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7811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17</xdr:row>
      <xdr:rowOff>0</xdr:rowOff>
    </xdr:from>
    <xdr:to>
      <xdr:col>0</xdr:col>
      <xdr:colOff>831374</xdr:colOff>
      <xdr:row>17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4F1B0A62-5682-4208-A99D-790282F038E3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17</xdr:row>
      <xdr:rowOff>0</xdr:rowOff>
    </xdr:from>
    <xdr:to>
      <xdr:col>0</xdr:col>
      <xdr:colOff>831374</xdr:colOff>
      <xdr:row>17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8F332093-59E2-4A0C-B9CD-F29678ABC335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6174C164-DEBB-4D8F-811C-0FF87249ADFC}"/>
            </a:ext>
          </a:extLst>
        </xdr:cNvPr>
        <xdr:cNvCxnSpPr/>
      </xdr:nvCxnSpPr>
      <xdr:spPr>
        <a:xfrm rot="5400000">
          <a:off x="5491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17</xdr:row>
      <xdr:rowOff>0</xdr:rowOff>
    </xdr:from>
    <xdr:to>
      <xdr:col>0</xdr:col>
      <xdr:colOff>825024</xdr:colOff>
      <xdr:row>17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05DB3504-FD16-45E0-9F9C-AABB1D4BDEF9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17</xdr:row>
      <xdr:rowOff>0</xdr:rowOff>
    </xdr:from>
    <xdr:to>
      <xdr:col>0</xdr:col>
      <xdr:colOff>825024</xdr:colOff>
      <xdr:row>17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0F28B9AC-1353-4140-81FE-9F7C78A38267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B3C8BC7E-FD18-42F0-A06B-30E3FB481BB4}"/>
            </a:ext>
          </a:extLst>
        </xdr:cNvPr>
        <xdr:cNvCxnSpPr/>
      </xdr:nvCxnSpPr>
      <xdr:spPr>
        <a:xfrm rot="5400000">
          <a:off x="5396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17</xdr:row>
      <xdr:rowOff>0</xdr:rowOff>
    </xdr:from>
    <xdr:to>
      <xdr:col>0</xdr:col>
      <xdr:colOff>831374</xdr:colOff>
      <xdr:row>17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26BE6442-4C7D-4941-9E94-B8AE5F3B5390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17</xdr:row>
      <xdr:rowOff>0</xdr:rowOff>
    </xdr:from>
    <xdr:to>
      <xdr:col>0</xdr:col>
      <xdr:colOff>831374</xdr:colOff>
      <xdr:row>17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C8DE446-4723-430A-AA03-6EE907454F04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F9255BC8-4686-4052-8715-D6AA2E3B7EF7}"/>
            </a:ext>
          </a:extLst>
        </xdr:cNvPr>
        <xdr:cNvCxnSpPr/>
      </xdr:nvCxnSpPr>
      <xdr:spPr>
        <a:xfrm rot="5400000">
          <a:off x="5491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17</xdr:row>
      <xdr:rowOff>0</xdr:rowOff>
    </xdr:from>
    <xdr:to>
      <xdr:col>0</xdr:col>
      <xdr:colOff>825024</xdr:colOff>
      <xdr:row>17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8BC97FCA-09B5-4C4A-886D-A26A08E5D1CB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17</xdr:row>
      <xdr:rowOff>0</xdr:rowOff>
    </xdr:from>
    <xdr:to>
      <xdr:col>0</xdr:col>
      <xdr:colOff>825024</xdr:colOff>
      <xdr:row>17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F409F95D-011B-4CF1-9C22-F6B6EA0D56A1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8387288B-A640-48C1-82E4-33A58E319760}"/>
            </a:ext>
          </a:extLst>
        </xdr:cNvPr>
        <xdr:cNvCxnSpPr/>
      </xdr:nvCxnSpPr>
      <xdr:spPr>
        <a:xfrm rot="5400000">
          <a:off x="5396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17</xdr:row>
      <xdr:rowOff>0</xdr:rowOff>
    </xdr:from>
    <xdr:to>
      <xdr:col>3</xdr:col>
      <xdr:colOff>840899</xdr:colOff>
      <xdr:row>17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11C5BC7B-61C7-4F7F-B2F8-87D04B083EEB}"/>
            </a:ext>
          </a:extLst>
        </xdr:cNvPr>
        <xdr:cNvCxnSpPr/>
      </xdr:nvCxnSpPr>
      <xdr:spPr>
        <a:xfrm rot="5400000">
          <a:off x="58095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17</xdr:row>
      <xdr:rowOff>0</xdr:rowOff>
    </xdr:from>
    <xdr:to>
      <xdr:col>3</xdr:col>
      <xdr:colOff>840899</xdr:colOff>
      <xdr:row>17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CF8B2BD5-A76A-4EAE-9F84-AA8D3656995E}"/>
            </a:ext>
          </a:extLst>
        </xdr:cNvPr>
        <xdr:cNvCxnSpPr/>
      </xdr:nvCxnSpPr>
      <xdr:spPr>
        <a:xfrm rot="5400000">
          <a:off x="58095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20</xdr:row>
      <xdr:rowOff>0</xdr:rowOff>
    </xdr:from>
    <xdr:to>
      <xdr:col>3</xdr:col>
      <xdr:colOff>840899</xdr:colOff>
      <xdr:row>20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4F6D8C8A-AE07-4F35-AA20-F0718AC8A837}"/>
            </a:ext>
          </a:extLst>
        </xdr:cNvPr>
        <xdr:cNvCxnSpPr/>
      </xdr:nvCxnSpPr>
      <xdr:spPr>
        <a:xfrm rot="5400000">
          <a:off x="58069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17</xdr:row>
      <xdr:rowOff>0</xdr:rowOff>
    </xdr:from>
    <xdr:to>
      <xdr:col>3</xdr:col>
      <xdr:colOff>815499</xdr:colOff>
      <xdr:row>17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A954041F-7858-41D9-8AE4-5904B51220AD}"/>
            </a:ext>
          </a:extLst>
        </xdr:cNvPr>
        <xdr:cNvCxnSpPr/>
      </xdr:nvCxnSpPr>
      <xdr:spPr>
        <a:xfrm rot="5400000">
          <a:off x="58000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17</xdr:row>
      <xdr:rowOff>0</xdr:rowOff>
    </xdr:from>
    <xdr:to>
      <xdr:col>3</xdr:col>
      <xdr:colOff>815499</xdr:colOff>
      <xdr:row>17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228264D7-F62D-4B37-AA15-5CEDF393B6AC}"/>
            </a:ext>
          </a:extLst>
        </xdr:cNvPr>
        <xdr:cNvCxnSpPr/>
      </xdr:nvCxnSpPr>
      <xdr:spPr>
        <a:xfrm rot="5400000">
          <a:off x="58000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20</xdr:row>
      <xdr:rowOff>0</xdr:rowOff>
    </xdr:from>
    <xdr:to>
      <xdr:col>3</xdr:col>
      <xdr:colOff>815499</xdr:colOff>
      <xdr:row>20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6012696B-FAB4-48A2-A854-B010283AD6FA}"/>
            </a:ext>
          </a:extLst>
        </xdr:cNvPr>
        <xdr:cNvCxnSpPr/>
      </xdr:nvCxnSpPr>
      <xdr:spPr>
        <a:xfrm rot="5400000">
          <a:off x="57974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973931</xdr:colOff>
      <xdr:row>28</xdr:row>
      <xdr:rowOff>73818</xdr:rowOff>
    </xdr:from>
    <xdr:to>
      <xdr:col>4</xdr:col>
      <xdr:colOff>450056</xdr:colOff>
      <xdr:row>32</xdr:row>
      <xdr:rowOff>150018</xdr:rowOff>
    </xdr:to>
    <xdr:pic>
      <xdr:nvPicPr>
        <xdr:cNvPr id="2090138" name="Imagen 77">
          <a:extLst>
            <a:ext uri="{FF2B5EF4-FFF2-40B4-BE49-F238E27FC236}">
              <a16:creationId xmlns:a16="http://schemas.microsoft.com/office/drawing/2014/main" id="{CE72A7F0-A036-4A1C-B7D4-7E8DF4D3E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6494" y="7586662"/>
          <a:ext cx="1166812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28</xdr:row>
      <xdr:rowOff>0</xdr:rowOff>
    </xdr:from>
    <xdr:to>
      <xdr:col>0</xdr:col>
      <xdr:colOff>831374</xdr:colOff>
      <xdr:row>28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404B0B98-AC3E-4D02-938E-B624162C0FDD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28</xdr:row>
      <xdr:rowOff>0</xdr:rowOff>
    </xdr:from>
    <xdr:to>
      <xdr:col>0</xdr:col>
      <xdr:colOff>831374</xdr:colOff>
      <xdr:row>28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709C4BFA-31F6-45A0-8140-7E745F8A505C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2B607ABE-171A-4BD5-8F54-9C11F31EBF9D}"/>
            </a:ext>
          </a:extLst>
        </xdr:cNvPr>
        <xdr:cNvCxnSpPr/>
      </xdr:nvCxnSpPr>
      <xdr:spPr>
        <a:xfrm rot="5400000">
          <a:off x="551775" y="64597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36F10707-AEBF-4425-A97D-EFAED11B83BF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AF247202-9E3A-493A-9C96-AAD8653DE557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FB9084D0-F9B9-4272-93C1-34EADB4F2A5B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71430" name="Imagen 18">
          <a:extLst>
            <a:ext uri="{FF2B5EF4-FFF2-40B4-BE49-F238E27FC236}">
              <a16:creationId xmlns:a16="http://schemas.microsoft.com/office/drawing/2014/main" id="{F4B853C0-3555-4294-AFFC-8C88C8E27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3</xdr:row>
      <xdr:rowOff>0</xdr:rowOff>
    </xdr:to>
    <xdr:pic>
      <xdr:nvPicPr>
        <xdr:cNvPr id="2071431" name="Imagen 19">
          <a:extLst>
            <a:ext uri="{FF2B5EF4-FFF2-40B4-BE49-F238E27FC236}">
              <a16:creationId xmlns:a16="http://schemas.microsoft.com/office/drawing/2014/main" id="{E0ED671A-3A86-4930-B3A6-324B0793C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635CECE8-B628-4806-865D-E8D9B52B4BA0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E347B3A1-E6A7-47C3-9174-46BF03E28646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797BD49F-9F10-4993-9A30-E6C9C1349489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F6222AF-19D6-469B-BAAB-000A8CF08E27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6F6511D6-21FB-4214-B73D-398BCF99B699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8D81CBE7-FADB-40DB-803C-A4A39464FB0B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560E38FE-1C5A-4CAB-8A55-1F95F14ABFE1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77BD33E0-DA1B-4D8D-B075-D51DB6AE8D7B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3FBCBA87-7C0E-4BA5-A30A-AE11172C8D93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D9B6AB26-2F30-4509-8C0C-641C0649E3DA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287C5D44-5524-4B5B-8EA2-C290E91C1921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10A76C63-719A-438B-8681-8F151E833345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1269206</xdr:colOff>
      <xdr:row>28</xdr:row>
      <xdr:rowOff>88106</xdr:rowOff>
    </xdr:from>
    <xdr:to>
      <xdr:col>4</xdr:col>
      <xdr:colOff>459581</xdr:colOff>
      <xdr:row>32</xdr:row>
      <xdr:rowOff>0</xdr:rowOff>
    </xdr:to>
    <xdr:pic>
      <xdr:nvPicPr>
        <xdr:cNvPr id="2071444" name="Imagen 77">
          <a:extLst>
            <a:ext uri="{FF2B5EF4-FFF2-40B4-BE49-F238E27FC236}">
              <a16:creationId xmlns:a16="http://schemas.microsoft.com/office/drawing/2014/main" id="{6923D54E-43BD-471C-B24E-FCEC95405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1769" y="7600950"/>
          <a:ext cx="881062" cy="72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466725</xdr:colOff>
      <xdr:row>2</xdr:row>
      <xdr:rowOff>333375</xdr:rowOff>
    </xdr:to>
    <xdr:pic>
      <xdr:nvPicPr>
        <xdr:cNvPr id="1819392" name="Imagen 18">
          <a:extLst>
            <a:ext uri="{FF2B5EF4-FFF2-40B4-BE49-F238E27FC236}">
              <a16:creationId xmlns:a16="http://schemas.microsoft.com/office/drawing/2014/main" id="{7E187343-4C82-4ED8-AD1B-BBB456F69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1462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1247775</xdr:colOff>
      <xdr:row>0</xdr:row>
      <xdr:rowOff>0</xdr:rowOff>
    </xdr:from>
    <xdr:to>
      <xdr:col>10</xdr:col>
      <xdr:colOff>685800</xdr:colOff>
      <xdr:row>3</xdr:row>
      <xdr:rowOff>0</xdr:rowOff>
    </xdr:to>
    <xdr:pic>
      <xdr:nvPicPr>
        <xdr:cNvPr id="1819393" name="Imagen 19">
          <a:extLst>
            <a:ext uri="{FF2B5EF4-FFF2-40B4-BE49-F238E27FC236}">
              <a16:creationId xmlns:a16="http://schemas.microsoft.com/office/drawing/2014/main" id="{D16D704C-ED31-447A-A2C9-3AE410CDD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72950" y="0"/>
          <a:ext cx="183832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4%20Informe%20financiero/2022/12%20diciembre/Anexo%201.%20Informe%20de%20ejecuci&#243;n%20financiera%20diciemb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2%20informe%20de%20iva/2023/01%20Enero/Informe%20de%20facturas%20con%20IVA%20Enero%20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8%20Pagos%20Paola/2022/12%20diciembre/Diciembrereporte_2022CIERRE_PARG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8%20Pagos%20Paola/2022/12%20diciembre/comparacion%20de%20ejecuciones%20NOVIEMBRE%20-%20DICIEMBR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4%20Informe%20financiero/2022/12%20diciembre/881%20todas%20las%20vigencia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CORRIENTE%20NO%20CORRIENTE%20ENERO%20202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a%20Ivan%20Gomez/GMF%20a%20marzo%202022/traslado%20de%20impues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iembre - 2022"/>
      <sheetName val="Hoja1"/>
      <sheetName val="Adhesiones"/>
      <sheetName val="Conciliación Quipu"/>
      <sheetName val="Anexo 3-Porcion C-NC"/>
      <sheetName val="Cta 11100613"/>
      <sheetName val="Cta 29020102"/>
      <sheetName val="Cta 29020103 rend"/>
      <sheetName val="Cta 19050301"/>
      <sheetName val="Mov Cta BBVA"/>
      <sheetName val="Mov Cta OCCIDENTE"/>
      <sheetName val="Anexo. Matrix"/>
      <sheetName val="GMF"/>
      <sheetName val="Impuestos"/>
      <sheetName val="Anexo 2 Sena"/>
      <sheetName val="Anexo 7 Capital Semilla"/>
      <sheetName val="Anexo 6 Tauramena"/>
      <sheetName val="Anexo 5 Itagüí"/>
      <sheetName val="Anexo 7 Villanueva"/>
      <sheetName val="Anexo 8 San Juan de Urabá"/>
      <sheetName val="Anexo 9 Yarumal"/>
      <sheetName val="Anexo 10 Garzón"/>
      <sheetName val="Anexo 11 Dpto Sucre"/>
      <sheetName val="Anexo 12 Planadas"/>
      <sheetName val="Anexo 13 Caldas"/>
      <sheetName val="Anexo 14 Bugalagrande"/>
      <sheetName val="Anexo 15 Carmen de Viboral"/>
      <sheetName val="Anexo 16 Planeta Rica"/>
      <sheetName val="Anexo 17 Barrancabermeja"/>
      <sheetName val="Anexo 18 Gramalote"/>
      <sheetName val="Anexo 19 Pastoral Social"/>
      <sheetName val="Anexo 20 Minera de Cobre"/>
      <sheetName val="Anexo 21 Ministerio del Interio"/>
      <sheetName val="Anexo 22 Municipio Manizales"/>
      <sheetName val="Anexo 24 Municipio de la virgin"/>
      <sheetName val="Anexo 23 Dpto Norte de Santande"/>
      <sheetName val="Anexo 25 Municipio Acacias"/>
      <sheetName val="Anexo 26 Distrito Riohacha"/>
      <sheetName val="Anexo 4- Relación facturas IVA"/>
    </sheetNames>
    <sheetDataSet>
      <sheetData sheetId="0">
        <row r="24">
          <cell r="L24">
            <v>14152155380.084026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- Relación facturas IVA"/>
    </sheetNames>
    <sheetDataSet>
      <sheetData sheetId="0">
        <row r="6">
          <cell r="A6">
            <v>44953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Consolidado DICIEMBRE"/>
      <sheetName val="Ejecutado diciembre"/>
      <sheetName val="Ejecutado_dic_Conv"/>
      <sheetName val="Ejecutado_dic_PDN"/>
      <sheetName val="Rechazos diciembre"/>
      <sheetName val="Rechazos_dic_tipo"/>
      <sheetName val="Hoja1"/>
      <sheetName val="Detalle aplicados acumulado"/>
      <sheetName val="Ejecutado_acumulado_Conv"/>
      <sheetName val="Ejecutado_acumulado_PDN"/>
      <sheetName val="Ejecutado_acumulado_terceros"/>
      <sheetName val="Detalle rechazos acumu mesxmes"/>
      <sheetName val="Rechazos_Acumulad_tipología"/>
      <sheetName val="Rechazos_conv_PDN_acti"/>
      <sheetName val="Informativo Reprocesos"/>
      <sheetName val="Reintegros Certificados Fiducia"/>
      <sheetName val="Reintegros acumulados"/>
    </sheetNames>
    <sheetDataSet>
      <sheetData sheetId="0"/>
      <sheetData sheetId="1">
        <row r="450">
          <cell r="N450">
            <v>1147686367.02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</sheetNames>
    <sheetDataSet>
      <sheetData sheetId="0"/>
      <sheetData sheetId="1">
        <row r="29">
          <cell r="Z29">
            <v>46728771591.060013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81 todas las vigencias2"/>
    </sheetNames>
    <sheetDataSet>
      <sheetData sheetId="0">
        <row r="7">
          <cell r="AJ7">
            <v>176607000</v>
          </cell>
        </row>
        <row r="83">
          <cell r="AI83">
            <v>2510000</v>
          </cell>
        </row>
        <row r="91">
          <cell r="AK91">
            <v>6410130</v>
          </cell>
        </row>
        <row r="95">
          <cell r="AK95">
            <v>6675781</v>
          </cell>
        </row>
        <row r="116">
          <cell r="AK116">
            <v>32975376</v>
          </cell>
        </row>
        <row r="145">
          <cell r="AI145">
            <v>37650000</v>
          </cell>
        </row>
        <row r="149">
          <cell r="AI149">
            <v>1255000</v>
          </cell>
        </row>
        <row r="152">
          <cell r="AK152">
            <v>2510000</v>
          </cell>
        </row>
        <row r="155">
          <cell r="AI155">
            <v>52710001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IENTE NO CORRIENTE ENERO 20"/>
    </sheetNames>
    <sheetDataSet>
      <sheetData sheetId="0">
        <row r="2">
          <cell r="C2" t="str">
            <v>MUNICIPIO DE TAURAMENA</v>
          </cell>
          <cell r="D2" t="str">
            <v>-50,345,911.69</v>
          </cell>
          <cell r="E2">
            <v>0</v>
          </cell>
          <cell r="F2">
            <v>0</v>
          </cell>
          <cell r="G2">
            <v>50345911.689999998</v>
          </cell>
        </row>
        <row r="3">
          <cell r="C3" t="str">
            <v>MUNICIPIO DE SAN JUAN DE URABA</v>
          </cell>
          <cell r="D3" t="str">
            <v>-14,198,011.00</v>
          </cell>
          <cell r="E3">
            <v>0</v>
          </cell>
          <cell r="F3">
            <v>0</v>
          </cell>
          <cell r="G3">
            <v>14198011</v>
          </cell>
        </row>
        <row r="4">
          <cell r="C4" t="str">
            <v>EMBAJADA DE FRANCIA EN COLOMBIA</v>
          </cell>
          <cell r="D4" t="str">
            <v xml:space="preserve"> .00</v>
          </cell>
          <cell r="E4">
            <v>3728000</v>
          </cell>
          <cell r="F4">
            <v>3728000</v>
          </cell>
          <cell r="G4">
            <v>0</v>
          </cell>
        </row>
        <row r="5">
          <cell r="C5" t="str">
            <v>MUNICIPIO DE PLANETA RICA</v>
          </cell>
          <cell r="D5" t="str">
            <v>-3,996,145.00</v>
          </cell>
          <cell r="E5">
            <v>0</v>
          </cell>
          <cell r="F5">
            <v>0</v>
          </cell>
          <cell r="G5">
            <v>3996145</v>
          </cell>
        </row>
        <row r="6">
          <cell r="C6" t="str">
            <v>MUNICIPIO DE PLANADAS</v>
          </cell>
          <cell r="D6" t="str">
            <v>-56,832,602.00</v>
          </cell>
          <cell r="E6">
            <v>0</v>
          </cell>
          <cell r="F6">
            <v>0</v>
          </cell>
          <cell r="G6">
            <v>56832602</v>
          </cell>
        </row>
        <row r="7">
          <cell r="C7" t="str">
            <v>DEPARTAMENTO NORTE DE SANTANDER</v>
          </cell>
          <cell r="D7" t="str">
            <v>-81,088,239.22</v>
          </cell>
          <cell r="E7">
            <v>0</v>
          </cell>
          <cell r="F7">
            <v>0</v>
          </cell>
          <cell r="G7">
            <v>81088239.219999999</v>
          </cell>
        </row>
        <row r="8">
          <cell r="C8" t="str">
            <v>MINISTERIO DEL INTERIOR</v>
          </cell>
          <cell r="D8" t="str">
            <v>-12,811,853.00</v>
          </cell>
          <cell r="E8">
            <v>0</v>
          </cell>
          <cell r="F8">
            <v>0</v>
          </cell>
          <cell r="G8">
            <v>12811853</v>
          </cell>
        </row>
        <row r="9">
          <cell r="C9" t="str">
            <v>NESTLE DE COLOMBIA S A</v>
          </cell>
          <cell r="D9" t="str">
            <v>-55,331,374.00</v>
          </cell>
          <cell r="E9">
            <v>0</v>
          </cell>
          <cell r="F9">
            <v>0</v>
          </cell>
          <cell r="G9">
            <v>55331374</v>
          </cell>
        </row>
        <row r="10">
          <cell r="C10" t="str">
            <v>BANCO BILBAO VIZCAYA ARGENTARIA COLOMBIA SA</v>
          </cell>
          <cell r="D10" t="str">
            <v xml:space="preserve"> .00</v>
          </cell>
          <cell r="E10">
            <v>26265</v>
          </cell>
          <cell r="F10">
            <v>26265</v>
          </cell>
          <cell r="G10">
            <v>0</v>
          </cell>
        </row>
        <row r="11">
          <cell r="C11" t="str">
            <v>BANCO DAVIVIENDA SA</v>
          </cell>
          <cell r="D11" t="str">
            <v xml:space="preserve"> .00</v>
          </cell>
          <cell r="E11">
            <v>352709.16</v>
          </cell>
          <cell r="F11">
            <v>352709.16</v>
          </cell>
          <cell r="G11">
            <v>0</v>
          </cell>
        </row>
        <row r="12">
          <cell r="C12" t="str">
            <v>SECRETARIADO NACIONAL DE PASTORAL SOCIAL CARITAS COLOMBIANA</v>
          </cell>
          <cell r="D12" t="str">
            <v>-88,530,000.00</v>
          </cell>
          <cell r="E12">
            <v>88530000</v>
          </cell>
          <cell r="F12">
            <v>0</v>
          </cell>
          <cell r="G12">
            <v>0</v>
          </cell>
        </row>
        <row r="13">
          <cell r="C13" t="str">
            <v>MUNICIPIO DE BARRANCABERMEJA</v>
          </cell>
          <cell r="D13" t="str">
            <v>-71,850,341.00</v>
          </cell>
          <cell r="E13">
            <v>0</v>
          </cell>
          <cell r="F13">
            <v>0</v>
          </cell>
          <cell r="G13">
            <v>71850341</v>
          </cell>
        </row>
        <row r="14">
          <cell r="C14" t="str">
            <v>BUENAVENTURA DISTRITO ESPECIAL INDUSTRIAL PORTUARIO BIODIVERSO Y ECOTURISTICO</v>
          </cell>
          <cell r="D14" t="str">
            <v>-1,000,000,000.00</v>
          </cell>
          <cell r="E14">
            <v>0</v>
          </cell>
          <cell r="F14">
            <v>0</v>
          </cell>
          <cell r="G14">
            <v>1000000000</v>
          </cell>
        </row>
        <row r="15">
          <cell r="C15" t="str">
            <v>MUNICIPIO DE MANIZALES</v>
          </cell>
          <cell r="D15" t="str">
            <v>-210,372,949.00</v>
          </cell>
          <cell r="E15">
            <v>0</v>
          </cell>
          <cell r="F15">
            <v>0</v>
          </cell>
          <cell r="G15">
            <v>210372949</v>
          </cell>
        </row>
        <row r="16">
          <cell r="C16" t="str">
            <v>MUNICIPIO DE ITAGUI</v>
          </cell>
          <cell r="D16" t="str">
            <v>-20,720,157.00</v>
          </cell>
          <cell r="E16">
            <v>0</v>
          </cell>
          <cell r="F16">
            <v>0</v>
          </cell>
          <cell r="G16">
            <v>20720157</v>
          </cell>
        </row>
        <row r="17">
          <cell r="C17" t="str">
            <v>MUNICIPIO DE YARUMAL</v>
          </cell>
          <cell r="D17" t="str">
            <v>-520,073.00</v>
          </cell>
          <cell r="E17">
            <v>0</v>
          </cell>
          <cell r="F17">
            <v>0</v>
          </cell>
          <cell r="G17">
            <v>520073</v>
          </cell>
        </row>
        <row r="18">
          <cell r="C18" t="str">
            <v>MUNICIPIO DE CALDAS</v>
          </cell>
          <cell r="D18" t="str">
            <v>-31,840,570.00</v>
          </cell>
          <cell r="E18">
            <v>0</v>
          </cell>
          <cell r="F18">
            <v>0</v>
          </cell>
          <cell r="G18">
            <v>31840570</v>
          </cell>
        </row>
        <row r="19">
          <cell r="C19" t="str">
            <v>MUNICIPIO EL CARMEN DE VIBORAL</v>
          </cell>
          <cell r="D19" t="str">
            <v>-82,644,650.20</v>
          </cell>
          <cell r="E19">
            <v>0</v>
          </cell>
          <cell r="F19">
            <v>0</v>
          </cell>
          <cell r="G19">
            <v>82644650.200000003</v>
          </cell>
        </row>
        <row r="20">
          <cell r="C20" t="str">
            <v>MUNICIPIO DE GARZON</v>
          </cell>
          <cell r="D20" t="str">
            <v>-20,869,859.00</v>
          </cell>
          <cell r="E20">
            <v>11166</v>
          </cell>
          <cell r="F20">
            <v>0</v>
          </cell>
          <cell r="G20">
            <v>20858693</v>
          </cell>
        </row>
        <row r="21">
          <cell r="C21" t="str">
            <v>MUNICIPIO DE CANDELARIA</v>
          </cell>
          <cell r="D21" t="str">
            <v>-3,482,091.00</v>
          </cell>
          <cell r="E21">
            <v>0</v>
          </cell>
          <cell r="F21">
            <v>0</v>
          </cell>
          <cell r="G21">
            <v>3482091</v>
          </cell>
        </row>
        <row r="22">
          <cell r="C22" t="str">
            <v>MUNICIPIO DE LA VIRGINIA</v>
          </cell>
          <cell r="D22" t="str">
            <v>-34,064,251.00</v>
          </cell>
          <cell r="E22">
            <v>0</v>
          </cell>
          <cell r="F22">
            <v>0</v>
          </cell>
          <cell r="G22">
            <v>34064251</v>
          </cell>
        </row>
        <row r="23">
          <cell r="C23" t="str">
            <v>MUNICIPIO DE BUGALAGRANDE</v>
          </cell>
          <cell r="D23" t="str">
            <v>-.37</v>
          </cell>
          <cell r="E23">
            <v>0</v>
          </cell>
          <cell r="F23">
            <v>0</v>
          </cell>
          <cell r="G23">
            <v>0.37</v>
          </cell>
        </row>
        <row r="24">
          <cell r="C24" t="str">
            <v>MUNICIPIO DE ACACIAS</v>
          </cell>
          <cell r="D24" t="str">
            <v>-56,263,943.00</v>
          </cell>
          <cell r="E24">
            <v>0</v>
          </cell>
          <cell r="F24">
            <v>0</v>
          </cell>
          <cell r="G24">
            <v>56263943</v>
          </cell>
        </row>
        <row r="25">
          <cell r="C25" t="str">
            <v>DISTRITO ESPECIAL TURISTICO Y CULTURAL DE RIOHACHA</v>
          </cell>
          <cell r="D25" t="str">
            <v>-7,282,050.00</v>
          </cell>
          <cell r="E25">
            <v>0</v>
          </cell>
          <cell r="F25">
            <v>0</v>
          </cell>
          <cell r="G25">
            <v>7282050</v>
          </cell>
        </row>
        <row r="26">
          <cell r="C26" t="str">
            <v>DEPARTAMENTO DE SUCRE</v>
          </cell>
          <cell r="D26" t="str">
            <v>-25,512,695.00</v>
          </cell>
          <cell r="E26">
            <v>0</v>
          </cell>
          <cell r="F26">
            <v>0</v>
          </cell>
          <cell r="G26">
            <v>25512695</v>
          </cell>
        </row>
        <row r="27">
          <cell r="C27" t="str">
            <v>DEPARTAMENTO DEL CESAR</v>
          </cell>
          <cell r="D27" t="str">
            <v>-26,593,738.00</v>
          </cell>
          <cell r="E27">
            <v>0</v>
          </cell>
          <cell r="F27">
            <v>0</v>
          </cell>
          <cell r="G27">
            <v>26593738</v>
          </cell>
        </row>
        <row r="28">
          <cell r="C28" t="str">
            <v>SERVICIO NACIONAL DE APRENDIZAJE</v>
          </cell>
          <cell r="D28" t="str">
            <v>-18,531,946,485.83</v>
          </cell>
          <cell r="E28">
            <v>31746893</v>
          </cell>
          <cell r="F28">
            <v>4000000</v>
          </cell>
          <cell r="G28">
            <v>18504199592.830002</v>
          </cell>
        </row>
        <row r="29">
          <cell r="C29" t="str">
            <v>GRAMALOTE COLOMBIA LIMITED</v>
          </cell>
          <cell r="D29" t="str">
            <v>-33,501,360.00</v>
          </cell>
          <cell r="E29">
            <v>1253816</v>
          </cell>
          <cell r="F29">
            <v>1253816</v>
          </cell>
          <cell r="G29">
            <v>33501360</v>
          </cell>
        </row>
        <row r="30">
          <cell r="C30" t="str">
            <v>MINERA DE COBRE QUEBRADONA S.A.S BENEFICIO E INTERÉS COLECTIVO</v>
          </cell>
          <cell r="D30" t="str">
            <v>-18,012,523.00</v>
          </cell>
          <cell r="E30">
            <v>0</v>
          </cell>
          <cell r="F30">
            <v>0</v>
          </cell>
          <cell r="G30">
            <v>18012523</v>
          </cell>
        </row>
        <row r="31">
          <cell r="C31" t="str">
            <v>MUNICIPIO DE TAURAMENA</v>
          </cell>
          <cell r="D31" t="str">
            <v>-347,840.37</v>
          </cell>
          <cell r="E31">
            <v>0</v>
          </cell>
          <cell r="F31">
            <v>4308.96</v>
          </cell>
          <cell r="G31">
            <v>352149.33</v>
          </cell>
        </row>
        <row r="32">
          <cell r="C32" t="str">
            <v>MUNICIPIO DE SAN JUAN DE URABA</v>
          </cell>
          <cell r="D32" t="str">
            <v>-343,907.41</v>
          </cell>
          <cell r="E32">
            <v>0</v>
          </cell>
          <cell r="F32">
            <v>1236.06</v>
          </cell>
          <cell r="G32">
            <v>345143.47</v>
          </cell>
        </row>
        <row r="33">
          <cell r="C33" t="str">
            <v>MUNICIPIO DE PLANETA RICA</v>
          </cell>
          <cell r="D33" t="str">
            <v>-381,221.31</v>
          </cell>
          <cell r="E33">
            <v>0</v>
          </cell>
          <cell r="F33">
            <v>372.07</v>
          </cell>
          <cell r="G33">
            <v>381593.38</v>
          </cell>
        </row>
        <row r="34">
          <cell r="C34" t="str">
            <v>MUNICIPIO DE PLANADAS</v>
          </cell>
          <cell r="D34" t="str">
            <v>-249,749.62</v>
          </cell>
          <cell r="E34">
            <v>0</v>
          </cell>
          <cell r="F34">
            <v>4851.99</v>
          </cell>
          <cell r="G34">
            <v>254601.61</v>
          </cell>
        </row>
        <row r="35">
          <cell r="C35" t="str">
            <v>DEPARTAMENTO NORTE DE SANTANDER</v>
          </cell>
          <cell r="D35" t="str">
            <v>-359,650.26</v>
          </cell>
          <cell r="E35">
            <v>0</v>
          </cell>
          <cell r="F35">
            <v>6923.07</v>
          </cell>
          <cell r="G35">
            <v>366573.33</v>
          </cell>
        </row>
        <row r="36">
          <cell r="C36" t="str">
            <v>MINISTERIO DEL INTERIOR</v>
          </cell>
          <cell r="D36" t="str">
            <v>-17,782,918.55</v>
          </cell>
          <cell r="E36">
            <v>0</v>
          </cell>
          <cell r="F36">
            <v>960.32</v>
          </cell>
          <cell r="G36">
            <v>17783878.870000001</v>
          </cell>
        </row>
        <row r="37">
          <cell r="C37" t="str">
            <v>NESTLE DE COLOMBIA S A</v>
          </cell>
          <cell r="D37" t="str">
            <v>-13,113,729.00</v>
          </cell>
          <cell r="E37">
            <v>0</v>
          </cell>
          <cell r="F37">
            <v>440376</v>
          </cell>
          <cell r="G37">
            <v>13554105</v>
          </cell>
        </row>
        <row r="38">
          <cell r="C38" t="str">
            <v>SECRETARIADO NACIONAL DE PASTORAL SOCIAL CARITAS COLOMBIANA</v>
          </cell>
          <cell r="D38" t="str">
            <v>-121,940.71</v>
          </cell>
          <cell r="E38">
            <v>0</v>
          </cell>
          <cell r="F38">
            <v>7535.41</v>
          </cell>
          <cell r="G38">
            <v>129476.12</v>
          </cell>
        </row>
        <row r="39">
          <cell r="C39" t="str">
            <v>MUNICIPIO DE BARRANCABERMEJA</v>
          </cell>
          <cell r="D39" t="str">
            <v>-660,730.05</v>
          </cell>
          <cell r="E39">
            <v>0</v>
          </cell>
          <cell r="F39">
            <v>6163.44</v>
          </cell>
          <cell r="G39">
            <v>666893.49</v>
          </cell>
        </row>
        <row r="40">
          <cell r="C40" t="str">
            <v>BUENAVENTURA DISTRITO ESPECIAL INDUSTRIAL PORTUARIO BIODIVERSO Y ECOTURISTICO</v>
          </cell>
          <cell r="D40" t="str">
            <v>-27,264,827.00</v>
          </cell>
          <cell r="E40">
            <v>0</v>
          </cell>
          <cell r="F40">
            <v>6609422</v>
          </cell>
          <cell r="G40">
            <v>33874249</v>
          </cell>
        </row>
        <row r="41">
          <cell r="C41" t="str">
            <v>MUNICIPIO DE MANIZALES</v>
          </cell>
          <cell r="D41" t="str">
            <v>-1,206,160.32</v>
          </cell>
          <cell r="E41">
            <v>0</v>
          </cell>
          <cell r="F41">
            <v>17984.22</v>
          </cell>
          <cell r="G41">
            <v>1224144.54</v>
          </cell>
        </row>
        <row r="42">
          <cell r="C42" t="str">
            <v>MUNICIPIO DE ITAGUI</v>
          </cell>
          <cell r="D42" t="str">
            <v>-764,225.58</v>
          </cell>
          <cell r="E42">
            <v>0</v>
          </cell>
          <cell r="F42">
            <v>1826.17</v>
          </cell>
          <cell r="G42">
            <v>766051.75</v>
          </cell>
        </row>
        <row r="43">
          <cell r="C43" t="str">
            <v>MUNICIPIO DE YARUMAL</v>
          </cell>
          <cell r="D43" t="str">
            <v>-238,633.30</v>
          </cell>
          <cell r="E43">
            <v>0</v>
          </cell>
          <cell r="F43">
            <v>64.489999999999995</v>
          </cell>
          <cell r="G43">
            <v>238697.79</v>
          </cell>
        </row>
        <row r="44">
          <cell r="C44" t="str">
            <v>MUNICIPIO DE CALDAS</v>
          </cell>
          <cell r="D44" t="str">
            <v>-533,766.97</v>
          </cell>
          <cell r="E44">
            <v>0</v>
          </cell>
          <cell r="F44">
            <v>2751.81</v>
          </cell>
          <cell r="G44">
            <v>536518.78</v>
          </cell>
        </row>
        <row r="45">
          <cell r="C45" t="str">
            <v>MUNICIPIO EL CARMEN DE VIBORAL</v>
          </cell>
          <cell r="D45" t="str">
            <v>-458,586.01</v>
          </cell>
          <cell r="E45">
            <v>0</v>
          </cell>
          <cell r="F45">
            <v>7063.77</v>
          </cell>
          <cell r="G45">
            <v>465649.78</v>
          </cell>
        </row>
        <row r="46">
          <cell r="C46" t="str">
            <v>MUNICIPIO DE GARZON</v>
          </cell>
          <cell r="D46" t="str">
            <v>-187,894.49</v>
          </cell>
          <cell r="E46">
            <v>0</v>
          </cell>
          <cell r="F46">
            <v>1788.96</v>
          </cell>
          <cell r="G46">
            <v>189683.45</v>
          </cell>
        </row>
        <row r="47">
          <cell r="C47" t="str">
            <v>MUNICIPIO DE CANDELARIA</v>
          </cell>
          <cell r="D47" t="str">
            <v>-6,064,735.00</v>
          </cell>
          <cell r="E47">
            <v>0</v>
          </cell>
          <cell r="F47">
            <v>61425</v>
          </cell>
          <cell r="G47">
            <v>6126160</v>
          </cell>
        </row>
        <row r="48">
          <cell r="C48" t="str">
            <v>MUNICIPIO DE LA VIRGINIA</v>
          </cell>
          <cell r="D48" t="str">
            <v>-170,301.14</v>
          </cell>
          <cell r="E48">
            <v>0</v>
          </cell>
          <cell r="F48">
            <v>2909.93</v>
          </cell>
          <cell r="G48">
            <v>173211.07</v>
          </cell>
        </row>
        <row r="49">
          <cell r="C49" t="str">
            <v>MUNICIPIO DE BUGALAGRANDE</v>
          </cell>
          <cell r="D49" t="str">
            <v>-228,356.23</v>
          </cell>
          <cell r="E49">
            <v>0</v>
          </cell>
          <cell r="F49">
            <v>2842.71</v>
          </cell>
          <cell r="G49">
            <v>231198.94</v>
          </cell>
        </row>
        <row r="50">
          <cell r="C50" t="str">
            <v>MUNICIPIO DE ACACIAS</v>
          </cell>
          <cell r="D50" t="str">
            <v>-7,443,670.00</v>
          </cell>
          <cell r="E50">
            <v>0</v>
          </cell>
          <cell r="F50">
            <v>323555</v>
          </cell>
          <cell r="G50">
            <v>7767225</v>
          </cell>
        </row>
        <row r="51">
          <cell r="C51" t="str">
            <v>MUNICIPIO DE VILLANUEVA</v>
          </cell>
          <cell r="D51" t="str">
            <v>-329,315.42</v>
          </cell>
          <cell r="E51">
            <v>0</v>
          </cell>
          <cell r="F51">
            <v>27.99</v>
          </cell>
          <cell r="G51">
            <v>329343.40999999997</v>
          </cell>
        </row>
        <row r="52">
          <cell r="C52" t="str">
            <v>DISTRITO ESPECIAL TURISTICO Y CULTURAL DE RIOHACHA</v>
          </cell>
          <cell r="D52" t="str">
            <v>-2,579,098.00</v>
          </cell>
          <cell r="E52">
            <v>0</v>
          </cell>
          <cell r="F52">
            <v>63447</v>
          </cell>
          <cell r="G52">
            <v>2642545</v>
          </cell>
        </row>
        <row r="53">
          <cell r="C53" t="str">
            <v>DEPARTAMENTO DE SUCRE</v>
          </cell>
          <cell r="D53" t="str">
            <v>-445,205.77</v>
          </cell>
          <cell r="E53">
            <v>0</v>
          </cell>
          <cell r="F53">
            <v>2206.42</v>
          </cell>
          <cell r="G53">
            <v>447412.19</v>
          </cell>
        </row>
        <row r="54">
          <cell r="C54" t="str">
            <v>DEPARTAMENTO DEL CESAR</v>
          </cell>
          <cell r="D54" t="str">
            <v>-13,508,810.00</v>
          </cell>
          <cell r="E54">
            <v>0</v>
          </cell>
          <cell r="F54">
            <v>258020</v>
          </cell>
          <cell r="G54">
            <v>13766830</v>
          </cell>
        </row>
        <row r="55">
          <cell r="C55" t="str">
            <v>SERVICIO NACIONAL DE APRENDIZAJE</v>
          </cell>
          <cell r="D55" t="str">
            <v>-642,401,380.57</v>
          </cell>
          <cell r="E55">
            <v>0</v>
          </cell>
          <cell r="F55">
            <v>131936036.90000001</v>
          </cell>
          <cell r="G55">
            <v>774337417.47000003</v>
          </cell>
        </row>
        <row r="56">
          <cell r="C56" t="str">
            <v>GRAMALOTE COLOMBIA LIMITED</v>
          </cell>
          <cell r="D56" t="str">
            <v>-626,907.61</v>
          </cell>
          <cell r="E56">
            <v>1253816</v>
          </cell>
          <cell r="F56">
            <v>1256716.8999999999</v>
          </cell>
          <cell r="G56">
            <v>629808.51</v>
          </cell>
        </row>
        <row r="57">
          <cell r="C57" t="str">
            <v>MINERA DE COBRE QUEBRADONA S.A.S BENEFICIO E INTERÉS COLECTIVO</v>
          </cell>
          <cell r="D57" t="str">
            <v>-584,215.78</v>
          </cell>
          <cell r="E57">
            <v>0</v>
          </cell>
          <cell r="F57">
            <v>1580.72</v>
          </cell>
          <cell r="G57">
            <v>585796.5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gresos a Marzo"/>
      <sheetName val="Hoja1"/>
      <sheetName val="Hoja3"/>
    </sheetNames>
    <sheetDataSet>
      <sheetData sheetId="0">
        <row r="126">
          <cell r="J126">
            <v>1312500</v>
          </cell>
        </row>
        <row r="127">
          <cell r="I127">
            <v>694538</v>
          </cell>
          <cell r="J127">
            <v>2680672</v>
          </cell>
          <cell r="K127">
            <v>211042</v>
          </cell>
        </row>
        <row r="128">
          <cell r="K128">
            <v>19150</v>
          </cell>
        </row>
        <row r="130">
          <cell r="I130">
            <v>694538</v>
          </cell>
          <cell r="J130">
            <v>2680672</v>
          </cell>
          <cell r="K130">
            <v>211042</v>
          </cell>
        </row>
        <row r="136">
          <cell r="J136">
            <v>1312500</v>
          </cell>
        </row>
        <row r="143">
          <cell r="I143">
            <v>7191654</v>
          </cell>
        </row>
        <row r="144">
          <cell r="I144">
            <v>7852728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9"/>
  <dimension ref="A1:P258"/>
  <sheetViews>
    <sheetView showGridLines="0" tabSelected="1" topLeftCell="G13" zoomScale="69" zoomScaleNormal="69" zoomScaleSheetLayoutView="30" workbookViewId="0">
      <selection activeCell="L38" sqref="L38"/>
    </sheetView>
  </sheetViews>
  <sheetFormatPr baseColWidth="10" defaultRowHeight="14.25"/>
  <cols>
    <col min="1" max="1" width="22.28515625" style="107" customWidth="1"/>
    <col min="2" max="2" width="26" style="107" customWidth="1"/>
    <col min="3" max="3" width="45.140625" style="107" customWidth="1"/>
    <col min="4" max="4" width="45" style="107" customWidth="1"/>
    <col min="5" max="5" width="48.7109375" style="107" bestFit="1" customWidth="1"/>
    <col min="6" max="6" width="39" style="107" customWidth="1"/>
    <col min="7" max="7" width="32.140625" style="107" bestFit="1" customWidth="1"/>
    <col min="8" max="8" width="34.28515625" style="107" customWidth="1"/>
    <col min="9" max="9" width="36.7109375" style="107" customWidth="1"/>
    <col min="10" max="10" width="50.42578125" style="332" bestFit="1" customWidth="1"/>
    <col min="11" max="11" width="26.42578125" style="107" bestFit="1" customWidth="1"/>
    <col min="12" max="12" width="39.7109375" style="107" bestFit="1" customWidth="1"/>
    <col min="13" max="13" width="34" style="107" bestFit="1" customWidth="1"/>
    <col min="14" max="14" width="18.7109375" style="107" bestFit="1" customWidth="1"/>
    <col min="15" max="16384" width="11.42578125" style="107"/>
  </cols>
  <sheetData>
    <row r="1" spans="1:16" ht="36" customHeight="1">
      <c r="A1" s="1171" t="s">
        <v>1146</v>
      </c>
      <c r="B1" s="1171"/>
      <c r="C1" s="1171"/>
      <c r="D1" s="1171"/>
      <c r="E1" s="1171"/>
      <c r="F1" s="1171"/>
      <c r="G1" s="1171"/>
      <c r="H1" s="1171"/>
      <c r="I1" s="1171"/>
      <c r="J1" s="1171"/>
      <c r="K1" s="1171"/>
      <c r="L1" s="1171"/>
      <c r="M1" s="1171"/>
    </row>
    <row r="2" spans="1:16" ht="36" customHeight="1">
      <c r="A2" s="1171"/>
      <c r="B2" s="1171"/>
      <c r="C2" s="1171"/>
      <c r="D2" s="1171"/>
      <c r="E2" s="1171"/>
      <c r="F2" s="1171"/>
      <c r="G2" s="1171"/>
      <c r="H2" s="1171"/>
      <c r="I2" s="1171"/>
      <c r="J2" s="1171"/>
      <c r="K2" s="1171"/>
      <c r="L2" s="1171"/>
      <c r="M2" s="1171"/>
    </row>
    <row r="3" spans="1:16" ht="36" customHeight="1">
      <c r="A3" s="1171"/>
      <c r="B3" s="1171"/>
      <c r="C3" s="1171"/>
      <c r="D3" s="1171"/>
      <c r="E3" s="1171"/>
      <c r="F3" s="1171"/>
      <c r="G3" s="1171"/>
      <c r="H3" s="1171"/>
      <c r="I3" s="1171"/>
      <c r="J3" s="1171"/>
      <c r="K3" s="1171"/>
      <c r="L3" s="1171"/>
      <c r="M3" s="1171"/>
    </row>
    <row r="4" spans="1:16" ht="18">
      <c r="A4" s="660"/>
      <c r="B4" s="660"/>
      <c r="C4" s="660"/>
      <c r="D4" s="660"/>
      <c r="E4" s="660"/>
      <c r="F4" s="660"/>
      <c r="G4" s="660"/>
      <c r="H4" s="660"/>
      <c r="I4" s="660"/>
      <c r="J4" s="321"/>
      <c r="K4" s="660"/>
      <c r="L4" s="660"/>
      <c r="M4" s="660"/>
    </row>
    <row r="5" spans="1:16" ht="20.25">
      <c r="A5" s="1171" t="s">
        <v>0</v>
      </c>
      <c r="B5" s="1171"/>
      <c r="C5" s="1171"/>
      <c r="D5" s="1171"/>
      <c r="E5" s="1171"/>
      <c r="F5" s="1171"/>
      <c r="G5" s="1171"/>
      <c r="H5" s="1171"/>
      <c r="I5" s="1171"/>
      <c r="J5" s="1171"/>
      <c r="K5" s="1171"/>
      <c r="L5" s="1171"/>
      <c r="M5" s="1171"/>
    </row>
    <row r="6" spans="1:16" ht="23.25" customHeight="1" thickBot="1">
      <c r="A6" s="660"/>
      <c r="B6" s="660"/>
      <c r="C6" s="660"/>
      <c r="D6" s="660"/>
      <c r="E6" s="660"/>
      <c r="F6" s="660"/>
      <c r="G6" s="660"/>
      <c r="H6" s="660"/>
      <c r="I6" s="660"/>
      <c r="J6" s="322"/>
      <c r="K6" s="660"/>
      <c r="L6" s="660"/>
      <c r="M6" s="660"/>
    </row>
    <row r="7" spans="1:16" ht="34.5" customHeight="1" thickBot="1">
      <c r="A7" s="1172" t="s">
        <v>1</v>
      </c>
      <c r="B7" s="1173"/>
      <c r="C7" s="1173"/>
      <c r="D7" s="1173"/>
      <c r="E7" s="1173"/>
      <c r="F7" s="108" t="s">
        <v>2</v>
      </c>
      <c r="G7" s="659"/>
      <c r="H7" s="1174" t="s">
        <v>3</v>
      </c>
      <c r="I7" s="1175"/>
      <c r="J7" s="1175"/>
      <c r="K7" s="1175"/>
      <c r="L7" s="1176"/>
      <c r="M7" s="658"/>
    </row>
    <row r="8" spans="1:16" ht="15.75" customHeight="1">
      <c r="A8" s="1177" t="s">
        <v>4</v>
      </c>
      <c r="B8" s="1178"/>
      <c r="C8" s="1178"/>
      <c r="D8" s="1178"/>
      <c r="E8" s="223"/>
      <c r="F8" s="109">
        <f>SUM(E9:E16)</f>
        <v>108935190000</v>
      </c>
      <c r="G8" s="110"/>
      <c r="H8" s="1179" t="s">
        <v>5</v>
      </c>
      <c r="I8" s="1180"/>
      <c r="J8" s="1180"/>
      <c r="K8" s="1180"/>
      <c r="L8" s="657">
        <f>F23</f>
        <v>21524378124</v>
      </c>
      <c r="M8" s="1016"/>
      <c r="N8" s="1017"/>
    </row>
    <row r="9" spans="1:16" ht="15.75">
      <c r="A9" s="1177" t="s">
        <v>141</v>
      </c>
      <c r="B9" s="1178"/>
      <c r="C9" s="1178"/>
      <c r="D9" s="1178"/>
      <c r="E9" s="129">
        <v>45000000000</v>
      </c>
      <c r="F9" s="111"/>
      <c r="G9" s="112"/>
      <c r="H9" s="652" t="s">
        <v>6</v>
      </c>
      <c r="I9" s="641"/>
      <c r="J9" s="307"/>
      <c r="K9" s="641"/>
      <c r="L9" s="109">
        <f>F56</f>
        <v>12503935402</v>
      </c>
      <c r="M9" s="1016"/>
      <c r="N9" s="1017"/>
    </row>
    <row r="10" spans="1:16" ht="16.5" thickBot="1">
      <c r="A10" s="1177" t="s">
        <v>144</v>
      </c>
      <c r="B10" s="1178"/>
      <c r="C10" s="1178"/>
      <c r="D10" s="1178"/>
      <c r="E10" s="129">
        <v>17500000000</v>
      </c>
      <c r="F10" s="111"/>
      <c r="G10" s="112"/>
      <c r="H10" s="644" t="s">
        <v>7</v>
      </c>
      <c r="I10" s="656"/>
      <c r="J10" s="323"/>
      <c r="K10" s="656"/>
      <c r="L10" s="113">
        <f>SUM(L8:L9)</f>
        <v>34028313526</v>
      </c>
      <c r="M10" s="1016"/>
      <c r="N10" s="1017"/>
      <c r="O10" s="819"/>
      <c r="P10" s="819"/>
    </row>
    <row r="11" spans="1:16" ht="15.75">
      <c r="A11" s="1177" t="s">
        <v>146</v>
      </c>
      <c r="B11" s="1178"/>
      <c r="C11" s="1178"/>
      <c r="D11" s="1178"/>
      <c r="E11" s="129">
        <v>25000000000</v>
      </c>
      <c r="F11" s="111"/>
      <c r="G11" s="223"/>
      <c r="H11" s="590"/>
      <c r="I11" s="590"/>
      <c r="J11" s="324"/>
      <c r="K11" s="590"/>
      <c r="L11" s="590"/>
      <c r="M11" s="1016"/>
      <c r="N11" s="1017"/>
      <c r="O11" s="819"/>
      <c r="P11" s="819"/>
    </row>
    <row r="12" spans="1:16" ht="16.5" thickBot="1">
      <c r="A12" s="1177" t="s">
        <v>168</v>
      </c>
      <c r="B12" s="1178"/>
      <c r="C12" s="1178"/>
      <c r="D12" s="1178"/>
      <c r="E12" s="129">
        <v>21435190000</v>
      </c>
      <c r="F12" s="111"/>
      <c r="G12" s="223"/>
      <c r="H12" s="642"/>
      <c r="I12" s="590"/>
      <c r="J12" s="325"/>
      <c r="K12" s="210"/>
      <c r="L12" s="210"/>
      <c r="M12" s="1016"/>
      <c r="N12" s="1017"/>
      <c r="O12" s="819"/>
      <c r="P12" s="819"/>
    </row>
    <row r="13" spans="1:16" ht="15.75">
      <c r="A13" s="1187" t="s">
        <v>8</v>
      </c>
      <c r="B13" s="1188"/>
      <c r="C13" s="1188"/>
      <c r="D13" s="1188"/>
      <c r="E13" s="654">
        <v>0</v>
      </c>
      <c r="F13" s="655"/>
      <c r="G13" s="223"/>
      <c r="H13" s="1174" t="s">
        <v>11</v>
      </c>
      <c r="I13" s="1175"/>
      <c r="J13" s="1175"/>
      <c r="K13" s="1175"/>
      <c r="L13" s="1176"/>
      <c r="M13" s="1016"/>
      <c r="N13" s="1017"/>
      <c r="O13" s="819"/>
      <c r="P13" s="819"/>
    </row>
    <row r="14" spans="1:16" ht="16.5" thickBot="1">
      <c r="A14" s="1187" t="s">
        <v>9</v>
      </c>
      <c r="B14" s="1188"/>
      <c r="C14" s="1188"/>
      <c r="D14" s="1188"/>
      <c r="E14" s="654">
        <v>0</v>
      </c>
      <c r="F14" s="655"/>
      <c r="G14" s="112"/>
      <c r="H14" s="1184"/>
      <c r="I14" s="1185"/>
      <c r="J14" s="1185"/>
      <c r="K14" s="1185"/>
      <c r="L14" s="1186"/>
      <c r="M14" s="1016"/>
      <c r="N14" s="1017"/>
      <c r="O14" s="819"/>
      <c r="P14" s="819"/>
    </row>
    <row r="15" spans="1:16" ht="15.75">
      <c r="A15" s="1187" t="s">
        <v>10</v>
      </c>
      <c r="B15" s="1188"/>
      <c r="C15" s="1188"/>
      <c r="D15" s="1188"/>
      <c r="E15" s="654">
        <v>0</v>
      </c>
      <c r="F15" s="111"/>
      <c r="G15" s="112"/>
      <c r="H15" s="700" t="s">
        <v>13</v>
      </c>
      <c r="I15" s="701"/>
      <c r="J15" s="326"/>
      <c r="K15" s="701"/>
      <c r="L15" s="749">
        <f>+L66</f>
        <v>0</v>
      </c>
      <c r="M15" s="1016"/>
      <c r="N15" s="1017"/>
      <c r="O15" s="819"/>
      <c r="P15" s="819"/>
    </row>
    <row r="16" spans="1:16" ht="15.75">
      <c r="A16" s="1187" t="s">
        <v>12</v>
      </c>
      <c r="B16" s="1188"/>
      <c r="C16" s="1188"/>
      <c r="D16" s="1188"/>
      <c r="E16" s="223">
        <v>0</v>
      </c>
      <c r="F16" s="111"/>
      <c r="G16" s="112"/>
      <c r="H16" s="702" t="s">
        <v>15</v>
      </c>
      <c r="I16" s="703"/>
      <c r="J16" s="327"/>
      <c r="K16" s="703"/>
      <c r="L16" s="750">
        <f>+J72</f>
        <v>2815655</v>
      </c>
      <c r="M16" s="1016"/>
      <c r="N16" s="1017"/>
      <c r="O16" s="819"/>
      <c r="P16" s="819"/>
    </row>
    <row r="17" spans="1:16" ht="15.75">
      <c r="A17" s="648"/>
      <c r="B17" s="590"/>
      <c r="C17" s="595"/>
      <c r="D17" s="206"/>
      <c r="E17" s="589"/>
      <c r="F17" s="111"/>
      <c r="G17" s="110"/>
      <c r="H17" s="704" t="s">
        <v>18</v>
      </c>
      <c r="I17" s="705"/>
      <c r="J17" s="307"/>
      <c r="K17" s="705"/>
      <c r="L17" s="750">
        <f>+K72</f>
        <v>534974</v>
      </c>
      <c r="M17" s="1016"/>
      <c r="N17" s="1017"/>
      <c r="O17" s="819"/>
      <c r="P17" s="819"/>
    </row>
    <row r="18" spans="1:16" ht="15.75">
      <c r="A18" s="1217" t="s">
        <v>14</v>
      </c>
      <c r="B18" s="1218"/>
      <c r="C18" s="1218"/>
      <c r="D18" s="1218"/>
      <c r="E18" s="653"/>
      <c r="F18" s="109"/>
      <c r="G18" s="110"/>
      <c r="H18" s="704" t="s">
        <v>20</v>
      </c>
      <c r="I18" s="705"/>
      <c r="J18" s="307"/>
      <c r="K18" s="705"/>
      <c r="L18" s="750">
        <f>+M74</f>
        <v>13403</v>
      </c>
      <c r="M18" s="1016"/>
      <c r="N18" s="1017"/>
      <c r="O18" s="819"/>
      <c r="P18" s="819"/>
    </row>
    <row r="19" spans="1:16" ht="15.75">
      <c r="A19" s="648" t="s">
        <v>16</v>
      </c>
      <c r="B19" s="590"/>
      <c r="C19" s="595"/>
      <c r="D19" s="206"/>
      <c r="E19" s="589"/>
      <c r="F19" s="647"/>
      <c r="G19" s="110"/>
      <c r="H19" s="702" t="s">
        <v>17</v>
      </c>
      <c r="I19" s="703"/>
      <c r="J19" s="327"/>
      <c r="K19" s="703"/>
      <c r="L19" s="751">
        <f>+D90+D91</f>
        <v>412941183.71065575</v>
      </c>
      <c r="M19" s="1016"/>
      <c r="N19" s="1017"/>
      <c r="O19" s="819"/>
      <c r="P19" s="819"/>
    </row>
    <row r="20" spans="1:16" ht="16.5" thickBot="1">
      <c r="A20" s="648"/>
      <c r="B20" s="590"/>
      <c r="C20" s="595"/>
      <c r="D20" s="206"/>
      <c r="E20" s="589"/>
      <c r="F20" s="647"/>
      <c r="G20" s="110"/>
      <c r="H20" s="702" t="s">
        <v>278</v>
      </c>
      <c r="I20" s="703"/>
      <c r="J20" s="327"/>
      <c r="K20" s="703"/>
      <c r="L20" s="751">
        <f>+D95</f>
        <v>1651764.7348426231</v>
      </c>
      <c r="M20" s="1016"/>
      <c r="N20" s="1017"/>
      <c r="O20" s="819"/>
      <c r="P20" s="819"/>
    </row>
    <row r="21" spans="1:16" ht="16.5" thickBot="1">
      <c r="A21" s="650" t="s">
        <v>19</v>
      </c>
      <c r="B21" s="640"/>
      <c r="C21" s="640"/>
      <c r="D21" s="640"/>
      <c r="E21" s="651"/>
      <c r="F21" s="114">
        <f>SUM(F8:F20)</f>
        <v>108935190000</v>
      </c>
      <c r="G21" s="110"/>
      <c r="H21" s="115" t="s">
        <v>1145</v>
      </c>
      <c r="I21" s="116"/>
      <c r="J21" s="328"/>
      <c r="K21" s="116"/>
      <c r="L21" s="752">
        <f>SUM(L15:L20)</f>
        <v>417956980.44549835</v>
      </c>
      <c r="M21" s="1018"/>
      <c r="N21" s="1019"/>
      <c r="O21" s="819"/>
      <c r="P21" s="819"/>
    </row>
    <row r="22" spans="1:16" ht="15.75">
      <c r="A22" s="648"/>
      <c r="B22" s="590"/>
      <c r="C22" s="595"/>
      <c r="D22" s="206"/>
      <c r="E22" s="589"/>
      <c r="F22" s="647"/>
      <c r="G22" s="110"/>
      <c r="H22" s="281" t="s">
        <v>1147</v>
      </c>
      <c r="I22" s="282"/>
      <c r="J22" s="329"/>
      <c r="K22" s="282"/>
      <c r="L22" s="931">
        <v>79674743934.337173</v>
      </c>
      <c r="M22" s="1018"/>
      <c r="N22" s="1019"/>
      <c r="O22" s="819"/>
      <c r="P22" s="819"/>
    </row>
    <row r="23" spans="1:16" ht="15.75">
      <c r="A23" s="650" t="s">
        <v>142</v>
      </c>
      <c r="B23" s="640"/>
      <c r="C23" s="640"/>
      <c r="D23" s="640"/>
      <c r="E23" s="649"/>
      <c r="F23" s="109">
        <v>21524378124</v>
      </c>
      <c r="G23" s="110"/>
      <c r="H23" s="645" t="s">
        <v>1148</v>
      </c>
      <c r="I23" s="646"/>
      <c r="J23" s="330"/>
      <c r="K23" s="646"/>
      <c r="L23" s="821">
        <f>L21+L22+D134</f>
        <v>90706246998.782669</v>
      </c>
      <c r="M23" s="1018"/>
      <c r="N23" s="1019"/>
      <c r="O23" s="819"/>
      <c r="P23" s="819"/>
    </row>
    <row r="24" spans="1:16" ht="16.5" thickBot="1">
      <c r="A24" s="648"/>
      <c r="B24" s="590"/>
      <c r="C24" s="595"/>
      <c r="D24" s="206"/>
      <c r="E24" s="590"/>
      <c r="F24" s="647"/>
      <c r="G24" s="110"/>
      <c r="H24" s="788" t="s">
        <v>1149</v>
      </c>
      <c r="I24" s="789"/>
      <c r="J24" s="331"/>
      <c r="K24" s="790"/>
      <c r="L24" s="821">
        <f>'[1]Diciembre - 2022'!$L$24-L67-M75</f>
        <v>14148791348.084026</v>
      </c>
      <c r="M24" s="1020"/>
      <c r="N24" s="1019"/>
      <c r="O24" s="819"/>
      <c r="P24" s="819"/>
    </row>
    <row r="25" spans="1:16" ht="16.5" thickBot="1">
      <c r="A25" s="1219" t="s">
        <v>21</v>
      </c>
      <c r="B25" s="1220"/>
      <c r="C25" s="1220"/>
      <c r="D25" s="1220"/>
      <c r="E25" s="116"/>
      <c r="F25" s="117">
        <f>F21</f>
        <v>108935190000</v>
      </c>
      <c r="G25" s="110"/>
      <c r="H25" s="788" t="s">
        <v>1150</v>
      </c>
      <c r="I25" s="790"/>
      <c r="J25" s="330"/>
      <c r="K25" s="790"/>
      <c r="L25" s="821">
        <f>+D98</f>
        <v>2693340602.1334329</v>
      </c>
      <c r="M25" s="1071"/>
      <c r="N25" s="1019"/>
      <c r="O25" s="819"/>
      <c r="P25" s="819"/>
    </row>
    <row r="26" spans="1:16" ht="15.75">
      <c r="A26" s="771"/>
      <c r="B26" s="771"/>
      <c r="C26" s="771"/>
      <c r="D26" s="771"/>
      <c r="E26" s="772"/>
      <c r="F26" s="773"/>
      <c r="G26" s="110"/>
      <c r="H26" s="788" t="s">
        <v>1151</v>
      </c>
      <c r="I26" s="790"/>
      <c r="J26" s="330"/>
      <c r="K26" s="790"/>
      <c r="L26" s="821">
        <f>+D137</f>
        <v>1386811051</v>
      </c>
      <c r="M26" s="1018"/>
      <c r="N26" s="1028"/>
      <c r="O26" s="819"/>
      <c r="P26" s="819"/>
    </row>
    <row r="27" spans="1:16" ht="22.5" customHeight="1" thickBot="1">
      <c r="A27" s="643"/>
      <c r="B27" s="643"/>
      <c r="C27" s="643"/>
      <c r="D27" s="643"/>
      <c r="E27" s="642"/>
      <c r="F27" s="641"/>
      <c r="G27" s="110"/>
      <c r="H27" s="644" t="s">
        <v>1152</v>
      </c>
      <c r="I27" s="656"/>
      <c r="J27" s="323"/>
      <c r="K27" s="656"/>
      <c r="L27" s="945">
        <f>+L24+L25+L26</f>
        <v>18228943001.217461</v>
      </c>
      <c r="M27" s="1131">
        <f>+L27+L23</f>
        <v>108935190000.00012</v>
      </c>
      <c r="N27" s="819"/>
      <c r="O27" s="819"/>
      <c r="P27" s="819"/>
    </row>
    <row r="28" spans="1:16" ht="15.75" customHeight="1">
      <c r="A28" s="643"/>
      <c r="B28" s="643"/>
      <c r="C28" s="643"/>
      <c r="D28" s="643"/>
      <c r="E28" s="642"/>
      <c r="F28" s="641"/>
      <c r="G28" s="640"/>
      <c r="H28" s="590"/>
      <c r="I28" s="590"/>
      <c r="L28" s="373"/>
      <c r="M28" s="1132">
        <v>108935190000.00015</v>
      </c>
      <c r="N28" s="819"/>
      <c r="O28" s="819"/>
      <c r="P28" s="819"/>
    </row>
    <row r="29" spans="1:16" ht="33.75" customHeight="1" thickBot="1">
      <c r="A29" s="609" t="s">
        <v>22</v>
      </c>
      <c r="B29" s="609"/>
      <c r="C29" s="609"/>
      <c r="D29" s="609"/>
      <c r="E29" s="609"/>
      <c r="F29" s="609"/>
      <c r="G29" s="640"/>
      <c r="H29" s="590"/>
      <c r="I29" s="590"/>
      <c r="K29" s="373"/>
      <c r="L29" s="373"/>
      <c r="M29" s="1132">
        <f>+M28-M27</f>
        <v>0</v>
      </c>
      <c r="N29" s="819"/>
      <c r="O29" s="819"/>
      <c r="P29" s="819"/>
    </row>
    <row r="30" spans="1:16" ht="15.75" customHeight="1">
      <c r="A30" s="1199" t="s">
        <v>23</v>
      </c>
      <c r="B30" s="1151" t="s">
        <v>24</v>
      </c>
      <c r="C30" s="1151" t="s">
        <v>25</v>
      </c>
      <c r="D30" s="1151"/>
      <c r="E30" s="1151" t="s">
        <v>26</v>
      </c>
      <c r="F30" s="1151" t="s">
        <v>27</v>
      </c>
      <c r="G30" s="1151"/>
      <c r="H30" s="1205" t="s">
        <v>143</v>
      </c>
      <c r="I30" s="1205" t="s">
        <v>45</v>
      </c>
      <c r="J30" s="1182" t="s">
        <v>46</v>
      </c>
      <c r="L30" s="373"/>
      <c r="M30" s="1011"/>
      <c r="N30" s="1017"/>
      <c r="O30" s="819"/>
      <c r="P30" s="819"/>
    </row>
    <row r="31" spans="1:16" ht="15.75" thickBot="1">
      <c r="A31" s="1200"/>
      <c r="B31" s="1170"/>
      <c r="C31" s="1170"/>
      <c r="D31" s="1170"/>
      <c r="E31" s="1170"/>
      <c r="F31" s="1170"/>
      <c r="G31" s="1170"/>
      <c r="H31" s="1209"/>
      <c r="I31" s="1209"/>
      <c r="J31" s="1183"/>
      <c r="M31" s="957"/>
      <c r="N31" s="819"/>
      <c r="O31" s="819"/>
    </row>
    <row r="32" spans="1:16" ht="15.75">
      <c r="A32" s="639">
        <v>1</v>
      </c>
      <c r="B32" s="638">
        <v>44155</v>
      </c>
      <c r="C32" s="1208" t="s">
        <v>170</v>
      </c>
      <c r="D32" s="1208"/>
      <c r="E32" s="637">
        <v>800012873</v>
      </c>
      <c r="F32" s="1212">
        <v>500000000</v>
      </c>
      <c r="G32" s="1212"/>
      <c r="H32" s="582">
        <v>877803000</v>
      </c>
      <c r="I32" s="396">
        <f t="shared" ref="I32:I52" si="0">+H32+F32</f>
        <v>1377803000</v>
      </c>
      <c r="J32" s="244">
        <f t="shared" ref="J32:J55" si="1">+F32/I32</f>
        <v>0.36289658245772438</v>
      </c>
      <c r="M32" s="958"/>
      <c r="N32" s="819"/>
      <c r="O32" s="819"/>
    </row>
    <row r="33" spans="1:15" ht="15.75">
      <c r="A33" s="636">
        <v>2</v>
      </c>
      <c r="B33" s="635">
        <v>44133</v>
      </c>
      <c r="C33" s="1181" t="s">
        <v>208</v>
      </c>
      <c r="D33" s="1181"/>
      <c r="E33" s="634">
        <v>890980093</v>
      </c>
      <c r="F33" s="1169">
        <v>1000000000</v>
      </c>
      <c r="G33" s="1169"/>
      <c r="H33" s="577">
        <v>1000000000</v>
      </c>
      <c r="I33" s="578">
        <f t="shared" si="0"/>
        <v>2000000000</v>
      </c>
      <c r="J33" s="580">
        <f t="shared" si="1"/>
        <v>0.5</v>
      </c>
      <c r="M33" s="958"/>
      <c r="N33" s="819"/>
      <c r="O33" s="819"/>
    </row>
    <row r="34" spans="1:15" ht="15.75">
      <c r="A34" s="636">
        <v>4</v>
      </c>
      <c r="B34" s="635">
        <v>44133</v>
      </c>
      <c r="C34" s="1181" t="s">
        <v>179</v>
      </c>
      <c r="D34" s="1181"/>
      <c r="E34" s="634">
        <v>892099475</v>
      </c>
      <c r="F34" s="1169">
        <v>300000000</v>
      </c>
      <c r="G34" s="1169"/>
      <c r="H34" s="577">
        <v>600000000</v>
      </c>
      <c r="I34" s="578">
        <f t="shared" si="0"/>
        <v>900000000</v>
      </c>
      <c r="J34" s="580">
        <f t="shared" si="1"/>
        <v>0.33333333333333331</v>
      </c>
      <c r="M34" s="958"/>
      <c r="N34" s="819"/>
      <c r="O34" s="819"/>
    </row>
    <row r="35" spans="1:15" ht="15.75">
      <c r="A35" s="636">
        <v>5</v>
      </c>
      <c r="B35" s="635">
        <v>44180</v>
      </c>
      <c r="C35" s="1181" t="s">
        <v>180</v>
      </c>
      <c r="D35" s="1181"/>
      <c r="E35" s="634">
        <v>800013676</v>
      </c>
      <c r="F35" s="1169">
        <v>300000000</v>
      </c>
      <c r="G35" s="1169"/>
      <c r="H35" s="577">
        <v>600000000</v>
      </c>
      <c r="I35" s="578">
        <f t="shared" si="0"/>
        <v>900000000</v>
      </c>
      <c r="J35" s="580">
        <f t="shared" si="1"/>
        <v>0.33333333333333331</v>
      </c>
      <c r="M35" s="958"/>
      <c r="N35" s="819"/>
      <c r="O35" s="819"/>
    </row>
    <row r="36" spans="1:15" ht="15.75">
      <c r="A36" s="636">
        <v>6</v>
      </c>
      <c r="B36" s="635">
        <v>44176</v>
      </c>
      <c r="C36" s="1181" t="s">
        <v>169</v>
      </c>
      <c r="D36" s="1181"/>
      <c r="E36" s="634">
        <v>890980096</v>
      </c>
      <c r="F36" s="1169">
        <v>300000000</v>
      </c>
      <c r="G36" s="1169"/>
      <c r="H36" s="577">
        <v>600000000</v>
      </c>
      <c r="I36" s="578">
        <f t="shared" si="0"/>
        <v>900000000</v>
      </c>
      <c r="J36" s="580">
        <f t="shared" si="1"/>
        <v>0.33333333333333331</v>
      </c>
      <c r="M36" s="118"/>
    </row>
    <row r="37" spans="1:15" ht="15.75">
      <c r="A37" s="636">
        <v>8</v>
      </c>
      <c r="B37" s="635">
        <v>44154</v>
      </c>
      <c r="C37" s="1181" t="s">
        <v>209</v>
      </c>
      <c r="D37" s="1181"/>
      <c r="E37" s="634">
        <v>891180022</v>
      </c>
      <c r="F37" s="1169">
        <v>300000000</v>
      </c>
      <c r="G37" s="1169"/>
      <c r="H37" s="577">
        <v>600000000</v>
      </c>
      <c r="I37" s="578">
        <f t="shared" si="0"/>
        <v>900000000</v>
      </c>
      <c r="J37" s="580">
        <f t="shared" si="1"/>
        <v>0.33333333333333331</v>
      </c>
      <c r="M37" s="118"/>
    </row>
    <row r="38" spans="1:15" ht="15.75">
      <c r="A38" s="636">
        <v>9</v>
      </c>
      <c r="B38" s="635">
        <v>44182</v>
      </c>
      <c r="C38" s="1181" t="s">
        <v>210</v>
      </c>
      <c r="D38" s="1181"/>
      <c r="E38" s="634">
        <v>892280021</v>
      </c>
      <c r="F38" s="1169">
        <v>571000000</v>
      </c>
      <c r="G38" s="1169"/>
      <c r="H38" s="577">
        <v>856500000</v>
      </c>
      <c r="I38" s="578">
        <f t="shared" si="0"/>
        <v>1427500000</v>
      </c>
      <c r="J38" s="580">
        <f t="shared" si="1"/>
        <v>0.4</v>
      </c>
      <c r="M38" s="118"/>
    </row>
    <row r="39" spans="1:15" ht="15.75">
      <c r="A39" s="636">
        <v>10</v>
      </c>
      <c r="B39" s="635">
        <v>44155</v>
      </c>
      <c r="C39" s="1181" t="s">
        <v>181</v>
      </c>
      <c r="D39" s="1181"/>
      <c r="E39" s="634">
        <v>800100137</v>
      </c>
      <c r="F39" s="1169">
        <v>308000000</v>
      </c>
      <c r="G39" s="1169"/>
      <c r="H39" s="577">
        <v>616000000</v>
      </c>
      <c r="I39" s="579">
        <f t="shared" si="0"/>
        <v>924000000</v>
      </c>
      <c r="J39" s="581">
        <f t="shared" si="1"/>
        <v>0.33333333333333331</v>
      </c>
      <c r="M39" s="118"/>
    </row>
    <row r="40" spans="1:15" ht="15.75">
      <c r="A40" s="636">
        <v>12</v>
      </c>
      <c r="B40" s="635">
        <v>44165</v>
      </c>
      <c r="C40" s="1181" t="s">
        <v>182</v>
      </c>
      <c r="D40" s="1181"/>
      <c r="E40" s="634">
        <v>890980447</v>
      </c>
      <c r="F40" s="1169">
        <v>600000000</v>
      </c>
      <c r="G40" s="1169"/>
      <c r="H40" s="577">
        <v>900000000</v>
      </c>
      <c r="I40" s="579">
        <f t="shared" si="0"/>
        <v>1500000000</v>
      </c>
      <c r="J40" s="581">
        <f t="shared" si="1"/>
        <v>0.4</v>
      </c>
      <c r="M40" s="118"/>
    </row>
    <row r="41" spans="1:15" ht="15.75">
      <c r="A41" s="636">
        <v>13</v>
      </c>
      <c r="B41" s="635">
        <v>44155</v>
      </c>
      <c r="C41" s="1181" t="s">
        <v>183</v>
      </c>
      <c r="D41" s="1181"/>
      <c r="E41" s="634">
        <v>891900353</v>
      </c>
      <c r="F41" s="1192">
        <f>350000000-51483757</f>
        <v>298516243</v>
      </c>
      <c r="G41" s="1192"/>
      <c r="H41" s="577">
        <v>700000000</v>
      </c>
      <c r="I41" s="579">
        <f t="shared" si="0"/>
        <v>998516243</v>
      </c>
      <c r="J41" s="1120">
        <v>0.33333000000000002</v>
      </c>
      <c r="M41" s="118"/>
    </row>
    <row r="42" spans="1:15" ht="15.75">
      <c r="A42" s="636">
        <v>14</v>
      </c>
      <c r="B42" s="635">
        <v>44165</v>
      </c>
      <c r="C42" s="1181" t="s">
        <v>184</v>
      </c>
      <c r="D42" s="1181"/>
      <c r="E42" s="634">
        <v>890982616</v>
      </c>
      <c r="F42" s="1169">
        <v>600000000</v>
      </c>
      <c r="G42" s="1169"/>
      <c r="H42" s="577">
        <v>877803000</v>
      </c>
      <c r="I42" s="579">
        <f t="shared" si="0"/>
        <v>1477803000</v>
      </c>
      <c r="J42" s="581">
        <f t="shared" si="1"/>
        <v>0.40600810798191639</v>
      </c>
      <c r="M42" s="118"/>
    </row>
    <row r="43" spans="1:15" ht="15.75">
      <c r="A43" s="636">
        <v>15</v>
      </c>
      <c r="B43" s="635">
        <v>44180</v>
      </c>
      <c r="C43" s="1181" t="s">
        <v>185</v>
      </c>
      <c r="D43" s="1181"/>
      <c r="E43" s="634">
        <v>800096765</v>
      </c>
      <c r="F43" s="1169">
        <v>500000000</v>
      </c>
      <c r="G43" s="1169"/>
      <c r="H43" s="577">
        <v>877803000</v>
      </c>
      <c r="I43" s="579">
        <f t="shared" si="0"/>
        <v>1377803000</v>
      </c>
      <c r="J43" s="581">
        <f t="shared" si="1"/>
        <v>0.36289658245772438</v>
      </c>
      <c r="M43" s="118"/>
    </row>
    <row r="44" spans="1:15" ht="15.75">
      <c r="A44" s="636">
        <v>16</v>
      </c>
      <c r="B44" s="635">
        <v>44155</v>
      </c>
      <c r="C44" s="1181" t="s">
        <v>186</v>
      </c>
      <c r="D44" s="1181"/>
      <c r="E44" s="634">
        <v>890201900</v>
      </c>
      <c r="F44" s="1169">
        <v>750000000</v>
      </c>
      <c r="G44" s="1169"/>
      <c r="H44" s="577">
        <v>750000000</v>
      </c>
      <c r="I44" s="579">
        <f t="shared" si="0"/>
        <v>1500000000</v>
      </c>
      <c r="J44" s="581">
        <f t="shared" si="1"/>
        <v>0.5</v>
      </c>
      <c r="M44" s="118"/>
    </row>
    <row r="45" spans="1:15" ht="15.75">
      <c r="A45" s="636">
        <v>17</v>
      </c>
      <c r="B45" s="635">
        <v>44180</v>
      </c>
      <c r="C45" s="1181" t="s">
        <v>211</v>
      </c>
      <c r="D45" s="1181"/>
      <c r="E45" s="634">
        <v>900084407</v>
      </c>
      <c r="F45" s="1169">
        <v>746132550</v>
      </c>
      <c r="G45" s="1169"/>
      <c r="H45" s="577">
        <v>746132550</v>
      </c>
      <c r="I45" s="579">
        <f t="shared" si="0"/>
        <v>1492265100</v>
      </c>
      <c r="J45" s="581">
        <f t="shared" si="1"/>
        <v>0.5</v>
      </c>
      <c r="M45" s="118"/>
    </row>
    <row r="46" spans="1:15" ht="15.75" customHeight="1">
      <c r="A46" s="636">
        <v>18</v>
      </c>
      <c r="B46" s="635">
        <v>44175</v>
      </c>
      <c r="C46" s="1181" t="s">
        <v>222</v>
      </c>
      <c r="D46" s="1181"/>
      <c r="E46" s="634">
        <v>860039273</v>
      </c>
      <c r="F46" s="1192">
        <f>1000000000-539183391-88530000</f>
        <v>372286609</v>
      </c>
      <c r="G46" s="1192"/>
      <c r="H46" s="577">
        <v>1000000000</v>
      </c>
      <c r="I46" s="579">
        <f>+H46+F46</f>
        <v>1372286609</v>
      </c>
      <c r="J46" s="1120">
        <v>0.5</v>
      </c>
      <c r="M46" s="118"/>
    </row>
    <row r="47" spans="1:15" ht="15.75" customHeight="1">
      <c r="A47" s="636">
        <v>19</v>
      </c>
      <c r="B47" s="635">
        <v>44188</v>
      </c>
      <c r="C47" s="1181" t="s">
        <v>187</v>
      </c>
      <c r="D47" s="1181"/>
      <c r="E47" s="634">
        <v>900156833</v>
      </c>
      <c r="F47" s="1169">
        <v>750000000</v>
      </c>
      <c r="G47" s="1169"/>
      <c r="H47" s="577">
        <v>750000000</v>
      </c>
      <c r="I47" s="579">
        <f t="shared" si="0"/>
        <v>1500000000</v>
      </c>
      <c r="J47" s="581">
        <f t="shared" si="1"/>
        <v>0.5</v>
      </c>
      <c r="M47" s="118"/>
    </row>
    <row r="48" spans="1:15" ht="15.75" customHeight="1">
      <c r="A48" s="636">
        <v>20</v>
      </c>
      <c r="B48" s="635">
        <v>44242</v>
      </c>
      <c r="C48" s="1181" t="s">
        <v>236</v>
      </c>
      <c r="D48" s="1181"/>
      <c r="E48" s="634">
        <v>830114475</v>
      </c>
      <c r="F48" s="1169">
        <v>1000000000</v>
      </c>
      <c r="G48" s="1169"/>
      <c r="H48" s="577">
        <v>1000000000</v>
      </c>
      <c r="I48" s="579">
        <f t="shared" si="0"/>
        <v>2000000000</v>
      </c>
      <c r="J48" s="581">
        <f t="shared" si="1"/>
        <v>0.5</v>
      </c>
      <c r="M48" s="118"/>
    </row>
    <row r="49" spans="1:13" ht="15.75" customHeight="1">
      <c r="A49" s="636">
        <v>21</v>
      </c>
      <c r="B49" s="635">
        <v>44340</v>
      </c>
      <c r="C49" s="1181" t="s">
        <v>300</v>
      </c>
      <c r="D49" s="1181"/>
      <c r="E49" s="634">
        <v>891480027</v>
      </c>
      <c r="F49" s="1169">
        <v>273000000</v>
      </c>
      <c r="G49" s="1169"/>
      <c r="H49" s="577">
        <v>546000000</v>
      </c>
      <c r="I49" s="579">
        <f t="shared" si="0"/>
        <v>819000000</v>
      </c>
      <c r="J49" s="581">
        <f t="shared" si="1"/>
        <v>0.33333333333333331</v>
      </c>
      <c r="M49" s="118"/>
    </row>
    <row r="50" spans="1:13" ht="15.75" customHeight="1">
      <c r="A50" s="636">
        <v>22</v>
      </c>
      <c r="B50" s="635">
        <v>44319</v>
      </c>
      <c r="C50" s="1181" t="s">
        <v>272</v>
      </c>
      <c r="D50" s="1181"/>
      <c r="E50" s="634">
        <v>890801053</v>
      </c>
      <c r="F50" s="1192">
        <f>800000000+685000000</f>
        <v>1485000000</v>
      </c>
      <c r="G50" s="1192"/>
      <c r="H50" s="577">
        <v>800000000</v>
      </c>
      <c r="I50" s="579">
        <f t="shared" si="0"/>
        <v>2285000000</v>
      </c>
      <c r="J50" s="1120">
        <v>0.5</v>
      </c>
      <c r="M50" s="118"/>
    </row>
    <row r="51" spans="1:13" ht="15.75" customHeight="1">
      <c r="A51" s="636">
        <v>23</v>
      </c>
      <c r="B51" s="635">
        <v>44356</v>
      </c>
      <c r="C51" s="1181" t="s">
        <v>299</v>
      </c>
      <c r="D51" s="1181"/>
      <c r="E51" s="634">
        <v>800103927</v>
      </c>
      <c r="F51" s="1169">
        <v>650000000</v>
      </c>
      <c r="G51" s="1169"/>
      <c r="H51" s="577">
        <v>900000000</v>
      </c>
      <c r="I51" s="579">
        <f t="shared" si="0"/>
        <v>1550000000</v>
      </c>
      <c r="J51" s="581">
        <f t="shared" si="1"/>
        <v>0.41935483870967744</v>
      </c>
      <c r="M51" s="118"/>
    </row>
    <row r="52" spans="1:13" ht="15.75" customHeight="1">
      <c r="A52" s="636">
        <v>25</v>
      </c>
      <c r="B52" s="635">
        <v>44410</v>
      </c>
      <c r="C52" s="1181" t="s">
        <v>303</v>
      </c>
      <c r="D52" s="1181"/>
      <c r="E52" s="634">
        <v>892001457</v>
      </c>
      <c r="F52" s="1169">
        <v>600000000</v>
      </c>
      <c r="G52" s="1169"/>
      <c r="H52" s="577">
        <v>900000000</v>
      </c>
      <c r="I52" s="579">
        <f t="shared" si="0"/>
        <v>1500000000</v>
      </c>
      <c r="J52" s="581">
        <f t="shared" si="1"/>
        <v>0.4</v>
      </c>
      <c r="M52" s="118"/>
    </row>
    <row r="53" spans="1:13" ht="15.75" customHeight="1">
      <c r="A53" s="636">
        <v>24</v>
      </c>
      <c r="B53" s="635">
        <v>44419</v>
      </c>
      <c r="C53" s="1181" t="s">
        <v>385</v>
      </c>
      <c r="D53" s="1181"/>
      <c r="E53" s="634">
        <v>892115007</v>
      </c>
      <c r="F53" s="1169">
        <v>300000000</v>
      </c>
      <c r="G53" s="1169"/>
      <c r="H53" s="577">
        <v>600000000</v>
      </c>
      <c r="I53" s="579">
        <v>900000000</v>
      </c>
      <c r="J53" s="581">
        <f t="shared" si="1"/>
        <v>0.33333333333333331</v>
      </c>
      <c r="M53" s="118"/>
    </row>
    <row r="54" spans="1:13" ht="15.75" customHeight="1">
      <c r="A54" s="636" t="s">
        <v>233</v>
      </c>
      <c r="B54" s="635"/>
      <c r="C54" s="1181" t="s">
        <v>234</v>
      </c>
      <c r="D54" s="1181"/>
      <c r="E54" s="634"/>
      <c r="F54" s="1169">
        <v>0</v>
      </c>
      <c r="G54" s="1169"/>
      <c r="H54" s="577">
        <f>800000000-20240495</f>
        <v>779759505</v>
      </c>
      <c r="I54" s="579">
        <f>+H54+F54</f>
        <v>779759505</v>
      </c>
      <c r="J54" s="581">
        <f t="shared" si="1"/>
        <v>0</v>
      </c>
      <c r="M54" s="118"/>
    </row>
    <row r="55" spans="1:13" ht="15.75" customHeight="1">
      <c r="A55" s="636" t="s">
        <v>233</v>
      </c>
      <c r="B55" s="635"/>
      <c r="C55" s="1181" t="s">
        <v>235</v>
      </c>
      <c r="D55" s="1181"/>
      <c r="E55" s="634"/>
      <c r="F55" s="1169">
        <v>0</v>
      </c>
      <c r="G55" s="1169"/>
      <c r="H55" s="578">
        <v>3646577069</v>
      </c>
      <c r="I55" s="579">
        <f>+H55+F55</f>
        <v>3646577069</v>
      </c>
      <c r="J55" s="581">
        <f t="shared" si="1"/>
        <v>0</v>
      </c>
      <c r="M55" s="118"/>
    </row>
    <row r="56" spans="1:13" ht="16.5" thickBot="1">
      <c r="A56" s="1215" t="s">
        <v>28</v>
      </c>
      <c r="B56" s="1216"/>
      <c r="C56" s="1216"/>
      <c r="D56" s="1216"/>
      <c r="E56" s="1216"/>
      <c r="F56" s="1211">
        <f>SUM(F32:F55)</f>
        <v>12503935402</v>
      </c>
      <c r="G56" s="1211"/>
      <c r="H56" s="397">
        <f>SUM(H32:H55)</f>
        <v>21524378124</v>
      </c>
      <c r="I56" s="397">
        <f>+H56+F56</f>
        <v>34028313526</v>
      </c>
      <c r="J56" s="242">
        <f>+F56/I56</f>
        <v>0.36745680600497943</v>
      </c>
      <c r="M56" s="118"/>
    </row>
    <row r="57" spans="1:13" ht="32.25" customHeight="1">
      <c r="A57" s="411"/>
      <c r="B57" s="411"/>
      <c r="C57" s="411"/>
      <c r="D57" s="411"/>
      <c r="E57" s="411"/>
      <c r="F57" s="411"/>
      <c r="G57" s="411"/>
      <c r="H57" s="1194" t="s">
        <v>511</v>
      </c>
      <c r="I57" s="1194"/>
      <c r="J57" s="1194"/>
      <c r="M57" s="615"/>
    </row>
    <row r="58" spans="1:13" ht="54" customHeight="1">
      <c r="A58" s="411"/>
      <c r="B58" s="411"/>
      <c r="C58" s="411"/>
      <c r="D58" s="411"/>
      <c r="E58" s="411"/>
      <c r="F58" s="411"/>
      <c r="G58" s="411"/>
      <c r="H58" s="1194"/>
      <c r="I58" s="1194"/>
      <c r="J58" s="1194"/>
      <c r="M58" s="615"/>
    </row>
    <row r="59" spans="1:13" s="119" customFormat="1" ht="24" customHeight="1">
      <c r="A59" s="1193" t="s">
        <v>29</v>
      </c>
      <c r="B59" s="1193"/>
      <c r="C59" s="1193"/>
      <c r="D59" s="1193"/>
      <c r="E59" s="1193"/>
      <c r="F59" s="1193"/>
      <c r="G59" s="617"/>
      <c r="H59" s="616"/>
      <c r="I59" s="395"/>
      <c r="J59" s="333"/>
      <c r="K59" s="616"/>
      <c r="L59" s="616"/>
      <c r="M59" s="615"/>
    </row>
    <row r="60" spans="1:13" ht="15.75">
      <c r="A60" s="617"/>
      <c r="B60" s="617"/>
      <c r="C60" s="617"/>
      <c r="D60" s="617"/>
      <c r="E60" s="617"/>
      <c r="F60" s="617"/>
      <c r="G60" s="617"/>
      <c r="H60" s="616"/>
      <c r="I60" s="633"/>
      <c r="J60" s="333"/>
      <c r="K60" s="616"/>
      <c r="L60" s="616"/>
      <c r="M60" s="615"/>
    </row>
    <row r="61" spans="1:13" ht="16.5" thickBot="1">
      <c r="A61" s="609" t="s">
        <v>30</v>
      </c>
      <c r="B61" s="608"/>
      <c r="C61" s="608"/>
      <c r="D61" s="608"/>
      <c r="E61" s="608"/>
      <c r="F61" s="608"/>
      <c r="G61" s="608"/>
      <c r="H61" s="608"/>
      <c r="I61" s="608"/>
      <c r="J61" s="283"/>
      <c r="K61" s="608"/>
      <c r="L61" s="608"/>
      <c r="M61" s="607"/>
    </row>
    <row r="62" spans="1:13" ht="63" customHeight="1">
      <c r="A62" s="1199" t="s">
        <v>31</v>
      </c>
      <c r="B62" s="1151" t="s">
        <v>32</v>
      </c>
      <c r="C62" s="1151" t="s">
        <v>33</v>
      </c>
      <c r="D62" s="1151" t="s">
        <v>34</v>
      </c>
      <c r="E62" s="1151" t="s">
        <v>35</v>
      </c>
      <c r="F62" s="1201" t="s">
        <v>36</v>
      </c>
      <c r="G62" s="1202"/>
      <c r="H62" s="1151" t="s">
        <v>26</v>
      </c>
      <c r="I62" s="1151" t="s">
        <v>37</v>
      </c>
      <c r="J62" s="1190" t="s">
        <v>38</v>
      </c>
      <c r="K62" s="1195" t="s">
        <v>39</v>
      </c>
      <c r="L62" s="1182" t="s">
        <v>40</v>
      </c>
      <c r="M62" s="628"/>
    </row>
    <row r="63" spans="1:13" ht="15.75" thickBot="1">
      <c r="A63" s="1200"/>
      <c r="B63" s="1170"/>
      <c r="C63" s="1170"/>
      <c r="D63" s="1170"/>
      <c r="E63" s="1170"/>
      <c r="F63" s="1213"/>
      <c r="G63" s="1214"/>
      <c r="H63" s="1170"/>
      <c r="I63" s="1170"/>
      <c r="J63" s="1207"/>
      <c r="K63" s="1210"/>
      <c r="L63" s="1183"/>
      <c r="M63" s="628"/>
    </row>
    <row r="64" spans="1:13" ht="54" customHeight="1">
      <c r="A64" s="632"/>
      <c r="B64" s="630"/>
      <c r="C64" s="630"/>
      <c r="D64" s="631"/>
      <c r="E64" s="630"/>
      <c r="F64" s="1197"/>
      <c r="G64" s="1198"/>
      <c r="H64" s="120"/>
      <c r="I64" s="630"/>
      <c r="J64" s="334"/>
      <c r="K64" s="629"/>
      <c r="L64" s="334"/>
      <c r="M64" s="628"/>
    </row>
    <row r="65" spans="1:15" ht="15.75" thickBot="1">
      <c r="A65" s="627"/>
      <c r="B65" s="625"/>
      <c r="C65" s="626"/>
      <c r="D65" s="625"/>
      <c r="E65" s="625"/>
      <c r="F65" s="624"/>
      <c r="G65" s="623"/>
      <c r="H65" s="622"/>
      <c r="I65" s="621"/>
      <c r="J65" s="335"/>
      <c r="K65" s="121"/>
      <c r="L65" s="122"/>
      <c r="M65" s="589"/>
    </row>
    <row r="66" spans="1:15" s="119" customFormat="1" ht="24" customHeight="1" thickBot="1">
      <c r="A66" s="620"/>
      <c r="B66" s="620"/>
      <c r="C66" s="620"/>
      <c r="D66" s="620"/>
      <c r="E66" s="620"/>
      <c r="F66" s="620"/>
      <c r="G66" s="612"/>
      <c r="H66" s="619"/>
      <c r="I66" s="618" t="s">
        <v>41</v>
      </c>
      <c r="J66" s="336">
        <f>SUM(J64:J65)</f>
        <v>0</v>
      </c>
      <c r="K66" s="123">
        <f>SUM(K64:K65)</f>
        <v>0</v>
      </c>
      <c r="L66" s="341">
        <f>SUM(L64:L65)</f>
        <v>0</v>
      </c>
      <c r="M66" s="615"/>
    </row>
    <row r="67" spans="1:15" ht="15" customHeight="1" thickBot="1">
      <c r="A67" s="617"/>
      <c r="B67" s="617"/>
      <c r="C67" s="617"/>
      <c r="D67" s="617"/>
      <c r="E67" s="617"/>
      <c r="F67" s="617"/>
      <c r="G67" s="617"/>
      <c r="H67" s="616"/>
      <c r="I67" s="1147" t="s">
        <v>1990</v>
      </c>
      <c r="J67" s="1148"/>
      <c r="K67" s="1148"/>
      <c r="L67" s="342">
        <f>+L66</f>
        <v>0</v>
      </c>
      <c r="M67" s="615"/>
    </row>
    <row r="68" spans="1:15" ht="15.75" customHeight="1" thickBot="1">
      <c r="A68" s="609" t="s">
        <v>42</v>
      </c>
      <c r="B68" s="608"/>
      <c r="C68" s="608"/>
      <c r="D68" s="608"/>
      <c r="E68" s="608"/>
      <c r="F68" s="608"/>
      <c r="G68" s="608"/>
      <c r="H68" s="608"/>
      <c r="I68" s="608"/>
      <c r="J68" s="283"/>
      <c r="K68" s="608"/>
      <c r="L68" s="608"/>
      <c r="M68" s="607"/>
    </row>
    <row r="69" spans="1:15" s="186" customFormat="1" ht="16.5" customHeight="1">
      <c r="A69" s="1199" t="s">
        <v>31</v>
      </c>
      <c r="B69" s="1151" t="s">
        <v>32</v>
      </c>
      <c r="C69" s="1151" t="s">
        <v>33</v>
      </c>
      <c r="D69" s="1151" t="s">
        <v>34</v>
      </c>
      <c r="E69" s="1151" t="s">
        <v>35</v>
      </c>
      <c r="F69" s="1201" t="s">
        <v>36</v>
      </c>
      <c r="G69" s="1202"/>
      <c r="H69" s="1151" t="s">
        <v>26</v>
      </c>
      <c r="I69" s="1151" t="s">
        <v>37</v>
      </c>
      <c r="J69" s="1190" t="s">
        <v>38</v>
      </c>
      <c r="K69" s="1195" t="s">
        <v>39</v>
      </c>
      <c r="L69" s="1205" t="s">
        <v>40</v>
      </c>
      <c r="M69" s="1182" t="s">
        <v>20</v>
      </c>
    </row>
    <row r="70" spans="1:15" s="186" customFormat="1" ht="15">
      <c r="A70" s="1221"/>
      <c r="B70" s="1152"/>
      <c r="C70" s="1152"/>
      <c r="D70" s="1152"/>
      <c r="E70" s="1152"/>
      <c r="F70" s="1203"/>
      <c r="G70" s="1204"/>
      <c r="H70" s="1152"/>
      <c r="I70" s="1152"/>
      <c r="J70" s="1191"/>
      <c r="K70" s="1196"/>
      <c r="L70" s="1206"/>
      <c r="M70" s="1189"/>
    </row>
    <row r="71" spans="1:15" s="918" customFormat="1" ht="68.25" customHeight="1" thickBot="1">
      <c r="A71" s="980">
        <f>+'[2]Anexo 4- Relación facturas IVA'!$A$6</f>
        <v>44953</v>
      </c>
      <c r="B71" s="981">
        <v>8</v>
      </c>
      <c r="C71" s="981" t="s">
        <v>952</v>
      </c>
      <c r="D71" s="981" t="s">
        <v>953</v>
      </c>
      <c r="E71" s="982">
        <v>2</v>
      </c>
      <c r="F71" s="1153" t="s">
        <v>1989</v>
      </c>
      <c r="G71" s="1154"/>
      <c r="H71" s="983">
        <v>800141235</v>
      </c>
      <c r="I71" s="984" t="s">
        <v>1015</v>
      </c>
      <c r="J71" s="985">
        <v>2815655</v>
      </c>
      <c r="K71" s="1031">
        <v>534974</v>
      </c>
      <c r="L71" s="986">
        <f>+J71+K71</f>
        <v>3350629</v>
      </c>
      <c r="M71" s="987">
        <f>+ROUND(L71*0.004,0)</f>
        <v>13403</v>
      </c>
      <c r="N71" s="1089"/>
      <c r="O71" s="959"/>
    </row>
    <row r="72" spans="1:15" ht="16.5" thickBot="1">
      <c r="A72" s="601"/>
      <c r="B72" s="601"/>
      <c r="C72" s="604"/>
      <c r="D72" s="603"/>
      <c r="E72" s="221"/>
      <c r="F72" s="221"/>
      <c r="G72" s="613"/>
      <c r="H72" s="614"/>
      <c r="I72" s="618" t="s">
        <v>41</v>
      </c>
      <c r="J72" s="813">
        <f>+ROUND(SUM(J71:J71),0)</f>
        <v>2815655</v>
      </c>
      <c r="K72" s="813">
        <f>+ROUND(SUM(K71:K71),0)</f>
        <v>534974</v>
      </c>
      <c r="L72" s="813">
        <f>+ROUND(SUM(L71:L71),0)</f>
        <v>3350629</v>
      </c>
      <c r="M72" s="813">
        <f>+ROUND(SUM(M71:M71),0)</f>
        <v>13403</v>
      </c>
      <c r="N72" s="1090"/>
    </row>
    <row r="73" spans="1:15" ht="15.75">
      <c r="A73" s="601"/>
      <c r="B73" s="601"/>
      <c r="C73" s="604"/>
      <c r="D73" s="603"/>
      <c r="E73" s="221"/>
      <c r="F73" s="613"/>
      <c r="G73" s="613"/>
      <c r="H73" s="613"/>
      <c r="I73" s="612"/>
      <c r="J73" s="1155" t="s">
        <v>1148</v>
      </c>
      <c r="K73" s="1156"/>
      <c r="L73" s="1156"/>
      <c r="M73" s="125">
        <f>J72+K72</f>
        <v>3350629</v>
      </c>
    </row>
    <row r="74" spans="1:15" ht="15.75">
      <c r="A74" s="601"/>
      <c r="B74" s="601"/>
      <c r="C74" s="604"/>
      <c r="D74" s="603"/>
      <c r="E74" s="221"/>
      <c r="F74" s="602"/>
      <c r="G74" s="602"/>
      <c r="H74" s="602"/>
      <c r="I74" s="602"/>
      <c r="J74" s="1157" t="s">
        <v>43</v>
      </c>
      <c r="K74" s="1158"/>
      <c r="L74" s="1158"/>
      <c r="M74" s="126">
        <f>M72</f>
        <v>13403</v>
      </c>
    </row>
    <row r="75" spans="1:15" s="119" customFormat="1" ht="16.5" thickBot="1">
      <c r="A75" s="601"/>
      <c r="B75" s="601"/>
      <c r="C75" s="604"/>
      <c r="D75" s="603"/>
      <c r="E75" s="221"/>
      <c r="F75" s="602"/>
      <c r="G75" s="602"/>
      <c r="H75" s="602"/>
      <c r="I75" s="602"/>
      <c r="J75" s="1147" t="s">
        <v>1990</v>
      </c>
      <c r="K75" s="1148"/>
      <c r="L75" s="1148"/>
      <c r="M75" s="124">
        <f>M73+M74</f>
        <v>3364032</v>
      </c>
    </row>
    <row r="76" spans="1:15" ht="15.75" customHeight="1">
      <c r="A76" s="609" t="s">
        <v>836</v>
      </c>
      <c r="B76" s="608"/>
      <c r="C76" s="608"/>
      <c r="D76" s="608"/>
      <c r="E76" s="608"/>
      <c r="F76" s="608"/>
      <c r="G76" s="608"/>
      <c r="H76" s="608"/>
      <c r="I76" s="608"/>
      <c r="J76" s="283"/>
      <c r="K76" s="608"/>
      <c r="L76" s="608"/>
      <c r="M76" s="607"/>
    </row>
    <row r="77" spans="1:15" ht="15.75" customHeight="1">
      <c r="A77" s="609"/>
      <c r="B77" s="608"/>
      <c r="C77" s="608"/>
      <c r="D77" s="608"/>
      <c r="E77" s="809"/>
      <c r="F77" s="809"/>
      <c r="G77" s="809"/>
      <c r="H77" s="809"/>
      <c r="I77" s="608"/>
      <c r="J77" s="283"/>
      <c r="K77" s="608"/>
      <c r="L77" s="608"/>
      <c r="M77" s="607"/>
    </row>
    <row r="78" spans="1:15" ht="15.75" customHeight="1">
      <c r="A78" s="610" t="s">
        <v>238</v>
      </c>
      <c r="B78" s="608"/>
      <c r="C78" s="608"/>
      <c r="D78" s="608"/>
      <c r="E78" s="809"/>
      <c r="F78" s="809"/>
      <c r="G78" s="809"/>
      <c r="H78" s="809"/>
      <c r="I78" s="608"/>
      <c r="J78" s="283"/>
      <c r="K78" s="608"/>
      <c r="L78" s="608"/>
      <c r="M78" s="607"/>
    </row>
    <row r="79" spans="1:15" ht="15.75" customHeight="1">
      <c r="A79" s="611" t="s">
        <v>239</v>
      </c>
      <c r="B79" s="608"/>
      <c r="C79" s="608"/>
      <c r="D79" s="822">
        <v>21976231887</v>
      </c>
      <c r="E79" s="810"/>
      <c r="F79" s="809"/>
      <c r="G79" s="809"/>
      <c r="H79" s="809"/>
      <c r="I79" s="608"/>
      <c r="J79" s="283"/>
      <c r="K79" s="608"/>
      <c r="L79" s="608"/>
      <c r="M79" s="607"/>
    </row>
    <row r="80" spans="1:15" ht="15.75" customHeight="1">
      <c r="A80" s="611" t="s">
        <v>301</v>
      </c>
      <c r="B80" s="608"/>
      <c r="C80" s="608"/>
      <c r="D80" s="822">
        <v>6762521331</v>
      </c>
      <c r="E80" s="811"/>
      <c r="F80" s="811"/>
      <c r="G80" s="809"/>
      <c r="H80" s="809"/>
      <c r="I80" s="608"/>
      <c r="J80" s="283"/>
      <c r="K80" s="608"/>
      <c r="L80" s="608"/>
      <c r="M80" s="607"/>
    </row>
    <row r="81" spans="1:13" ht="15.75" customHeight="1">
      <c r="A81" s="611" t="s">
        <v>369</v>
      </c>
      <c r="B81" s="608"/>
      <c r="C81" s="608"/>
      <c r="D81" s="822">
        <v>3042984466</v>
      </c>
      <c r="E81" s="811"/>
      <c r="F81" s="811"/>
      <c r="G81" s="809"/>
      <c r="H81" s="809"/>
      <c r="I81" s="608"/>
      <c r="J81" s="283"/>
      <c r="K81" s="608"/>
      <c r="L81" s="608"/>
      <c r="M81" s="607"/>
    </row>
    <row r="82" spans="1:13" ht="15.75" customHeight="1">
      <c r="A82" s="611" t="s">
        <v>434</v>
      </c>
      <c r="B82" s="608"/>
      <c r="C82" s="608"/>
      <c r="D82" s="822">
        <v>3661029889.2490411</v>
      </c>
      <c r="E82" s="933"/>
      <c r="F82" s="932"/>
      <c r="G82" s="932"/>
      <c r="H82" s="932"/>
      <c r="I82" s="770"/>
      <c r="J82" s="283"/>
      <c r="K82" s="608"/>
      <c r="L82" s="608"/>
      <c r="M82" s="607"/>
    </row>
    <row r="83" spans="1:13" ht="15.75" customHeight="1">
      <c r="A83" s="611" t="s">
        <v>485</v>
      </c>
      <c r="B83" s="608"/>
      <c r="C83" s="608"/>
      <c r="D83" s="822">
        <v>2272613056.5646701</v>
      </c>
      <c r="E83" s="1021"/>
      <c r="F83" s="1021"/>
      <c r="G83" s="1022"/>
      <c r="H83" s="1023"/>
      <c r="I83" s="770"/>
      <c r="J83" s="283"/>
      <c r="K83" s="608"/>
      <c r="L83" s="608"/>
      <c r="M83" s="607"/>
    </row>
    <row r="84" spans="1:13" ht="15.75" customHeight="1">
      <c r="A84" s="611" t="s">
        <v>559</v>
      </c>
      <c r="B84" s="608"/>
      <c r="C84" s="608"/>
      <c r="D84" s="822">
        <f>3112054421.448</f>
        <v>3112054421.448</v>
      </c>
      <c r="E84" s="1021"/>
      <c r="F84" s="1021"/>
      <c r="G84" s="1022"/>
      <c r="H84" s="1023"/>
      <c r="I84" s="770"/>
      <c r="J84" s="283"/>
      <c r="K84" s="608"/>
      <c r="L84" s="608"/>
      <c r="M84" s="607"/>
    </row>
    <row r="85" spans="1:13" ht="15.75" customHeight="1">
      <c r="A85" s="611" t="s">
        <v>605</v>
      </c>
      <c r="B85" s="608"/>
      <c r="C85" s="608"/>
      <c r="D85" s="822">
        <v>547444356.90799999</v>
      </c>
      <c r="E85" s="1021"/>
      <c r="F85" s="1021"/>
      <c r="G85" s="1022"/>
      <c r="H85" s="1023"/>
      <c r="I85" s="770"/>
      <c r="J85" s="283"/>
      <c r="K85" s="608"/>
      <c r="L85" s="608"/>
      <c r="M85" s="607"/>
    </row>
    <row r="86" spans="1:13" ht="15.75" customHeight="1">
      <c r="A86" s="611" t="s">
        <v>1012</v>
      </c>
      <c r="B86" s="608"/>
      <c r="C86" s="608"/>
      <c r="D86" s="822">
        <f>-663864645.83-2791413-299106-11166</f>
        <v>-666966330.83000004</v>
      </c>
      <c r="E86" s="1021"/>
      <c r="F86" s="1021"/>
      <c r="G86" s="1022"/>
      <c r="H86" s="1023"/>
      <c r="I86" s="770"/>
      <c r="J86" s="283"/>
      <c r="K86" s="608"/>
      <c r="L86" s="608"/>
      <c r="M86" s="607"/>
    </row>
    <row r="87" spans="1:13" ht="15.75" customHeight="1">
      <c r="A87" s="610" t="s">
        <v>240</v>
      </c>
      <c r="B87" s="608"/>
      <c r="C87" s="608"/>
      <c r="D87" s="823">
        <f>SUM(D78:D86)</f>
        <v>40707913077.339699</v>
      </c>
      <c r="E87" s="810"/>
      <c r="F87" s="1074"/>
      <c r="G87" s="1075"/>
      <c r="H87" s="1023"/>
      <c r="I87" s="806">
        <f>+D87-H87</f>
        <v>40707913077.339699</v>
      </c>
      <c r="J87" s="283"/>
      <c r="K87" s="608"/>
      <c r="L87" s="608"/>
      <c r="M87" s="607"/>
    </row>
    <row r="88" spans="1:13" ht="15.75" customHeight="1">
      <c r="A88" s="609"/>
      <c r="B88" s="608"/>
      <c r="C88" s="608"/>
      <c r="D88" s="824"/>
      <c r="E88" s="1076"/>
      <c r="F88" s="1077"/>
      <c r="G88" s="1077"/>
      <c r="H88" s="1078"/>
      <c r="I88" s="770"/>
      <c r="J88" s="283"/>
      <c r="K88" s="608"/>
      <c r="L88" s="608"/>
      <c r="M88" s="607"/>
    </row>
    <row r="89" spans="1:13" ht="31.5">
      <c r="A89" s="611" t="s">
        <v>1159</v>
      </c>
      <c r="B89" s="608"/>
      <c r="C89" s="608"/>
      <c r="D89" s="825">
        <v>37450178811.514709</v>
      </c>
      <c r="E89" s="1094"/>
      <c r="F89" s="1095" t="s">
        <v>1143</v>
      </c>
      <c r="G89" s="1095" t="s">
        <v>1142</v>
      </c>
      <c r="H89" s="1050" t="s">
        <v>835</v>
      </c>
      <c r="I89" s="770"/>
      <c r="J89" s="283"/>
      <c r="K89" s="608"/>
      <c r="L89" s="608"/>
      <c r="M89" s="607"/>
    </row>
    <row r="90" spans="1:13" ht="15.75" customHeight="1">
      <c r="A90" s="611" t="s">
        <v>1153</v>
      </c>
      <c r="B90" s="608"/>
      <c r="C90" s="608"/>
      <c r="D90" s="825">
        <f>+K112</f>
        <v>0</v>
      </c>
      <c r="E90" s="1096"/>
      <c r="F90" s="1051">
        <f>+D90+Adhesiones!J28</f>
        <v>706693334.04999995</v>
      </c>
      <c r="G90" s="1052">
        <f>+'[3]Consolidado DICIEMBRE'!$N$450</f>
        <v>1147686367.02</v>
      </c>
      <c r="H90" s="1053">
        <f>+G90-F90</f>
        <v>440993032.97000003</v>
      </c>
      <c r="I90" s="1054"/>
      <c r="J90" s="283"/>
      <c r="K90" s="608"/>
      <c r="L90" s="608"/>
      <c r="M90" s="607"/>
    </row>
    <row r="91" spans="1:13" ht="15.75" customHeight="1">
      <c r="A91" s="611" t="s">
        <v>1154</v>
      </c>
      <c r="B91" s="608"/>
      <c r="C91" s="608"/>
      <c r="D91" s="825">
        <f>+Adhesiones!L28</f>
        <v>412941183.71065575</v>
      </c>
      <c r="E91" s="1055" t="s">
        <v>322</v>
      </c>
      <c r="F91" s="1051" t="s">
        <v>898</v>
      </c>
      <c r="G91" s="1051" t="s">
        <v>835</v>
      </c>
      <c r="H91" s="1050"/>
      <c r="I91" s="770"/>
      <c r="J91" s="283"/>
      <c r="K91" s="608"/>
      <c r="L91" s="608"/>
      <c r="M91" s="607"/>
    </row>
    <row r="92" spans="1:13" ht="15.75" customHeight="1">
      <c r="A92" s="610" t="s">
        <v>1155</v>
      </c>
      <c r="B92" s="608"/>
      <c r="C92" s="608"/>
      <c r="D92" s="824">
        <f>SUM(D89:D91)</f>
        <v>37863119995.225365</v>
      </c>
      <c r="E92" s="1056">
        <f>+Adhesiones!N28</f>
        <v>9572344930.6546326</v>
      </c>
      <c r="F92" s="1057">
        <f>+[4]Hoja2!$Z$29</f>
        <v>46728771591.060013</v>
      </c>
      <c r="G92" s="1058">
        <f>+F92-E92-D92</f>
        <v>-706693334.81998444</v>
      </c>
      <c r="H92" s="1059"/>
      <c r="I92" s="1060"/>
      <c r="J92" s="283"/>
      <c r="K92" s="608"/>
      <c r="L92" s="608"/>
      <c r="M92" s="607"/>
    </row>
    <row r="93" spans="1:13" ht="15.75" customHeight="1">
      <c r="A93" s="610"/>
      <c r="B93" s="608"/>
      <c r="C93" s="608"/>
      <c r="D93" s="824"/>
      <c r="E93" s="1057"/>
      <c r="F93" s="1057"/>
      <c r="G93" s="1057"/>
      <c r="H93" s="1051"/>
      <c r="I93" s="770"/>
      <c r="J93" s="283"/>
      <c r="K93" s="608"/>
      <c r="L93" s="608"/>
      <c r="M93" s="607"/>
    </row>
    <row r="94" spans="1:13" ht="15.75" customHeight="1">
      <c r="A94" s="611" t="s">
        <v>1160</v>
      </c>
      <c r="B94" s="608"/>
      <c r="C94" s="608"/>
      <c r="D94" s="824">
        <v>149800715.24605876</v>
      </c>
      <c r="E94" s="947"/>
      <c r="F94" s="947"/>
      <c r="G94" s="949"/>
      <c r="H94" s="946"/>
      <c r="I94" s="770"/>
      <c r="J94" s="283"/>
      <c r="K94" s="608"/>
      <c r="L94" s="608"/>
      <c r="M94" s="607"/>
    </row>
    <row r="95" spans="1:13" ht="15.75" customHeight="1">
      <c r="A95" s="611" t="s">
        <v>1156</v>
      </c>
      <c r="B95" s="608"/>
      <c r="C95" s="608"/>
      <c r="D95" s="825">
        <f>+(D90+D91)*0.004</f>
        <v>1651764.7348426231</v>
      </c>
      <c r="E95" s="970">
        <f>+D95+Adhesiones!I57</f>
        <v>39941144.457461171</v>
      </c>
      <c r="F95" s="1022"/>
      <c r="G95" s="1075"/>
      <c r="H95" s="1022"/>
      <c r="I95" s="770"/>
      <c r="J95" s="283"/>
      <c r="K95" s="608"/>
      <c r="L95" s="608"/>
      <c r="M95" s="607"/>
    </row>
    <row r="96" spans="1:13" ht="15.75" customHeight="1">
      <c r="A96" s="610" t="s">
        <v>1157</v>
      </c>
      <c r="B96" s="608"/>
      <c r="C96" s="608"/>
      <c r="D96" s="824">
        <f>SUM(D94:D95)</f>
        <v>151452479.98090139</v>
      </c>
      <c r="E96" s="948"/>
      <c r="F96" s="946">
        <v>114777411.73912001</v>
      </c>
      <c r="G96" s="946">
        <f>+D96+E96-F96</f>
        <v>36675068.241781384</v>
      </c>
      <c r="H96" s="946"/>
      <c r="I96" s="809"/>
      <c r="J96" s="283"/>
      <c r="K96" s="608"/>
      <c r="L96" s="608"/>
      <c r="M96" s="607"/>
    </row>
    <row r="97" spans="1:13" ht="15.75" customHeight="1">
      <c r="A97" s="609"/>
      <c r="B97" s="608"/>
      <c r="C97" s="608"/>
      <c r="D97" s="824"/>
      <c r="E97" s="834"/>
      <c r="F97" s="834"/>
      <c r="G97" s="834"/>
      <c r="H97" s="971"/>
      <c r="I97" s="809"/>
      <c r="J97" s="283"/>
      <c r="K97" s="608"/>
      <c r="L97" s="608"/>
      <c r="M97" s="607"/>
    </row>
    <row r="98" spans="1:13" ht="15.75" customHeight="1">
      <c r="A98" s="610" t="s">
        <v>1158</v>
      </c>
      <c r="B98" s="608"/>
      <c r="C98" s="608"/>
      <c r="D98" s="824">
        <f>+D87-D92-D96</f>
        <v>2693340602.1334329</v>
      </c>
      <c r="E98" s="972">
        <f>+D98+Adhesiones!G84</f>
        <v>4794468778.6148787</v>
      </c>
      <c r="F98" s="973">
        <v>23141100448.4049</v>
      </c>
      <c r="G98" s="974">
        <f>+E87-D92-E92-D96-E96-F98</f>
        <v>-70728017854.265808</v>
      </c>
      <c r="H98" s="975">
        <f>+E98-F98</f>
        <v>-18346631669.79002</v>
      </c>
      <c r="I98" s="967"/>
      <c r="J98" s="283"/>
      <c r="K98" s="608"/>
      <c r="L98" s="608"/>
      <c r="M98" s="607"/>
    </row>
    <row r="99" spans="1:13" ht="15.75" customHeight="1">
      <c r="A99" s="609"/>
      <c r="B99" s="608"/>
      <c r="C99" s="608"/>
      <c r="D99" s="608"/>
      <c r="E99" s="834"/>
      <c r="F99" s="834"/>
      <c r="G99" s="834"/>
      <c r="H99" s="834"/>
      <c r="I99" s="608"/>
      <c r="J99" s="283"/>
      <c r="K99" s="608"/>
      <c r="L99" s="608"/>
      <c r="M99" s="607"/>
    </row>
    <row r="100" spans="1:13" ht="16.5" thickBot="1">
      <c r="A100" s="609"/>
      <c r="B100" s="608"/>
      <c r="C100" s="608"/>
      <c r="D100" s="608"/>
      <c r="E100" s="608"/>
      <c r="F100" s="608"/>
      <c r="G100" s="608"/>
      <c r="H100" s="608"/>
      <c r="I100" s="608"/>
      <c r="J100" s="283"/>
      <c r="K100" s="608"/>
      <c r="L100" s="608"/>
      <c r="M100" s="607"/>
    </row>
    <row r="101" spans="1:13" ht="31.5">
      <c r="A101" s="343" t="s">
        <v>31</v>
      </c>
      <c r="B101" s="344" t="s">
        <v>33</v>
      </c>
      <c r="C101" s="344" t="s">
        <v>247</v>
      </c>
      <c r="D101" s="344" t="s">
        <v>248</v>
      </c>
      <c r="E101" s="344" t="s">
        <v>249</v>
      </c>
      <c r="F101" s="365" t="s">
        <v>250</v>
      </c>
      <c r="G101" s="344" t="s">
        <v>251</v>
      </c>
      <c r="H101" s="344" t="s">
        <v>36</v>
      </c>
      <c r="I101" s="344" t="s">
        <v>252</v>
      </c>
      <c r="J101" s="345" t="s">
        <v>253</v>
      </c>
      <c r="K101" s="346" t="s">
        <v>20</v>
      </c>
      <c r="L101" s="222"/>
      <c r="M101" s="222"/>
    </row>
    <row r="102" spans="1:13" ht="31.5">
      <c r="A102" s="295" t="s">
        <v>1164</v>
      </c>
      <c r="B102" s="375"/>
      <c r="C102" s="293"/>
      <c r="D102" s="293"/>
      <c r="E102" s="293"/>
      <c r="F102" s="374"/>
      <c r="G102" s="293"/>
      <c r="H102" s="508"/>
      <c r="I102" s="374"/>
      <c r="J102" s="565"/>
      <c r="K102" s="300"/>
      <c r="L102" s="289"/>
      <c r="M102" s="290"/>
    </row>
    <row r="103" spans="1:13" ht="16.5" thickBot="1">
      <c r="A103" s="601"/>
      <c r="B103" s="601"/>
      <c r="C103" s="604"/>
      <c r="D103" s="603"/>
      <c r="E103" s="221"/>
      <c r="F103" s="221"/>
      <c r="G103" s="600"/>
      <c r="H103" s="600"/>
      <c r="I103" s="606" t="s">
        <v>41</v>
      </c>
      <c r="J103" s="337">
        <f>SUM(J100:J102)</f>
        <v>0</v>
      </c>
      <c r="K103" s="337">
        <f>SUM(K100:K102)</f>
        <v>0</v>
      </c>
      <c r="L103" s="291"/>
      <c r="M103" s="292"/>
    </row>
    <row r="104" spans="1:13" ht="16.5" thickBot="1">
      <c r="A104" s="601"/>
      <c r="B104" s="601"/>
      <c r="C104" s="604"/>
      <c r="D104" s="603"/>
      <c r="E104" s="221"/>
      <c r="F104" s="221"/>
      <c r="G104" s="600"/>
      <c r="H104" s="600"/>
      <c r="I104" s="605"/>
      <c r="J104" s="566"/>
      <c r="K104" s="567"/>
      <c r="L104" s="291"/>
      <c r="M104" s="292"/>
    </row>
    <row r="105" spans="1:13" ht="15.75" customHeight="1">
      <c r="A105" s="601"/>
      <c r="B105" s="601"/>
      <c r="C105" s="604"/>
      <c r="D105" s="603"/>
      <c r="E105" s="221"/>
      <c r="F105" s="221"/>
      <c r="G105" s="600"/>
      <c r="H105" s="1161" t="s">
        <v>1070</v>
      </c>
      <c r="I105" s="1162"/>
      <c r="J105" s="1163"/>
      <c r="K105" s="362">
        <f>+J103</f>
        <v>0</v>
      </c>
      <c r="M105" s="711"/>
    </row>
    <row r="106" spans="1:13" ht="15.75">
      <c r="A106" s="601"/>
      <c r="B106" s="601"/>
      <c r="C106" s="604"/>
      <c r="D106" s="603"/>
      <c r="E106" s="221"/>
      <c r="F106" s="221"/>
      <c r="G106" s="600"/>
      <c r="H106" s="1164" t="s">
        <v>43</v>
      </c>
      <c r="I106" s="1165"/>
      <c r="J106" s="1166"/>
      <c r="K106" s="363">
        <f>+K103</f>
        <v>0</v>
      </c>
    </row>
    <row r="107" spans="1:13" ht="16.5" customHeight="1" thickBot="1">
      <c r="A107" s="601"/>
      <c r="F107" s="221"/>
      <c r="G107" s="600"/>
      <c r="H107" s="1144" t="s">
        <v>44</v>
      </c>
      <c r="I107" s="1145"/>
      <c r="J107" s="1146"/>
      <c r="K107" s="364">
        <f>K105+K106</f>
        <v>0</v>
      </c>
    </row>
    <row r="108" spans="1:13" ht="15">
      <c r="A108" s="597"/>
      <c r="F108" s="589"/>
      <c r="G108" s="589"/>
      <c r="H108" s="208"/>
      <c r="I108" s="127"/>
      <c r="J108" s="324"/>
      <c r="K108" s="127"/>
      <c r="L108" s="210"/>
      <c r="M108" s="589"/>
    </row>
    <row r="109" spans="1:13" ht="15.75" thickBot="1">
      <c r="A109" s="597"/>
      <c r="F109" s="589"/>
      <c r="G109" s="589"/>
      <c r="H109" s="208"/>
      <c r="I109" s="127"/>
      <c r="J109" s="324"/>
      <c r="K109" s="127"/>
      <c r="L109" s="210"/>
      <c r="M109" s="589"/>
    </row>
    <row r="110" spans="1:13" ht="15.75" customHeight="1">
      <c r="A110" s="597"/>
      <c r="F110" s="589"/>
      <c r="G110" s="589"/>
      <c r="I110" s="1167" t="s">
        <v>481</v>
      </c>
      <c r="J110" s="1168"/>
      <c r="K110" s="818">
        <v>0</v>
      </c>
    </row>
    <row r="111" spans="1:13" ht="15.75">
      <c r="A111" s="597"/>
      <c r="F111" s="589"/>
      <c r="G111" s="589"/>
      <c r="I111" s="1149" t="s">
        <v>482</v>
      </c>
      <c r="J111" s="1150"/>
      <c r="K111" s="709">
        <f>+K110*(0.004)</f>
        <v>0</v>
      </c>
    </row>
    <row r="112" spans="1:13" ht="15.75" customHeight="1">
      <c r="A112" s="597"/>
      <c r="B112" s="597"/>
      <c r="C112" s="206"/>
      <c r="D112" s="204"/>
      <c r="E112" s="592"/>
      <c r="F112" s="599"/>
      <c r="G112" s="599"/>
      <c r="I112" s="1149" t="s">
        <v>483</v>
      </c>
      <c r="J112" s="1150"/>
      <c r="K112" s="598">
        <f>+K105-K110</f>
        <v>0</v>
      </c>
    </row>
    <row r="113" spans="1:13" ht="16.5" thickBot="1">
      <c r="A113" s="597"/>
      <c r="B113" s="597"/>
      <c r="C113" s="206"/>
      <c r="D113" s="204"/>
      <c r="E113" s="592"/>
      <c r="F113" s="589"/>
      <c r="G113" s="589"/>
      <c r="I113" s="1159" t="s">
        <v>484</v>
      </c>
      <c r="J113" s="1160"/>
      <c r="K113" s="596">
        <f>+K106-K111</f>
        <v>0</v>
      </c>
    </row>
    <row r="114" spans="1:13" ht="15.75" customHeight="1">
      <c r="A114" s="590"/>
      <c r="B114" s="590"/>
      <c r="C114" s="595"/>
      <c r="D114" s="206"/>
      <c r="E114" s="592"/>
      <c r="F114" s="588"/>
      <c r="G114" s="588"/>
      <c r="H114" s="592"/>
      <c r="I114" s="590"/>
      <c r="J114" s="324"/>
      <c r="K114" s="210"/>
      <c r="L114" s="210"/>
      <c r="M114" s="589"/>
    </row>
    <row r="115" spans="1:13" ht="15.75" customHeight="1">
      <c r="A115" s="954" t="s">
        <v>749</v>
      </c>
      <c r="B115" s="608"/>
      <c r="C115" s="608"/>
      <c r="D115" s="608"/>
      <c r="E115" s="892"/>
      <c r="F115" s="892"/>
      <c r="G115" s="608"/>
      <c r="H115" s="608"/>
      <c r="I115" s="608"/>
      <c r="J115" s="283"/>
      <c r="K115" s="608"/>
      <c r="L115" s="608"/>
      <c r="M115" s="607"/>
    </row>
    <row r="116" spans="1:13" ht="15.75" customHeight="1">
      <c r="A116" s="609"/>
      <c r="B116" s="608"/>
      <c r="C116" s="608"/>
      <c r="D116" s="608"/>
      <c r="F116" s="893"/>
      <c r="G116" s="608"/>
      <c r="H116" s="608"/>
      <c r="I116" s="608"/>
      <c r="J116" s="283"/>
      <c r="K116" s="608"/>
      <c r="L116" s="608"/>
      <c r="M116" s="607"/>
    </row>
    <row r="117" spans="1:13" ht="15.75" customHeight="1">
      <c r="A117" s="610" t="s">
        <v>238</v>
      </c>
      <c r="B117" s="608"/>
      <c r="C117" s="608"/>
      <c r="D117" s="608"/>
      <c r="E117" s="893"/>
      <c r="F117" s="893"/>
      <c r="G117" s="608"/>
      <c r="H117" s="608"/>
      <c r="I117" s="608"/>
      <c r="J117" s="283"/>
      <c r="K117" s="608"/>
      <c r="L117" s="608"/>
      <c r="M117" s="607"/>
    </row>
    <row r="118" spans="1:13" ht="15.75" customHeight="1">
      <c r="A118" s="611" t="s">
        <v>558</v>
      </c>
      <c r="B118" s="608"/>
      <c r="C118" s="608"/>
      <c r="D118" s="307">
        <v>10000000000</v>
      </c>
      <c r="E118" s="1133" t="s">
        <v>883</v>
      </c>
      <c r="F118" s="1134"/>
      <c r="G118" s="1135"/>
      <c r="H118" s="608"/>
      <c r="I118" s="608"/>
      <c r="J118" s="283"/>
      <c r="K118" s="608"/>
      <c r="L118" s="608"/>
      <c r="M118" s="607"/>
    </row>
    <row r="119" spans="1:13" ht="15.75" customHeight="1">
      <c r="A119" s="611" t="s">
        <v>748</v>
      </c>
      <c r="B119" s="608"/>
      <c r="C119" s="608"/>
      <c r="D119" s="307">
        <v>10000000000</v>
      </c>
      <c r="E119" s="1136"/>
      <c r="F119" s="1137"/>
      <c r="G119" s="1138"/>
      <c r="H119" s="608"/>
      <c r="I119" s="608"/>
      <c r="J119" s="283"/>
      <c r="K119" s="608"/>
      <c r="L119" s="608"/>
      <c r="M119" s="607"/>
    </row>
    <row r="120" spans="1:13" ht="15.75" customHeight="1">
      <c r="A120" s="611" t="s">
        <v>838</v>
      </c>
      <c r="B120" s="608"/>
      <c r="C120" s="608"/>
      <c r="D120" s="307">
        <v>10000000000</v>
      </c>
      <c r="E120" s="1136"/>
      <c r="F120" s="1137"/>
      <c r="G120" s="1138"/>
      <c r="H120" s="608"/>
      <c r="I120" s="608"/>
      <c r="J120" s="283"/>
      <c r="K120" s="608"/>
      <c r="L120" s="608"/>
      <c r="M120" s="607"/>
    </row>
    <row r="121" spans="1:13" ht="15.75" customHeight="1">
      <c r="A121" s="611" t="s">
        <v>881</v>
      </c>
      <c r="B121" s="608"/>
      <c r="C121" s="608"/>
      <c r="D121" s="307">
        <v>10000000000</v>
      </c>
      <c r="E121" s="1136"/>
      <c r="F121" s="1137"/>
      <c r="G121" s="1138"/>
      <c r="H121" s="608"/>
      <c r="I121" s="608"/>
      <c r="J121" s="283"/>
      <c r="K121" s="608"/>
      <c r="L121" s="608"/>
      <c r="M121" s="607"/>
    </row>
    <row r="122" spans="1:13" ht="15.75" customHeight="1">
      <c r="A122" s="610" t="s">
        <v>240</v>
      </c>
      <c r="B122" s="608"/>
      <c r="C122" s="608"/>
      <c r="D122" s="572">
        <f>SUM(D117:D121)</f>
        <v>40000000000</v>
      </c>
      <c r="E122" s="1136"/>
      <c r="F122" s="1137"/>
      <c r="G122" s="1138"/>
      <c r="H122" s="712"/>
      <c r="I122" s="608"/>
      <c r="J122" s="283"/>
      <c r="K122" s="608"/>
      <c r="L122" s="608"/>
      <c r="M122" s="607"/>
    </row>
    <row r="123" spans="1:13" ht="15.75" customHeight="1">
      <c r="A123" s="610" t="s">
        <v>750</v>
      </c>
      <c r="B123" s="608"/>
      <c r="C123" s="608"/>
      <c r="D123" s="572">
        <f>+D122*0.004</f>
        <v>160000000</v>
      </c>
      <c r="E123" s="1136"/>
      <c r="F123" s="1137"/>
      <c r="G123" s="1138"/>
      <c r="H123" s="712"/>
      <c r="I123" s="608"/>
      <c r="J123" s="283"/>
      <c r="K123" s="608"/>
      <c r="L123" s="608"/>
      <c r="M123" s="607"/>
    </row>
    <row r="124" spans="1:13" ht="15.75" customHeight="1">
      <c r="A124" s="609"/>
      <c r="B124" s="608"/>
      <c r="C124" s="608"/>
      <c r="D124" s="283"/>
      <c r="E124" s="1139"/>
      <c r="F124" s="1140"/>
      <c r="G124" s="1141"/>
      <c r="H124" s="746"/>
      <c r="I124" s="608"/>
      <c r="J124" s="283"/>
      <c r="K124" s="608"/>
      <c r="L124" s="608"/>
      <c r="M124" s="607"/>
    </row>
    <row r="125" spans="1:13" ht="15.75" customHeight="1">
      <c r="A125" s="611" t="s">
        <v>751</v>
      </c>
      <c r="B125" s="608"/>
      <c r="C125" s="608"/>
      <c r="D125" s="361">
        <v>1107000000</v>
      </c>
      <c r="E125" s="894"/>
      <c r="F125" s="895"/>
      <c r="G125" s="896"/>
      <c r="H125" s="746"/>
      <c r="I125" s="608"/>
      <c r="J125" s="283"/>
      <c r="K125" s="608"/>
      <c r="L125" s="608"/>
      <c r="M125" s="607"/>
    </row>
    <row r="126" spans="1:13" ht="15.75" customHeight="1">
      <c r="A126" s="611" t="s">
        <v>752</v>
      </c>
      <c r="B126" s="608"/>
      <c r="C126" s="608"/>
      <c r="D126" s="361">
        <v>0</v>
      </c>
      <c r="E126" s="894"/>
      <c r="F126" s="895"/>
      <c r="G126" s="896"/>
      <c r="H126" s="746"/>
      <c r="I126" s="608"/>
      <c r="J126" s="283"/>
      <c r="K126" s="608"/>
      <c r="L126" s="608"/>
      <c r="M126" s="607"/>
    </row>
    <row r="127" spans="1:13" ht="15.75" customHeight="1">
      <c r="A127" s="611" t="s">
        <v>754</v>
      </c>
      <c r="B127" s="608"/>
      <c r="C127" s="608"/>
      <c r="D127" s="361">
        <v>0</v>
      </c>
      <c r="E127" s="894"/>
      <c r="F127" s="895"/>
      <c r="G127" s="896"/>
      <c r="H127" s="746"/>
      <c r="I127" s="608"/>
      <c r="J127" s="283"/>
      <c r="K127" s="608"/>
      <c r="L127" s="608"/>
      <c r="M127" s="607"/>
    </row>
    <row r="128" spans="1:13" ht="15.75" customHeight="1">
      <c r="A128" s="611" t="s">
        <v>820</v>
      </c>
      <c r="B128" s="608"/>
      <c r="C128" s="608"/>
      <c r="D128" s="361">
        <v>12239300000</v>
      </c>
      <c r="E128" s="894"/>
      <c r="F128" s="895"/>
      <c r="G128" s="896"/>
      <c r="H128" s="746"/>
      <c r="I128" s="608"/>
      <c r="J128" s="283"/>
      <c r="K128" s="608"/>
      <c r="L128" s="608"/>
      <c r="M128" s="607"/>
    </row>
    <row r="129" spans="1:13" ht="15.75" customHeight="1">
      <c r="A129" s="611" t="s">
        <v>837</v>
      </c>
      <c r="B129" s="608"/>
      <c r="C129" s="608"/>
      <c r="D129" s="361">
        <v>160000000</v>
      </c>
      <c r="E129" s="894"/>
      <c r="F129" s="895"/>
      <c r="G129" s="896"/>
      <c r="H129" s="746"/>
      <c r="I129" s="608"/>
      <c r="J129" s="283"/>
      <c r="K129" s="608"/>
      <c r="L129" s="608"/>
      <c r="M129" s="607"/>
    </row>
    <row r="130" spans="1:13" ht="15.75" customHeight="1">
      <c r="A130" s="611" t="s">
        <v>882</v>
      </c>
      <c r="B130" s="608"/>
      <c r="C130" s="608"/>
      <c r="D130" s="361">
        <v>0</v>
      </c>
      <c r="E130" s="894"/>
      <c r="F130" s="895"/>
      <c r="G130" s="896"/>
      <c r="H130" s="746"/>
      <c r="I130" s="608"/>
      <c r="J130" s="283"/>
      <c r="K130" s="608"/>
      <c r="L130" s="608"/>
      <c r="M130" s="607"/>
    </row>
    <row r="131" spans="1:13" ht="15.75" customHeight="1">
      <c r="A131" s="611" t="s">
        <v>935</v>
      </c>
      <c r="B131" s="608"/>
      <c r="C131" s="608"/>
      <c r="D131" s="361">
        <v>10577022000</v>
      </c>
      <c r="E131" s="894"/>
      <c r="F131" s="895"/>
      <c r="G131" s="896"/>
      <c r="H131" s="746"/>
      <c r="I131" s="608"/>
      <c r="J131" s="283"/>
      <c r="K131" s="608"/>
      <c r="L131" s="608"/>
      <c r="M131" s="607"/>
    </row>
    <row r="132" spans="1:13" ht="15.75" customHeight="1">
      <c r="A132" s="611" t="s">
        <v>1016</v>
      </c>
      <c r="B132" s="608"/>
      <c r="C132" s="608"/>
      <c r="D132" s="361">
        <v>3916320865</v>
      </c>
      <c r="E132" s="894"/>
      <c r="F132" s="895"/>
      <c r="G132" s="896"/>
      <c r="H132" s="746"/>
      <c r="I132" s="608"/>
      <c r="J132" s="283"/>
      <c r="K132" s="608"/>
      <c r="L132" s="608"/>
      <c r="M132" s="607"/>
    </row>
    <row r="133" spans="1:13" ht="15.75" customHeight="1">
      <c r="A133" s="611" t="s">
        <v>1125</v>
      </c>
      <c r="B133" s="608"/>
      <c r="C133" s="608"/>
      <c r="D133" s="361">
        <v>0</v>
      </c>
      <c r="E133" s="894"/>
      <c r="F133" s="895"/>
      <c r="G133" s="896"/>
      <c r="H133" s="746"/>
      <c r="I133" s="608"/>
      <c r="J133" s="283"/>
      <c r="K133" s="608"/>
      <c r="L133" s="608"/>
      <c r="M133" s="607"/>
    </row>
    <row r="134" spans="1:13" ht="15.75" customHeight="1">
      <c r="A134" s="611" t="s">
        <v>1332</v>
      </c>
      <c r="B134" s="608"/>
      <c r="C134" s="608"/>
      <c r="D134" s="361">
        <f>+'Mov Cta OCCIDENTE'!J9</f>
        <v>10613546084</v>
      </c>
      <c r="E134" s="894"/>
      <c r="F134" s="895"/>
      <c r="G134" s="896"/>
      <c r="H134" s="746"/>
      <c r="I134" s="608"/>
      <c r="J134" s="283"/>
      <c r="K134" s="608"/>
      <c r="L134" s="608"/>
      <c r="M134" s="607"/>
    </row>
    <row r="135" spans="1:13" ht="15.75" customHeight="1">
      <c r="A135" s="610" t="s">
        <v>1155</v>
      </c>
      <c r="B135" s="608"/>
      <c r="C135" s="608"/>
      <c r="D135" s="283">
        <f>+SUM(D125:D134)</f>
        <v>38613188949</v>
      </c>
      <c r="E135" s="897"/>
      <c r="F135" s="895"/>
      <c r="G135" s="895"/>
      <c r="H135" s="748"/>
      <c r="I135" s="683"/>
      <c r="J135" s="283"/>
      <c r="K135" s="608"/>
      <c r="L135" s="608"/>
      <c r="M135" s="607"/>
    </row>
    <row r="136" spans="1:13" ht="15.75" customHeight="1">
      <c r="A136" s="610"/>
      <c r="B136" s="608"/>
      <c r="C136" s="608"/>
      <c r="D136" s="283"/>
      <c r="E136" s="895"/>
      <c r="F136" s="895"/>
      <c r="G136" s="895"/>
      <c r="H136" s="747"/>
      <c r="I136" s="608"/>
      <c r="J136" s="283"/>
      <c r="K136" s="608"/>
      <c r="L136" s="608"/>
      <c r="M136" s="607"/>
    </row>
    <row r="137" spans="1:13" ht="15.75" customHeight="1">
      <c r="A137" s="610" t="s">
        <v>1158</v>
      </c>
      <c r="B137" s="608"/>
      <c r="C137" s="608"/>
      <c r="D137" s="283">
        <f>+D122-D135</f>
        <v>1386811051</v>
      </c>
      <c r="E137" s="898"/>
      <c r="F137" s="899"/>
      <c r="G137" s="895"/>
      <c r="H137" s="746"/>
      <c r="I137" s="713"/>
      <c r="J137" s="283"/>
      <c r="K137" s="608"/>
      <c r="L137" s="608"/>
      <c r="M137" s="607"/>
    </row>
    <row r="138" spans="1:13" ht="15.75" customHeight="1">
      <c r="A138" s="610"/>
      <c r="B138" s="608"/>
      <c r="C138" s="608"/>
      <c r="D138" s="283"/>
      <c r="E138" s="898"/>
      <c r="F138" s="899"/>
      <c r="G138" s="895"/>
      <c r="H138" s="746"/>
      <c r="I138" s="713"/>
      <c r="J138" s="283"/>
      <c r="K138" s="608"/>
      <c r="L138" s="608"/>
      <c r="M138" s="607"/>
    </row>
    <row r="139" spans="1:13" s="900" customFormat="1" ht="11.25">
      <c r="A139" s="924" t="s">
        <v>31</v>
      </c>
      <c r="B139" s="1013" t="s">
        <v>637</v>
      </c>
      <c r="C139" s="1013" t="s">
        <v>76</v>
      </c>
      <c r="D139" s="1013" t="s">
        <v>638</v>
      </c>
      <c r="E139" s="1013" t="s">
        <v>639</v>
      </c>
      <c r="F139" s="1014" t="s">
        <v>640</v>
      </c>
      <c r="G139" s="1013" t="s">
        <v>641</v>
      </c>
      <c r="H139" s="1013" t="s">
        <v>642</v>
      </c>
      <c r="I139" s="1015" t="s">
        <v>644</v>
      </c>
      <c r="J139" s="1013" t="s">
        <v>643</v>
      </c>
    </row>
    <row r="140" spans="1:13" s="900" customFormat="1" ht="12">
      <c r="A140" s="925"/>
      <c r="B140" s="926"/>
      <c r="C140" s="927"/>
      <c r="D140" s="927"/>
      <c r="E140" s="927"/>
      <c r="F140" s="928"/>
      <c r="G140" s="927"/>
      <c r="H140" s="929"/>
      <c r="I140" s="930"/>
      <c r="J140" s="927"/>
    </row>
    <row r="141" spans="1:13" s="900" customFormat="1" ht="12">
      <c r="A141" s="925"/>
      <c r="B141" s="926"/>
      <c r="C141" s="927"/>
      <c r="D141" s="927"/>
      <c r="E141" s="927"/>
      <c r="F141" s="928"/>
      <c r="G141" s="927"/>
      <c r="H141" s="929"/>
      <c r="I141" s="930"/>
      <c r="J141" s="927"/>
    </row>
    <row r="142" spans="1:13" s="900" customFormat="1" ht="12">
      <c r="A142" s="925"/>
      <c r="B142" s="926"/>
      <c r="C142" s="927"/>
      <c r="D142" s="927"/>
      <c r="E142" s="927"/>
      <c r="F142" s="928"/>
      <c r="G142" s="927"/>
      <c r="H142" s="929"/>
      <c r="I142" s="930"/>
      <c r="J142" s="927"/>
    </row>
    <row r="143" spans="1:13" s="900" customFormat="1" ht="12">
      <c r="A143" s="925"/>
      <c r="B143" s="926"/>
      <c r="C143" s="927"/>
      <c r="D143" s="927"/>
      <c r="E143" s="927"/>
      <c r="F143" s="928"/>
      <c r="G143" s="927"/>
      <c r="H143" s="929"/>
      <c r="I143" s="930"/>
      <c r="J143" s="927"/>
    </row>
    <row r="144" spans="1:13" s="900" customFormat="1" ht="12">
      <c r="A144" s="925"/>
      <c r="B144" s="926"/>
      <c r="C144" s="927"/>
      <c r="D144" s="927"/>
      <c r="E144" s="927"/>
      <c r="F144" s="928"/>
      <c r="G144" s="927"/>
      <c r="H144" s="929"/>
      <c r="I144" s="930"/>
      <c r="J144" s="927"/>
    </row>
    <row r="145" spans="1:10" s="900" customFormat="1" ht="12">
      <c r="A145" s="925"/>
      <c r="B145" s="926"/>
      <c r="C145" s="927"/>
      <c r="D145" s="927"/>
      <c r="E145" s="927"/>
      <c r="F145" s="928"/>
      <c r="G145" s="927"/>
      <c r="H145" s="929"/>
      <c r="I145" s="930"/>
      <c r="J145" s="927"/>
    </row>
    <row r="146" spans="1:10" s="900" customFormat="1" ht="12">
      <c r="A146" s="925"/>
      <c r="B146" s="926"/>
      <c r="C146" s="927"/>
      <c r="D146" s="927"/>
      <c r="E146" s="927"/>
      <c r="F146" s="928"/>
      <c r="G146" s="927"/>
      <c r="H146" s="929"/>
      <c r="I146" s="930"/>
      <c r="J146" s="927"/>
    </row>
    <row r="147" spans="1:10" s="900" customFormat="1" ht="12">
      <c r="A147" s="925"/>
      <c r="B147" s="926"/>
      <c r="C147" s="927"/>
      <c r="D147" s="927"/>
      <c r="E147" s="927"/>
      <c r="F147" s="928"/>
      <c r="G147" s="927"/>
      <c r="H147" s="929"/>
      <c r="I147" s="930"/>
      <c r="J147" s="927"/>
    </row>
    <row r="148" spans="1:10" s="900" customFormat="1" ht="12">
      <c r="A148" s="925"/>
      <c r="B148" s="926"/>
      <c r="C148" s="927"/>
      <c r="D148" s="927"/>
      <c r="E148" s="927"/>
      <c r="F148" s="928"/>
      <c r="G148" s="927"/>
      <c r="H148" s="929"/>
      <c r="I148" s="930"/>
      <c r="J148" s="927"/>
    </row>
    <row r="149" spans="1:10" s="900" customFormat="1" ht="12">
      <c r="A149" s="925"/>
      <c r="B149" s="926"/>
      <c r="C149" s="927"/>
      <c r="D149" s="927"/>
      <c r="E149" s="927"/>
      <c r="F149" s="928"/>
      <c r="G149" s="927"/>
      <c r="H149" s="929"/>
      <c r="I149" s="930"/>
      <c r="J149" s="927"/>
    </row>
    <row r="150" spans="1:10" s="900" customFormat="1" ht="12">
      <c r="A150" s="925"/>
      <c r="B150" s="926"/>
      <c r="C150" s="927"/>
      <c r="D150" s="927"/>
      <c r="E150" s="927"/>
      <c r="F150" s="928"/>
      <c r="G150" s="927"/>
      <c r="H150" s="929"/>
      <c r="I150" s="930"/>
      <c r="J150" s="927"/>
    </row>
    <row r="151" spans="1:10" s="900" customFormat="1" ht="12">
      <c r="A151" s="925"/>
      <c r="B151" s="926"/>
      <c r="C151" s="927"/>
      <c r="D151" s="927"/>
      <c r="E151" s="927"/>
      <c r="F151" s="928"/>
      <c r="G151" s="927"/>
      <c r="H151" s="929"/>
      <c r="I151" s="930"/>
      <c r="J151" s="927"/>
    </row>
    <row r="152" spans="1:10" s="900" customFormat="1" ht="12">
      <c r="A152" s="925"/>
      <c r="B152" s="926"/>
      <c r="C152" s="927"/>
      <c r="D152" s="927"/>
      <c r="E152" s="927"/>
      <c r="F152" s="928"/>
      <c r="G152" s="927"/>
      <c r="H152" s="929"/>
      <c r="I152" s="930"/>
      <c r="J152" s="927"/>
    </row>
    <row r="153" spans="1:10" s="900" customFormat="1" ht="12">
      <c r="A153" s="925"/>
      <c r="B153" s="926"/>
      <c r="C153" s="927"/>
      <c r="D153" s="927"/>
      <c r="E153" s="927"/>
      <c r="F153" s="928"/>
      <c r="G153" s="927"/>
      <c r="H153" s="929"/>
      <c r="I153" s="930"/>
      <c r="J153" s="927"/>
    </row>
    <row r="154" spans="1:10" s="900" customFormat="1" ht="12">
      <c r="A154" s="925"/>
      <c r="B154" s="926"/>
      <c r="C154" s="927"/>
      <c r="D154" s="927"/>
      <c r="E154" s="927"/>
      <c r="F154" s="928"/>
      <c r="G154" s="927"/>
      <c r="H154" s="929"/>
      <c r="I154" s="930"/>
      <c r="J154" s="927"/>
    </row>
    <row r="155" spans="1:10" s="900" customFormat="1" ht="12">
      <c r="A155" s="925"/>
      <c r="B155" s="926"/>
      <c r="C155" s="927"/>
      <c r="D155" s="927"/>
      <c r="E155" s="927"/>
      <c r="F155" s="928"/>
      <c r="G155" s="927"/>
      <c r="H155" s="929"/>
      <c r="I155" s="930"/>
      <c r="J155" s="927"/>
    </row>
    <row r="156" spans="1:10" s="900" customFormat="1" ht="12">
      <c r="A156" s="925"/>
      <c r="B156" s="926"/>
      <c r="C156" s="927"/>
      <c r="D156" s="927"/>
      <c r="E156" s="927"/>
      <c r="F156" s="928"/>
      <c r="G156" s="927"/>
      <c r="H156" s="929"/>
      <c r="I156" s="930"/>
      <c r="J156" s="927"/>
    </row>
    <row r="157" spans="1:10" s="900" customFormat="1" ht="12">
      <c r="A157" s="925"/>
      <c r="B157" s="926"/>
      <c r="C157" s="927"/>
      <c r="D157" s="927"/>
      <c r="E157" s="927"/>
      <c r="F157" s="928"/>
      <c r="G157" s="927"/>
      <c r="H157" s="929"/>
      <c r="I157" s="930"/>
      <c r="J157" s="927"/>
    </row>
    <row r="158" spans="1:10" s="900" customFormat="1" ht="12">
      <c r="A158" s="925"/>
      <c r="B158" s="926"/>
      <c r="C158" s="927"/>
      <c r="D158" s="927"/>
      <c r="E158" s="927"/>
      <c r="F158" s="928"/>
      <c r="G158" s="927"/>
      <c r="H158" s="929"/>
      <c r="I158" s="930"/>
      <c r="J158" s="927"/>
    </row>
    <row r="159" spans="1:10" s="900" customFormat="1" ht="12">
      <c r="A159" s="925"/>
      <c r="B159" s="926"/>
      <c r="C159" s="927"/>
      <c r="D159" s="927"/>
      <c r="E159" s="927"/>
      <c r="F159" s="928"/>
      <c r="G159" s="927"/>
      <c r="H159" s="929"/>
      <c r="I159" s="930"/>
      <c r="J159" s="927"/>
    </row>
    <row r="160" spans="1:10" s="900" customFormat="1" ht="12">
      <c r="A160" s="925"/>
      <c r="B160" s="926"/>
      <c r="C160" s="927"/>
      <c r="D160" s="927"/>
      <c r="E160" s="927"/>
      <c r="F160" s="928"/>
      <c r="G160" s="927"/>
      <c r="H160" s="929"/>
      <c r="I160" s="930"/>
      <c r="J160" s="927"/>
    </row>
    <row r="161" spans="1:10" s="900" customFormat="1" ht="12">
      <c r="A161" s="925"/>
      <c r="B161" s="926"/>
      <c r="C161" s="927"/>
      <c r="D161" s="927"/>
      <c r="E161" s="927"/>
      <c r="F161" s="928"/>
      <c r="G161" s="927"/>
      <c r="H161" s="929"/>
      <c r="I161" s="930"/>
      <c r="J161" s="927"/>
    </row>
    <row r="162" spans="1:10" s="900" customFormat="1" ht="12">
      <c r="A162" s="925"/>
      <c r="B162" s="926"/>
      <c r="C162" s="927"/>
      <c r="D162" s="927"/>
      <c r="E162" s="927"/>
      <c r="F162" s="928"/>
      <c r="G162" s="927"/>
      <c r="H162" s="929"/>
      <c r="I162" s="930"/>
      <c r="J162" s="927"/>
    </row>
    <row r="163" spans="1:10" s="900" customFormat="1" ht="12">
      <c r="A163" s="925"/>
      <c r="B163" s="926"/>
      <c r="C163" s="927"/>
      <c r="D163" s="927"/>
      <c r="E163" s="927"/>
      <c r="F163" s="928"/>
      <c r="G163" s="927"/>
      <c r="H163" s="929"/>
      <c r="I163" s="930"/>
      <c r="J163" s="927"/>
    </row>
    <row r="164" spans="1:10" s="900" customFormat="1" ht="12">
      <c r="A164" s="925"/>
      <c r="B164" s="926"/>
      <c r="C164" s="927"/>
      <c r="D164" s="927"/>
      <c r="E164" s="927"/>
      <c r="F164" s="928"/>
      <c r="G164" s="927"/>
      <c r="H164" s="929"/>
      <c r="I164" s="930"/>
      <c r="J164" s="927"/>
    </row>
    <row r="165" spans="1:10" s="900" customFormat="1" ht="12">
      <c r="A165" s="925"/>
      <c r="B165" s="926"/>
      <c r="C165" s="927"/>
      <c r="D165" s="927"/>
      <c r="E165" s="927"/>
      <c r="F165" s="928"/>
      <c r="G165" s="927"/>
      <c r="H165" s="929"/>
      <c r="I165" s="930"/>
      <c r="J165" s="927"/>
    </row>
    <row r="166" spans="1:10" s="900" customFormat="1" ht="12">
      <c r="A166" s="925"/>
      <c r="B166" s="926"/>
      <c r="C166" s="927"/>
      <c r="D166" s="927"/>
      <c r="E166" s="927"/>
      <c r="F166" s="928"/>
      <c r="G166" s="927"/>
      <c r="H166" s="929"/>
      <c r="I166" s="930"/>
      <c r="J166" s="927"/>
    </row>
    <row r="167" spans="1:10" s="900" customFormat="1" ht="12">
      <c r="A167" s="925"/>
      <c r="B167" s="926"/>
      <c r="C167" s="927"/>
      <c r="D167" s="927"/>
      <c r="E167" s="927"/>
      <c r="F167" s="928"/>
      <c r="G167" s="927"/>
      <c r="H167" s="929"/>
      <c r="I167" s="930"/>
      <c r="J167" s="927"/>
    </row>
    <row r="168" spans="1:10" s="900" customFormat="1" ht="12">
      <c r="A168" s="925"/>
      <c r="B168" s="926"/>
      <c r="C168" s="927"/>
      <c r="D168" s="927"/>
      <c r="E168" s="927"/>
      <c r="F168" s="928"/>
      <c r="G168" s="927"/>
      <c r="H168" s="929"/>
      <c r="I168" s="930"/>
      <c r="J168" s="927"/>
    </row>
    <row r="169" spans="1:10" s="900" customFormat="1" ht="12">
      <c r="A169" s="925"/>
      <c r="B169" s="926"/>
      <c r="C169" s="927"/>
      <c r="D169" s="927"/>
      <c r="E169" s="927"/>
      <c r="F169" s="928"/>
      <c r="G169" s="927"/>
      <c r="H169" s="929"/>
      <c r="I169" s="930"/>
      <c r="J169" s="927"/>
    </row>
    <row r="170" spans="1:10" s="900" customFormat="1" ht="12">
      <c r="A170" s="925"/>
      <c r="B170" s="926"/>
      <c r="C170" s="927"/>
      <c r="D170" s="927"/>
      <c r="E170" s="927"/>
      <c r="F170" s="928"/>
      <c r="G170" s="927"/>
      <c r="H170" s="929"/>
      <c r="I170" s="930"/>
      <c r="J170" s="927"/>
    </row>
    <row r="171" spans="1:10" s="900" customFormat="1" ht="12">
      <c r="A171" s="925"/>
      <c r="B171" s="926"/>
      <c r="C171" s="927"/>
      <c r="D171" s="927"/>
      <c r="E171" s="927"/>
      <c r="F171" s="928"/>
      <c r="G171" s="927"/>
      <c r="H171" s="929"/>
      <c r="I171" s="930"/>
      <c r="J171" s="927"/>
    </row>
    <row r="172" spans="1:10" s="900" customFormat="1" ht="12">
      <c r="A172" s="925"/>
      <c r="B172" s="926"/>
      <c r="C172" s="927"/>
      <c r="D172" s="927"/>
      <c r="E172" s="927"/>
      <c r="F172" s="928"/>
      <c r="G172" s="927"/>
      <c r="H172" s="929"/>
      <c r="I172" s="930"/>
      <c r="J172" s="927"/>
    </row>
    <row r="173" spans="1:10" s="900" customFormat="1" ht="12">
      <c r="A173" s="925"/>
      <c r="B173" s="926"/>
      <c r="C173" s="927"/>
      <c r="D173" s="927"/>
      <c r="E173" s="927"/>
      <c r="F173" s="928"/>
      <c r="G173" s="927"/>
      <c r="H173" s="929"/>
      <c r="I173" s="930"/>
      <c r="J173" s="927"/>
    </row>
    <row r="174" spans="1:10" s="900" customFormat="1" ht="12">
      <c r="A174" s="925"/>
      <c r="B174" s="926"/>
      <c r="C174" s="927"/>
      <c r="D174" s="927"/>
      <c r="E174" s="927"/>
      <c r="F174" s="928"/>
      <c r="G174" s="927"/>
      <c r="H174" s="929"/>
      <c r="I174" s="930"/>
      <c r="J174" s="927"/>
    </row>
    <row r="175" spans="1:10" s="900" customFormat="1" ht="12">
      <c r="A175" s="925"/>
      <c r="B175" s="926"/>
      <c r="C175" s="927"/>
      <c r="D175" s="927"/>
      <c r="E175" s="927"/>
      <c r="F175" s="928"/>
      <c r="G175" s="927"/>
      <c r="H175" s="929"/>
      <c r="I175" s="930"/>
      <c r="J175" s="927"/>
    </row>
    <row r="176" spans="1:10" s="900" customFormat="1" ht="12">
      <c r="A176" s="925"/>
      <c r="B176" s="926"/>
      <c r="C176" s="927"/>
      <c r="D176" s="927"/>
      <c r="E176" s="927"/>
      <c r="F176" s="928"/>
      <c r="G176" s="927"/>
      <c r="H176" s="929"/>
      <c r="I176" s="930"/>
      <c r="J176" s="927"/>
    </row>
    <row r="177" spans="1:10" s="900" customFormat="1" ht="12">
      <c r="A177" s="925"/>
      <c r="B177" s="926"/>
      <c r="C177" s="927"/>
      <c r="D177" s="927"/>
      <c r="E177" s="927"/>
      <c r="F177" s="928"/>
      <c r="G177" s="927"/>
      <c r="H177" s="929"/>
      <c r="I177" s="930"/>
      <c r="J177" s="927"/>
    </row>
    <row r="178" spans="1:10" s="900" customFormat="1" ht="12">
      <c r="A178" s="925"/>
      <c r="B178" s="926"/>
      <c r="C178" s="927"/>
      <c r="D178" s="927"/>
      <c r="E178" s="927"/>
      <c r="F178" s="928"/>
      <c r="G178" s="927"/>
      <c r="H178" s="929"/>
      <c r="I178" s="930"/>
      <c r="J178" s="927"/>
    </row>
    <row r="179" spans="1:10" s="900" customFormat="1" ht="12">
      <c r="A179" s="925"/>
      <c r="B179" s="926"/>
      <c r="C179" s="927"/>
      <c r="D179" s="927"/>
      <c r="E179" s="927"/>
      <c r="F179" s="928"/>
      <c r="G179" s="927"/>
      <c r="H179" s="929"/>
      <c r="I179" s="930"/>
      <c r="J179" s="927"/>
    </row>
    <row r="180" spans="1:10" s="900" customFormat="1" ht="12">
      <c r="A180" s="925"/>
      <c r="B180" s="926"/>
      <c r="C180" s="927"/>
      <c r="D180" s="927"/>
      <c r="E180" s="927"/>
      <c r="F180" s="928"/>
      <c r="G180" s="927"/>
      <c r="H180" s="929"/>
      <c r="I180" s="930"/>
      <c r="J180" s="927"/>
    </row>
    <row r="181" spans="1:10" s="900" customFormat="1" ht="12">
      <c r="A181" s="925"/>
      <c r="B181" s="926"/>
      <c r="C181" s="927"/>
      <c r="D181" s="927"/>
      <c r="E181" s="927"/>
      <c r="F181" s="928"/>
      <c r="G181" s="927"/>
      <c r="H181" s="929"/>
      <c r="I181" s="930"/>
      <c r="J181" s="927"/>
    </row>
    <row r="182" spans="1:10" s="900" customFormat="1" ht="12">
      <c r="A182" s="925"/>
      <c r="B182" s="926"/>
      <c r="C182" s="927"/>
      <c r="D182" s="927"/>
      <c r="E182" s="927"/>
      <c r="F182" s="928"/>
      <c r="G182" s="927"/>
      <c r="H182" s="929"/>
      <c r="I182" s="930"/>
      <c r="J182" s="927"/>
    </row>
    <row r="183" spans="1:10" s="900" customFormat="1" ht="12">
      <c r="A183" s="925"/>
      <c r="B183" s="926"/>
      <c r="C183" s="927"/>
      <c r="D183" s="927"/>
      <c r="E183" s="927"/>
      <c r="F183" s="928"/>
      <c r="G183" s="927"/>
      <c r="H183" s="929"/>
      <c r="I183" s="930"/>
      <c r="J183" s="927"/>
    </row>
    <row r="184" spans="1:10" s="900" customFormat="1" ht="12">
      <c r="A184" s="925"/>
      <c r="B184" s="926"/>
      <c r="C184" s="927"/>
      <c r="D184" s="927"/>
      <c r="E184" s="927"/>
      <c r="F184" s="928"/>
      <c r="G184" s="927"/>
      <c r="H184" s="929"/>
      <c r="I184" s="930"/>
      <c r="J184" s="927"/>
    </row>
    <row r="185" spans="1:10" s="900" customFormat="1" ht="12">
      <c r="A185" s="925"/>
      <c r="B185" s="926"/>
      <c r="C185" s="927"/>
      <c r="D185" s="927"/>
      <c r="E185" s="927"/>
      <c r="F185" s="928"/>
      <c r="G185" s="927"/>
      <c r="H185" s="929"/>
      <c r="I185" s="930"/>
      <c r="J185" s="927"/>
    </row>
    <row r="186" spans="1:10" s="900" customFormat="1" ht="12">
      <c r="A186" s="925"/>
      <c r="B186" s="926"/>
      <c r="C186" s="927"/>
      <c r="D186" s="927"/>
      <c r="E186" s="927"/>
      <c r="F186" s="928"/>
      <c r="G186" s="927"/>
      <c r="H186" s="929"/>
      <c r="I186" s="930"/>
      <c r="J186" s="927"/>
    </row>
    <row r="187" spans="1:10" s="900" customFormat="1" ht="12">
      <c r="A187" s="925"/>
      <c r="B187" s="926"/>
      <c r="C187" s="927"/>
      <c r="D187" s="927"/>
      <c r="E187" s="927"/>
      <c r="F187" s="928"/>
      <c r="G187" s="927"/>
      <c r="H187" s="929"/>
      <c r="I187" s="930"/>
      <c r="J187" s="927"/>
    </row>
    <row r="188" spans="1:10" s="900" customFormat="1" ht="12">
      <c r="A188" s="925"/>
      <c r="B188" s="926"/>
      <c r="C188" s="927"/>
      <c r="D188" s="927"/>
      <c r="E188" s="927"/>
      <c r="F188" s="928"/>
      <c r="G188" s="927"/>
      <c r="H188" s="929"/>
      <c r="I188" s="930"/>
      <c r="J188" s="927"/>
    </row>
    <row r="189" spans="1:10" s="900" customFormat="1" ht="12">
      <c r="A189" s="925"/>
      <c r="B189" s="926"/>
      <c r="C189" s="927"/>
      <c r="D189" s="927"/>
      <c r="E189" s="927"/>
      <c r="F189" s="928"/>
      <c r="G189" s="927"/>
      <c r="H189" s="929"/>
      <c r="I189" s="930"/>
      <c r="J189" s="927"/>
    </row>
    <row r="190" spans="1:10" s="900" customFormat="1" ht="12">
      <c r="A190" s="925"/>
      <c r="B190" s="926"/>
      <c r="C190" s="927"/>
      <c r="D190" s="927"/>
      <c r="E190" s="927"/>
      <c r="F190" s="928"/>
      <c r="G190" s="927"/>
      <c r="H190" s="929"/>
      <c r="I190" s="930"/>
      <c r="J190" s="927"/>
    </row>
    <row r="191" spans="1:10" s="900" customFormat="1" ht="12">
      <c r="A191" s="925"/>
      <c r="B191" s="926"/>
      <c r="C191" s="927"/>
      <c r="D191" s="927"/>
      <c r="E191" s="927"/>
      <c r="F191" s="928"/>
      <c r="G191" s="927"/>
      <c r="H191" s="929"/>
      <c r="I191" s="930"/>
      <c r="J191" s="927"/>
    </row>
    <row r="192" spans="1:10" s="900" customFormat="1" ht="12">
      <c r="A192" s="925"/>
      <c r="B192" s="926"/>
      <c r="C192" s="927"/>
      <c r="D192" s="927"/>
      <c r="E192" s="927"/>
      <c r="F192" s="928"/>
      <c r="G192" s="927"/>
      <c r="H192" s="929"/>
      <c r="I192" s="930"/>
      <c r="J192" s="927"/>
    </row>
    <row r="193" spans="1:10" s="900" customFormat="1" ht="12">
      <c r="A193" s="925"/>
      <c r="B193" s="926"/>
      <c r="C193" s="927"/>
      <c r="D193" s="927"/>
      <c r="E193" s="927"/>
      <c r="F193" s="928"/>
      <c r="G193" s="927"/>
      <c r="H193" s="929"/>
      <c r="I193" s="930"/>
      <c r="J193" s="927"/>
    </row>
    <row r="194" spans="1:10" s="900" customFormat="1" ht="12">
      <c r="A194" s="925"/>
      <c r="B194" s="926"/>
      <c r="C194" s="927"/>
      <c r="D194" s="927"/>
      <c r="E194" s="927"/>
      <c r="F194" s="928"/>
      <c r="G194" s="927"/>
      <c r="H194" s="929"/>
      <c r="I194" s="930"/>
      <c r="J194" s="927"/>
    </row>
    <row r="195" spans="1:10" s="900" customFormat="1" ht="12">
      <c r="A195" s="925"/>
      <c r="B195" s="926"/>
      <c r="C195" s="927"/>
      <c r="D195" s="927"/>
      <c r="E195" s="927"/>
      <c r="F195" s="928"/>
      <c r="G195" s="927"/>
      <c r="H195" s="929"/>
      <c r="I195" s="930"/>
      <c r="J195" s="927"/>
    </row>
    <row r="196" spans="1:10" s="900" customFormat="1" ht="12">
      <c r="A196" s="925"/>
      <c r="B196" s="926"/>
      <c r="C196" s="927"/>
      <c r="D196" s="927"/>
      <c r="E196" s="927"/>
      <c r="F196" s="928"/>
      <c r="G196" s="927"/>
      <c r="H196" s="929"/>
      <c r="I196" s="930"/>
      <c r="J196" s="927"/>
    </row>
    <row r="197" spans="1:10" s="900" customFormat="1" ht="12">
      <c r="A197" s="925"/>
      <c r="B197" s="926"/>
      <c r="C197" s="927"/>
      <c r="D197" s="927"/>
      <c r="E197" s="927"/>
      <c r="F197" s="928"/>
      <c r="G197" s="927"/>
      <c r="H197" s="929"/>
      <c r="I197" s="930"/>
      <c r="J197" s="927"/>
    </row>
    <row r="198" spans="1:10" s="900" customFormat="1" ht="12">
      <c r="A198" s="925"/>
      <c r="B198" s="926"/>
      <c r="C198" s="927"/>
      <c r="D198" s="927"/>
      <c r="E198" s="927"/>
      <c r="F198" s="928"/>
      <c r="G198" s="927"/>
      <c r="H198" s="929"/>
      <c r="I198" s="930"/>
      <c r="J198" s="927"/>
    </row>
    <row r="199" spans="1:10" s="900" customFormat="1" ht="12">
      <c r="A199" s="925"/>
      <c r="B199" s="926"/>
      <c r="C199" s="927"/>
      <c r="D199" s="927"/>
      <c r="E199" s="927"/>
      <c r="F199" s="928"/>
      <c r="G199" s="927"/>
      <c r="H199" s="929"/>
      <c r="I199" s="930"/>
      <c r="J199" s="927"/>
    </row>
    <row r="200" spans="1:10" s="900" customFormat="1" ht="12">
      <c r="A200" s="925"/>
      <c r="B200" s="926"/>
      <c r="C200" s="927"/>
      <c r="D200" s="927"/>
      <c r="E200" s="927"/>
      <c r="F200" s="928"/>
      <c r="G200" s="927"/>
      <c r="H200" s="929"/>
      <c r="I200" s="930"/>
      <c r="J200" s="927"/>
    </row>
    <row r="201" spans="1:10" s="900" customFormat="1" ht="12">
      <c r="A201" s="925"/>
      <c r="B201" s="926"/>
      <c r="C201" s="927"/>
      <c r="D201" s="927"/>
      <c r="E201" s="927"/>
      <c r="F201" s="928"/>
      <c r="G201" s="927"/>
      <c r="H201" s="929"/>
      <c r="I201" s="930"/>
      <c r="J201" s="927"/>
    </row>
    <row r="202" spans="1:10" s="900" customFormat="1" ht="12">
      <c r="A202" s="925"/>
      <c r="B202" s="926"/>
      <c r="C202" s="927"/>
      <c r="D202" s="927"/>
      <c r="E202" s="927"/>
      <c r="F202" s="928"/>
      <c r="G202" s="927"/>
      <c r="H202" s="929"/>
      <c r="I202" s="930"/>
      <c r="J202" s="927"/>
    </row>
    <row r="203" spans="1:10" s="900" customFormat="1" ht="12">
      <c r="A203" s="925"/>
      <c r="B203" s="926"/>
      <c r="C203" s="927"/>
      <c r="D203" s="927"/>
      <c r="E203" s="927"/>
      <c r="F203" s="928"/>
      <c r="G203" s="927"/>
      <c r="H203" s="929"/>
      <c r="I203" s="930"/>
      <c r="J203" s="927"/>
    </row>
    <row r="204" spans="1:10" s="900" customFormat="1" ht="12">
      <c r="A204" s="925"/>
      <c r="B204" s="926"/>
      <c r="C204" s="927"/>
      <c r="D204" s="927"/>
      <c r="E204" s="927"/>
      <c r="F204" s="928"/>
      <c r="G204" s="927"/>
      <c r="H204" s="929"/>
      <c r="I204" s="930"/>
      <c r="J204" s="927"/>
    </row>
    <row r="205" spans="1:10" s="900" customFormat="1" ht="12">
      <c r="A205" s="925"/>
      <c r="B205" s="926"/>
      <c r="C205" s="927"/>
      <c r="D205" s="927"/>
      <c r="E205" s="927"/>
      <c r="F205" s="928"/>
      <c r="G205" s="927"/>
      <c r="H205" s="929"/>
      <c r="I205" s="930"/>
      <c r="J205" s="927"/>
    </row>
    <row r="206" spans="1:10" s="900" customFormat="1" ht="12">
      <c r="A206" s="925"/>
      <c r="B206" s="926"/>
      <c r="C206" s="927"/>
      <c r="D206" s="927"/>
      <c r="E206" s="927"/>
      <c r="F206" s="928"/>
      <c r="G206" s="927"/>
      <c r="H206" s="929"/>
      <c r="I206" s="930"/>
      <c r="J206" s="927"/>
    </row>
    <row r="207" spans="1:10" s="900" customFormat="1" ht="12">
      <c r="A207" s="925"/>
      <c r="B207" s="926"/>
      <c r="C207" s="927"/>
      <c r="D207" s="927"/>
      <c r="E207" s="927"/>
      <c r="F207" s="928"/>
      <c r="G207" s="927"/>
      <c r="H207" s="929"/>
      <c r="I207" s="930"/>
      <c r="J207" s="927"/>
    </row>
    <row r="208" spans="1:10" s="900" customFormat="1" ht="12">
      <c r="A208" s="925"/>
      <c r="B208" s="926"/>
      <c r="C208" s="927"/>
      <c r="D208" s="927"/>
      <c r="E208" s="927"/>
      <c r="F208" s="928"/>
      <c r="G208" s="927"/>
      <c r="H208" s="929"/>
      <c r="I208" s="930"/>
      <c r="J208" s="927"/>
    </row>
    <row r="209" spans="1:10" s="900" customFormat="1" ht="12">
      <c r="A209" s="925"/>
      <c r="B209" s="926"/>
      <c r="C209" s="927"/>
      <c r="D209" s="927"/>
      <c r="E209" s="927"/>
      <c r="F209" s="928"/>
      <c r="G209" s="927"/>
      <c r="H209" s="929"/>
      <c r="I209" s="930"/>
      <c r="J209" s="927"/>
    </row>
    <row r="210" spans="1:10" s="900" customFormat="1" ht="12">
      <c r="A210" s="925"/>
      <c r="B210" s="926"/>
      <c r="C210" s="927"/>
      <c r="D210" s="927"/>
      <c r="E210" s="927"/>
      <c r="F210" s="928"/>
      <c r="G210" s="927"/>
      <c r="H210" s="929"/>
      <c r="I210" s="930"/>
      <c r="J210" s="927"/>
    </row>
    <row r="211" spans="1:10" s="900" customFormat="1" ht="12">
      <c r="A211" s="925"/>
      <c r="B211" s="926"/>
      <c r="C211" s="927"/>
      <c r="D211" s="927"/>
      <c r="E211" s="927"/>
      <c r="F211" s="928"/>
      <c r="G211" s="927"/>
      <c r="H211" s="929"/>
      <c r="I211" s="930"/>
      <c r="J211" s="927"/>
    </row>
    <row r="212" spans="1:10" s="900" customFormat="1" ht="12">
      <c r="A212" s="925"/>
      <c r="B212" s="926"/>
      <c r="C212" s="927"/>
      <c r="D212" s="927"/>
      <c r="E212" s="927"/>
      <c r="F212" s="928"/>
      <c r="G212" s="927"/>
      <c r="H212" s="929"/>
      <c r="I212" s="930"/>
      <c r="J212" s="927"/>
    </row>
    <row r="213" spans="1:10" s="900" customFormat="1" ht="12">
      <c r="A213" s="925"/>
      <c r="B213" s="926"/>
      <c r="C213" s="927"/>
      <c r="D213" s="927"/>
      <c r="E213" s="927"/>
      <c r="F213" s="928"/>
      <c r="G213" s="927"/>
      <c r="H213" s="929"/>
      <c r="I213" s="930"/>
      <c r="J213" s="927"/>
    </row>
    <row r="214" spans="1:10" s="900" customFormat="1" ht="12">
      <c r="A214" s="925"/>
      <c r="B214" s="926"/>
      <c r="C214" s="927"/>
      <c r="D214" s="927"/>
      <c r="E214" s="927"/>
      <c r="F214" s="928"/>
      <c r="G214" s="927"/>
      <c r="H214" s="929"/>
      <c r="I214" s="930"/>
      <c r="J214" s="927"/>
    </row>
    <row r="215" spans="1:10" s="900" customFormat="1" ht="12">
      <c r="A215" s="925"/>
      <c r="B215" s="926"/>
      <c r="C215" s="927"/>
      <c r="D215" s="927"/>
      <c r="E215" s="927"/>
      <c r="F215" s="928"/>
      <c r="G215" s="927"/>
      <c r="H215" s="929"/>
      <c r="I215" s="930"/>
      <c r="J215" s="927"/>
    </row>
    <row r="216" spans="1:10" s="900" customFormat="1" ht="12">
      <c r="A216" s="925"/>
      <c r="B216" s="926"/>
      <c r="C216" s="927"/>
      <c r="D216" s="927"/>
      <c r="E216" s="927"/>
      <c r="F216" s="928"/>
      <c r="G216" s="927"/>
      <c r="H216" s="929"/>
      <c r="I216" s="930"/>
      <c r="J216" s="927"/>
    </row>
    <row r="217" spans="1:10" s="900" customFormat="1" ht="12">
      <c r="A217" s="925"/>
      <c r="B217" s="926"/>
      <c r="C217" s="927"/>
      <c r="D217" s="927"/>
      <c r="E217" s="927"/>
      <c r="F217" s="928"/>
      <c r="G217" s="927"/>
      <c r="H217" s="929"/>
      <c r="I217" s="930"/>
      <c r="J217" s="927"/>
    </row>
    <row r="218" spans="1:10" s="900" customFormat="1" ht="12">
      <c r="A218" s="925"/>
      <c r="B218" s="926"/>
      <c r="C218" s="927"/>
      <c r="D218" s="927"/>
      <c r="E218" s="927"/>
      <c r="F218" s="928"/>
      <c r="G218" s="927"/>
      <c r="H218" s="929"/>
      <c r="I218" s="930"/>
      <c r="J218" s="927"/>
    </row>
    <row r="219" spans="1:10" s="900" customFormat="1" ht="12">
      <c r="A219" s="925"/>
      <c r="B219" s="926"/>
      <c r="C219" s="927"/>
      <c r="D219" s="927"/>
      <c r="E219" s="927"/>
      <c r="F219" s="928"/>
      <c r="G219" s="927"/>
      <c r="H219" s="929"/>
      <c r="I219" s="930"/>
      <c r="J219" s="927"/>
    </row>
    <row r="220" spans="1:10" s="900" customFormat="1" ht="12">
      <c r="A220" s="925"/>
      <c r="B220" s="926"/>
      <c r="C220" s="927"/>
      <c r="D220" s="927"/>
      <c r="E220" s="927"/>
      <c r="F220" s="928"/>
      <c r="G220" s="927"/>
      <c r="H220" s="929"/>
      <c r="I220" s="930"/>
      <c r="J220" s="927"/>
    </row>
    <row r="221" spans="1:10" s="900" customFormat="1" ht="12">
      <c r="A221" s="925"/>
      <c r="B221" s="926"/>
      <c r="C221" s="927"/>
      <c r="D221" s="927"/>
      <c r="E221" s="927"/>
      <c r="F221" s="928"/>
      <c r="G221" s="927"/>
      <c r="H221" s="929"/>
      <c r="I221" s="930"/>
      <c r="J221" s="927"/>
    </row>
    <row r="222" spans="1:10" s="900" customFormat="1" ht="12">
      <c r="A222" s="925"/>
      <c r="B222" s="926"/>
      <c r="C222" s="927"/>
      <c r="D222" s="927"/>
      <c r="E222" s="927"/>
      <c r="F222" s="928"/>
      <c r="G222" s="927"/>
      <c r="H222" s="929"/>
      <c r="I222" s="930"/>
      <c r="J222" s="927"/>
    </row>
    <row r="223" spans="1:10" s="900" customFormat="1" ht="12">
      <c r="A223" s="925"/>
      <c r="B223" s="926"/>
      <c r="C223" s="927"/>
      <c r="D223" s="927"/>
      <c r="E223" s="927"/>
      <c r="F223" s="928"/>
      <c r="G223" s="927"/>
      <c r="H223" s="929"/>
      <c r="I223" s="930"/>
      <c r="J223" s="927"/>
    </row>
    <row r="224" spans="1:10" s="900" customFormat="1" ht="12">
      <c r="A224" s="925"/>
      <c r="B224" s="926"/>
      <c r="C224" s="927"/>
      <c r="D224" s="927"/>
      <c r="E224" s="927"/>
      <c r="F224" s="928"/>
      <c r="G224" s="927"/>
      <c r="H224" s="929"/>
      <c r="I224" s="930"/>
      <c r="J224" s="927"/>
    </row>
    <row r="225" spans="1:10" s="900" customFormat="1" ht="12">
      <c r="A225" s="925"/>
      <c r="B225" s="926"/>
      <c r="C225" s="927"/>
      <c r="D225" s="927"/>
      <c r="E225" s="927"/>
      <c r="F225" s="928"/>
      <c r="G225" s="927"/>
      <c r="H225" s="929"/>
      <c r="I225" s="930"/>
      <c r="J225" s="927"/>
    </row>
    <row r="226" spans="1:10" s="900" customFormat="1" ht="12">
      <c r="A226" s="925"/>
      <c r="B226" s="926"/>
      <c r="C226" s="927"/>
      <c r="D226" s="927"/>
      <c r="E226" s="927"/>
      <c r="F226" s="928"/>
      <c r="G226" s="927"/>
      <c r="H226" s="929"/>
      <c r="I226" s="930"/>
      <c r="J226" s="927"/>
    </row>
    <row r="227" spans="1:10" s="900" customFormat="1" ht="12">
      <c r="A227" s="925"/>
      <c r="B227" s="926"/>
      <c r="C227" s="927"/>
      <c r="D227" s="927"/>
      <c r="E227" s="927"/>
      <c r="F227" s="928"/>
      <c r="G227" s="927"/>
      <c r="H227" s="929"/>
      <c r="I227" s="930"/>
      <c r="J227" s="927"/>
    </row>
    <row r="228" spans="1:10" s="900" customFormat="1" ht="12">
      <c r="A228" s="925"/>
      <c r="B228" s="926"/>
      <c r="C228" s="927"/>
      <c r="D228" s="927"/>
      <c r="E228" s="927"/>
      <c r="F228" s="928"/>
      <c r="G228" s="927"/>
      <c r="H228" s="929"/>
      <c r="I228" s="930"/>
      <c r="J228" s="927"/>
    </row>
    <row r="229" spans="1:10" s="900" customFormat="1" ht="12">
      <c r="A229" s="925"/>
      <c r="B229" s="926"/>
      <c r="C229" s="927"/>
      <c r="D229" s="927"/>
      <c r="E229" s="927"/>
      <c r="F229" s="928"/>
      <c r="G229" s="927"/>
      <c r="H229" s="929"/>
      <c r="I229" s="930"/>
      <c r="J229" s="927"/>
    </row>
    <row r="230" spans="1:10" s="900" customFormat="1" ht="12">
      <c r="A230" s="925"/>
      <c r="B230" s="926"/>
      <c r="C230" s="927"/>
      <c r="D230" s="927"/>
      <c r="E230" s="927"/>
      <c r="F230" s="928"/>
      <c r="G230" s="927"/>
      <c r="H230" s="929"/>
      <c r="I230" s="930"/>
      <c r="J230" s="927"/>
    </row>
    <row r="231" spans="1:10" s="900" customFormat="1" ht="12">
      <c r="A231" s="925"/>
      <c r="B231" s="926"/>
      <c r="C231" s="927"/>
      <c r="D231" s="927"/>
      <c r="E231" s="927"/>
      <c r="F231" s="928"/>
      <c r="G231" s="927"/>
      <c r="H231" s="929"/>
      <c r="I231" s="930"/>
      <c r="J231" s="927"/>
    </row>
    <row r="232" spans="1:10" s="900" customFormat="1" ht="12">
      <c r="A232" s="925"/>
      <c r="B232" s="926"/>
      <c r="C232" s="927"/>
      <c r="D232" s="927"/>
      <c r="E232" s="927"/>
      <c r="F232" s="928"/>
      <c r="G232" s="927"/>
      <c r="H232" s="929"/>
      <c r="I232" s="930"/>
      <c r="J232" s="927"/>
    </row>
    <row r="233" spans="1:10" s="900" customFormat="1" ht="12">
      <c r="A233" s="925"/>
      <c r="B233" s="926"/>
      <c r="C233" s="927"/>
      <c r="D233" s="927"/>
      <c r="E233" s="927"/>
      <c r="F233" s="928"/>
      <c r="G233" s="927"/>
      <c r="H233" s="929"/>
      <c r="I233" s="930"/>
      <c r="J233" s="927"/>
    </row>
    <row r="234" spans="1:10" s="900" customFormat="1" ht="12">
      <c r="A234" s="925"/>
      <c r="B234" s="926"/>
      <c r="C234" s="927"/>
      <c r="D234" s="927"/>
      <c r="E234" s="927"/>
      <c r="F234" s="928"/>
      <c r="G234" s="927"/>
      <c r="H234" s="929"/>
      <c r="I234" s="930"/>
      <c r="J234" s="927"/>
    </row>
    <row r="235" spans="1:10" s="900" customFormat="1" ht="12">
      <c r="A235" s="925"/>
      <c r="B235" s="926"/>
      <c r="C235" s="927"/>
      <c r="D235" s="927"/>
      <c r="E235" s="927"/>
      <c r="F235" s="928"/>
      <c r="G235" s="927"/>
      <c r="H235" s="929"/>
      <c r="I235" s="930"/>
      <c r="J235" s="927"/>
    </row>
    <row r="236" spans="1:10" s="900" customFormat="1" ht="12">
      <c r="A236" s="925"/>
      <c r="B236" s="926"/>
      <c r="C236" s="927"/>
      <c r="D236" s="927"/>
      <c r="E236" s="927"/>
      <c r="F236" s="928"/>
      <c r="G236" s="927"/>
      <c r="H236" s="929"/>
      <c r="I236" s="930"/>
      <c r="J236" s="927"/>
    </row>
    <row r="237" spans="1:10" s="900" customFormat="1" ht="12">
      <c r="A237" s="925"/>
      <c r="B237" s="926"/>
      <c r="C237" s="927"/>
      <c r="D237" s="927"/>
      <c r="E237" s="927"/>
      <c r="F237" s="928"/>
      <c r="G237" s="927"/>
      <c r="H237" s="929"/>
      <c r="I237" s="930"/>
      <c r="J237" s="927"/>
    </row>
    <row r="238" spans="1:10" s="900" customFormat="1" ht="12">
      <c r="A238" s="925"/>
      <c r="B238" s="926"/>
      <c r="C238" s="927"/>
      <c r="D238" s="927"/>
      <c r="E238" s="927"/>
      <c r="F238" s="928"/>
      <c r="G238" s="927"/>
      <c r="H238" s="929"/>
      <c r="I238" s="930"/>
      <c r="J238" s="927"/>
    </row>
    <row r="239" spans="1:10" s="900" customFormat="1" ht="12">
      <c r="A239" s="925"/>
      <c r="B239" s="926"/>
      <c r="C239" s="927"/>
      <c r="D239" s="927"/>
      <c r="E239" s="927"/>
      <c r="F239" s="928"/>
      <c r="G239" s="927"/>
      <c r="H239" s="929"/>
      <c r="I239" s="930"/>
      <c r="J239" s="927"/>
    </row>
    <row r="240" spans="1:10" s="900" customFormat="1" ht="12">
      <c r="A240" s="925"/>
      <c r="B240" s="926"/>
      <c r="C240" s="927"/>
      <c r="D240" s="927"/>
      <c r="E240" s="927"/>
      <c r="F240" s="928"/>
      <c r="G240" s="927"/>
      <c r="H240" s="929"/>
      <c r="I240" s="930"/>
      <c r="J240" s="927"/>
    </row>
    <row r="241" spans="1:13" s="900" customFormat="1" ht="12">
      <c r="A241" s="925"/>
      <c r="B241" s="926"/>
      <c r="C241" s="927"/>
      <c r="D241" s="927"/>
      <c r="E241" s="927"/>
      <c r="F241" s="928"/>
      <c r="G241" s="927"/>
      <c r="H241" s="929"/>
      <c r="I241" s="930"/>
      <c r="J241" s="927"/>
    </row>
    <row r="242" spans="1:13" s="900" customFormat="1" ht="12">
      <c r="A242" s="925"/>
      <c r="B242" s="926"/>
      <c r="C242" s="927"/>
      <c r="D242" s="927"/>
      <c r="E242" s="927"/>
      <c r="F242" s="928"/>
      <c r="G242" s="927"/>
      <c r="H242" s="929"/>
      <c r="I242" s="930"/>
      <c r="J242" s="927"/>
    </row>
    <row r="243" spans="1:13" s="900" customFormat="1" ht="12">
      <c r="A243" s="925"/>
      <c r="B243" s="926"/>
      <c r="C243" s="927"/>
      <c r="D243" s="927"/>
      <c r="E243" s="927"/>
      <c r="F243" s="928"/>
      <c r="G243" s="927"/>
      <c r="H243" s="929"/>
      <c r="I243" s="930"/>
      <c r="J243" s="927"/>
    </row>
    <row r="244" spans="1:13" s="900" customFormat="1" ht="12">
      <c r="A244" s="925"/>
      <c r="B244" s="926"/>
      <c r="C244" s="927"/>
      <c r="D244" s="927"/>
      <c r="E244" s="927"/>
      <c r="F244" s="928"/>
      <c r="G244" s="927"/>
      <c r="H244" s="929"/>
      <c r="I244" s="930"/>
      <c r="J244" s="927"/>
    </row>
    <row r="245" spans="1:13" s="900" customFormat="1" ht="12">
      <c r="A245" s="925"/>
      <c r="B245" s="926"/>
      <c r="C245" s="927"/>
      <c r="D245" s="927"/>
      <c r="E245" s="927"/>
      <c r="F245" s="928"/>
      <c r="G245" s="927"/>
      <c r="H245" s="929"/>
      <c r="I245" s="930"/>
      <c r="J245" s="927"/>
    </row>
    <row r="246" spans="1:13" s="900" customFormat="1" ht="12">
      <c r="A246" s="925"/>
      <c r="B246" s="926"/>
      <c r="C246" s="927"/>
      <c r="D246" s="927"/>
      <c r="E246" s="927"/>
      <c r="F246" s="928"/>
      <c r="G246" s="927"/>
      <c r="H246" s="929"/>
      <c r="I246" s="930"/>
      <c r="J246" s="927"/>
    </row>
    <row r="247" spans="1:13" s="900" customFormat="1" ht="12">
      <c r="A247" s="925"/>
      <c r="B247" s="926"/>
      <c r="C247" s="927"/>
      <c r="D247" s="927"/>
      <c r="E247" s="927"/>
      <c r="F247" s="928"/>
      <c r="G247" s="927"/>
      <c r="H247" s="929"/>
      <c r="I247" s="930"/>
      <c r="J247" s="927"/>
    </row>
    <row r="248" spans="1:13" s="900" customFormat="1" ht="12">
      <c r="A248" s="925"/>
      <c r="B248" s="926"/>
      <c r="C248" s="927"/>
      <c r="D248" s="927"/>
      <c r="E248" s="927"/>
      <c r="F248" s="928"/>
      <c r="G248" s="927"/>
      <c r="H248" s="929"/>
      <c r="I248" s="930"/>
      <c r="J248" s="927"/>
    </row>
    <row r="249" spans="1:13" ht="15.75" customHeight="1">
      <c r="A249" s="610"/>
      <c r="B249" s="608"/>
      <c r="C249" s="608"/>
      <c r="D249" s="283"/>
      <c r="E249" s="898"/>
      <c r="F249" s="898"/>
      <c r="G249" s="895"/>
      <c r="H249" s="746"/>
      <c r="I249" s="713"/>
      <c r="J249" s="283"/>
      <c r="K249" s="608"/>
      <c r="L249" s="608"/>
      <c r="M249" s="607"/>
    </row>
    <row r="250" spans="1:13" ht="15.75" customHeight="1">
      <c r="A250" s="590"/>
      <c r="B250" s="590"/>
      <c r="C250" s="595"/>
      <c r="D250" s="206"/>
      <c r="E250" s="592"/>
      <c r="F250" s="898"/>
      <c r="G250" s="588"/>
      <c r="H250" s="592"/>
      <c r="I250" s="590"/>
      <c r="J250" s="324"/>
      <c r="K250" s="210"/>
      <c r="L250" s="210"/>
      <c r="M250" s="589"/>
    </row>
    <row r="251" spans="1:13" ht="15.75" customHeight="1" thickBot="1">
      <c r="A251" s="590"/>
      <c r="B251" s="591"/>
      <c r="C251" s="594"/>
      <c r="D251" s="206"/>
      <c r="E251" s="593"/>
      <c r="F251" s="201"/>
      <c r="G251" s="201"/>
      <c r="H251" s="592"/>
      <c r="I251" s="591"/>
      <c r="J251" s="324"/>
      <c r="K251" s="210"/>
      <c r="L251" s="210"/>
      <c r="M251" s="589"/>
    </row>
    <row r="252" spans="1:13" ht="15.75" customHeight="1">
      <c r="A252" s="590"/>
      <c r="B252" s="725" t="s">
        <v>522</v>
      </c>
      <c r="C252" s="725"/>
      <c r="D252" s="533"/>
      <c r="E252" s="583" t="s">
        <v>135</v>
      </c>
      <c r="F252" s="583"/>
      <c r="G252" s="583"/>
      <c r="H252" s="533"/>
      <c r="I252" s="764" t="s">
        <v>753</v>
      </c>
      <c r="J252" s="338"/>
      <c r="K252" s="533"/>
      <c r="L252" s="210"/>
      <c r="M252" s="589"/>
    </row>
    <row r="253" spans="1:13" ht="15" customHeight="1">
      <c r="A253" s="590"/>
      <c r="B253" s="223" t="s">
        <v>728</v>
      </c>
      <c r="C253" s="223"/>
      <c r="D253" s="129"/>
      <c r="E253" s="137" t="s">
        <v>145</v>
      </c>
      <c r="F253" s="137"/>
      <c r="G253" s="137"/>
      <c r="H253" s="129"/>
      <c r="I253" s="1143" t="s">
        <v>556</v>
      </c>
      <c r="J253" s="1143"/>
      <c r="K253" s="1143"/>
      <c r="L253" s="210"/>
      <c r="M253" s="589"/>
    </row>
    <row r="254" spans="1:13" ht="15" customHeight="1">
      <c r="A254" s="588"/>
      <c r="B254" s="223" t="s">
        <v>47</v>
      </c>
      <c r="C254" s="223"/>
      <c r="D254" s="129"/>
      <c r="E254" s="1143" t="s">
        <v>48</v>
      </c>
      <c r="F254" s="1143"/>
      <c r="G254" s="1143"/>
      <c r="H254" s="129"/>
      <c r="I254" s="1142" t="s">
        <v>48</v>
      </c>
      <c r="J254" s="1142"/>
      <c r="K254" s="1142"/>
      <c r="L254" s="130"/>
      <c r="M254" s="205"/>
    </row>
    <row r="255" spans="1:13" ht="15.75">
      <c r="A255" s="205"/>
      <c r="B255" s="223" t="s">
        <v>523</v>
      </c>
      <c r="C255" s="223"/>
      <c r="D255" s="129"/>
      <c r="E255" s="129"/>
      <c r="F255" s="129"/>
      <c r="G255" s="583"/>
      <c r="H255" s="583"/>
      <c r="I255" s="129" t="s">
        <v>555</v>
      </c>
      <c r="J255" s="339"/>
      <c r="K255" s="129"/>
      <c r="L255" s="130"/>
      <c r="M255" s="205"/>
    </row>
    <row r="256" spans="1:13" ht="15.75" customHeight="1">
      <c r="A256" s="590"/>
      <c r="B256" s="590"/>
      <c r="C256" s="595"/>
      <c r="D256" s="206"/>
      <c r="E256" s="592"/>
      <c r="F256" s="588"/>
      <c r="G256" s="588"/>
      <c r="H256" s="592"/>
      <c r="I256" s="590"/>
      <c r="J256" s="324"/>
      <c r="K256" s="210"/>
      <c r="L256" s="210"/>
      <c r="M256" s="589"/>
    </row>
    <row r="257" spans="1:13" ht="15.75" customHeight="1">
      <c r="A257" s="590"/>
      <c r="B257" s="590"/>
      <c r="C257" s="595"/>
      <c r="D257" s="206"/>
      <c r="E257" s="592"/>
      <c r="F257" s="588"/>
      <c r="G257" s="588"/>
      <c r="H257" s="592"/>
      <c r="I257" s="590"/>
      <c r="J257" s="324"/>
      <c r="K257" s="210"/>
      <c r="L257" s="210"/>
      <c r="M257" s="589"/>
    </row>
    <row r="258" spans="1:13" ht="15.75" customHeight="1">
      <c r="A258" s="590"/>
      <c r="B258" s="590"/>
      <c r="C258" s="595"/>
      <c r="D258" s="206"/>
      <c r="E258" s="592"/>
      <c r="F258" s="588"/>
      <c r="G258" s="588"/>
      <c r="H258" s="592"/>
      <c r="I258" s="590"/>
      <c r="J258" s="324"/>
      <c r="K258" s="210"/>
      <c r="L258" s="210"/>
      <c r="M258" s="589"/>
    </row>
  </sheetData>
  <mergeCells count="117">
    <mergeCell ref="C47:D47"/>
    <mergeCell ref="A69:A70"/>
    <mergeCell ref="B69:B70"/>
    <mergeCell ref="C49:D49"/>
    <mergeCell ref="C55:D55"/>
    <mergeCell ref="B62:B63"/>
    <mergeCell ref="C45:D45"/>
    <mergeCell ref="E62:E63"/>
    <mergeCell ref="D62:D63"/>
    <mergeCell ref="C62:C63"/>
    <mergeCell ref="C50:D50"/>
    <mergeCell ref="C69:C70"/>
    <mergeCell ref="D69:D70"/>
    <mergeCell ref="A12:D12"/>
    <mergeCell ref="A14:D14"/>
    <mergeCell ref="A15:D15"/>
    <mergeCell ref="A30:A31"/>
    <mergeCell ref="F46:G46"/>
    <mergeCell ref="A16:D16"/>
    <mergeCell ref="A18:D18"/>
    <mergeCell ref="A25:D25"/>
    <mergeCell ref="F42:G42"/>
    <mergeCell ref="F40:G40"/>
    <mergeCell ref="F44:G44"/>
    <mergeCell ref="F39:G39"/>
    <mergeCell ref="F45:G45"/>
    <mergeCell ref="F37:G37"/>
    <mergeCell ref="C40:D40"/>
    <mergeCell ref="C46:D46"/>
    <mergeCell ref="F38:G38"/>
    <mergeCell ref="F41:G41"/>
    <mergeCell ref="F43:G43"/>
    <mergeCell ref="C36:D36"/>
    <mergeCell ref="C39:D39"/>
    <mergeCell ref="C38:D38"/>
    <mergeCell ref="C37:D37"/>
    <mergeCell ref="C44:D44"/>
    <mergeCell ref="C30:D31"/>
    <mergeCell ref="F48:G48"/>
    <mergeCell ref="L62:L63"/>
    <mergeCell ref="C52:D52"/>
    <mergeCell ref="C54:D54"/>
    <mergeCell ref="J62:J63"/>
    <mergeCell ref="C32:D32"/>
    <mergeCell ref="I30:I31"/>
    <mergeCell ref="K62:K63"/>
    <mergeCell ref="F56:G56"/>
    <mergeCell ref="H30:H31"/>
    <mergeCell ref="F32:G32"/>
    <mergeCell ref="F55:G55"/>
    <mergeCell ref="F62:G63"/>
    <mergeCell ref="F47:G47"/>
    <mergeCell ref="F49:G49"/>
    <mergeCell ref="F54:G54"/>
    <mergeCell ref="F51:G51"/>
    <mergeCell ref="F52:G52"/>
    <mergeCell ref="A56:E56"/>
    <mergeCell ref="C42:D42"/>
    <mergeCell ref="C41:D41"/>
    <mergeCell ref="C43:D43"/>
    <mergeCell ref="C51:D51"/>
    <mergeCell ref="M69:M70"/>
    <mergeCell ref="H62:H63"/>
    <mergeCell ref="H69:H70"/>
    <mergeCell ref="I69:I70"/>
    <mergeCell ref="J69:J70"/>
    <mergeCell ref="F50:G50"/>
    <mergeCell ref="A59:F59"/>
    <mergeCell ref="H57:J58"/>
    <mergeCell ref="F53:G53"/>
    <mergeCell ref="K69:K70"/>
    <mergeCell ref="C53:D53"/>
    <mergeCell ref="F64:G64"/>
    <mergeCell ref="A62:A63"/>
    <mergeCell ref="F69:G70"/>
    <mergeCell ref="L69:L70"/>
    <mergeCell ref="F36:G36"/>
    <mergeCell ref="I62:I63"/>
    <mergeCell ref="A1:M3"/>
    <mergeCell ref="A5:M5"/>
    <mergeCell ref="A7:E7"/>
    <mergeCell ref="H7:L7"/>
    <mergeCell ref="A8:D8"/>
    <mergeCell ref="H8:K8"/>
    <mergeCell ref="C48:D48"/>
    <mergeCell ref="F34:G34"/>
    <mergeCell ref="F33:G33"/>
    <mergeCell ref="F30:G31"/>
    <mergeCell ref="J30:J31"/>
    <mergeCell ref="F35:G35"/>
    <mergeCell ref="C33:D33"/>
    <mergeCell ref="C34:D34"/>
    <mergeCell ref="C35:D35"/>
    <mergeCell ref="H13:L14"/>
    <mergeCell ref="E30:E31"/>
    <mergeCell ref="A9:D9"/>
    <mergeCell ref="A11:D11"/>
    <mergeCell ref="A13:D13"/>
    <mergeCell ref="A10:D10"/>
    <mergeCell ref="B30:B31"/>
    <mergeCell ref="E118:G124"/>
    <mergeCell ref="I254:K254"/>
    <mergeCell ref="I253:K253"/>
    <mergeCell ref="E254:G254"/>
    <mergeCell ref="H107:J107"/>
    <mergeCell ref="I67:K67"/>
    <mergeCell ref="I111:J111"/>
    <mergeCell ref="E69:E70"/>
    <mergeCell ref="F71:G71"/>
    <mergeCell ref="J73:L73"/>
    <mergeCell ref="J74:L74"/>
    <mergeCell ref="I113:J113"/>
    <mergeCell ref="I112:J112"/>
    <mergeCell ref="J75:L75"/>
    <mergeCell ref="H105:J105"/>
    <mergeCell ref="H106:J106"/>
    <mergeCell ref="I110:J110"/>
  </mergeCells>
  <phoneticPr fontId="20" type="noConversion"/>
  <printOptions horizontalCentered="1" verticalCentered="1"/>
  <pageMargins left="0.82677165354330717" right="0.23622047244094491" top="0.74803149606299213" bottom="0.74803149606299213" header="0.31496062992125984" footer="0.31496062992125984"/>
  <pageSetup scale="26" fitToWidth="4" fitToHeight="4" orientation="landscape" r:id="rId1"/>
  <headerFooter>
    <oddFooter>Página &amp;P</oddFooter>
  </headerFooter>
  <rowBreaks count="1" manualBreakCount="1">
    <brk id="76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5"/>
  <dimension ref="A1:S61"/>
  <sheetViews>
    <sheetView zoomScale="50" zoomScaleNormal="50" workbookViewId="0">
      <selection activeCell="A9" sqref="A9"/>
    </sheetView>
  </sheetViews>
  <sheetFormatPr baseColWidth="10" defaultRowHeight="15"/>
  <cols>
    <col min="1" max="1" width="58.85546875" customWidth="1"/>
    <col min="3" max="3" width="11.85546875" bestFit="1" customWidth="1"/>
    <col min="4" max="4" width="86.140625" customWidth="1"/>
    <col min="5" max="5" width="78.85546875" customWidth="1"/>
    <col min="6" max="6" width="100" customWidth="1"/>
    <col min="15" max="15" width="11.42578125" style="294"/>
    <col min="16" max="16" width="32" style="294" customWidth="1"/>
  </cols>
  <sheetData>
    <row r="1" spans="1:19">
      <c r="A1" t="str">
        <f ca="1">CONCATENATE(B13,E9)</f>
        <v>Rendimientos financieros AL 31 DE ENERO DE 2023</v>
      </c>
    </row>
    <row r="2" spans="1:19">
      <c r="H2">
        <v>1</v>
      </c>
      <c r="I2" t="s">
        <v>393</v>
      </c>
      <c r="N2" t="s">
        <v>398</v>
      </c>
      <c r="O2">
        <v>2021</v>
      </c>
      <c r="P2" s="294" t="str">
        <f>CONCATENATE(N2," ","DE"," ",O2)</f>
        <v>SEPTIEMBRE DE 2021</v>
      </c>
      <c r="Q2">
        <v>18</v>
      </c>
      <c r="S2">
        <f ca="1">VLOOKUP(E10,$P$2:$Q$53,2,0)</f>
        <v>34</v>
      </c>
    </row>
    <row r="3" spans="1:19">
      <c r="H3">
        <v>2</v>
      </c>
      <c r="I3" t="s">
        <v>392</v>
      </c>
      <c r="N3" t="s">
        <v>399</v>
      </c>
      <c r="O3" s="294">
        <v>2021</v>
      </c>
      <c r="P3" s="294" t="str">
        <f t="shared" ref="P3:P53" si="0">CONCATENATE(N3," ","DE"," ",O3)</f>
        <v>OCTUBRE DE 2021</v>
      </c>
      <c r="Q3">
        <v>19</v>
      </c>
    </row>
    <row r="4" spans="1:19">
      <c r="H4" s="294">
        <v>3</v>
      </c>
      <c r="I4" s="294" t="s">
        <v>394</v>
      </c>
      <c r="N4" s="294" t="s">
        <v>400</v>
      </c>
      <c r="O4" s="294">
        <v>2021</v>
      </c>
      <c r="P4" s="294" t="str">
        <f t="shared" si="0"/>
        <v>NOVIEMBRE DE 2021</v>
      </c>
      <c r="Q4" s="294">
        <v>20</v>
      </c>
    </row>
    <row r="5" spans="1:19">
      <c r="H5" s="294">
        <v>4</v>
      </c>
      <c r="I5" s="294" t="s">
        <v>395</v>
      </c>
      <c r="N5" s="294" t="s">
        <v>401</v>
      </c>
      <c r="O5" s="294">
        <v>2021</v>
      </c>
      <c r="P5" s="294" t="str">
        <f t="shared" si="0"/>
        <v>DICIEMBRE DE 2021</v>
      </c>
      <c r="Q5" s="294">
        <v>21</v>
      </c>
    </row>
    <row r="6" spans="1:19">
      <c r="H6" s="294">
        <v>5</v>
      </c>
      <c r="I6" s="294" t="s">
        <v>396</v>
      </c>
      <c r="N6" s="294" t="s">
        <v>393</v>
      </c>
      <c r="O6">
        <v>2022</v>
      </c>
      <c r="P6" s="294" t="str">
        <f t="shared" si="0"/>
        <v>ENERO DE 2022</v>
      </c>
      <c r="Q6" s="294">
        <v>22</v>
      </c>
    </row>
    <row r="7" spans="1:19">
      <c r="H7" s="294">
        <v>6</v>
      </c>
      <c r="I7" s="294" t="s">
        <v>397</v>
      </c>
      <c r="N7" s="294" t="s">
        <v>392</v>
      </c>
      <c r="O7" s="294">
        <v>2022</v>
      </c>
      <c r="P7" s="294" t="str">
        <f t="shared" si="0"/>
        <v>FEBRERO DE 2022</v>
      </c>
      <c r="Q7" s="294">
        <v>23</v>
      </c>
    </row>
    <row r="8" spans="1:19">
      <c r="A8" s="298">
        <f ca="1">TODAY()</f>
        <v>44971</v>
      </c>
      <c r="B8">
        <f ca="1">DAY(A8)</f>
        <v>14</v>
      </c>
      <c r="H8" s="294">
        <v>7</v>
      </c>
      <c r="I8" s="294" t="s">
        <v>361</v>
      </c>
      <c r="K8" t="str">
        <f ca="1">CONCATENATE(B14,E10)</f>
        <v>TOTAL RENDIMIENTOS GENERADOS POR LOS RECURSOS DEL FONDO DE ENERO DE 2023</v>
      </c>
      <c r="N8" s="294" t="s">
        <v>394</v>
      </c>
      <c r="O8" s="294">
        <v>2022</v>
      </c>
      <c r="P8" s="294" t="str">
        <f t="shared" si="0"/>
        <v>MARZO DE 2022</v>
      </c>
      <c r="Q8" s="294">
        <v>24</v>
      </c>
    </row>
    <row r="9" spans="1:19">
      <c r="A9" s="298">
        <f ca="1">A8-B8</f>
        <v>44957</v>
      </c>
      <c r="B9" s="294">
        <f ca="1">DAY(A9)</f>
        <v>31</v>
      </c>
      <c r="C9">
        <f ca="1">MONTH(A9)</f>
        <v>1</v>
      </c>
      <c r="D9">
        <f ca="1">YEAR(A9)</f>
        <v>2023</v>
      </c>
      <c r="E9" t="str">
        <f ca="1">CONCATENATE(B9," ","DE"," ",C10," ","DE"," ",D9)</f>
        <v>31 DE ENERO DE 2023</v>
      </c>
      <c r="H9" s="294">
        <v>8</v>
      </c>
      <c r="I9" s="294" t="s">
        <v>362</v>
      </c>
      <c r="N9" s="294" t="s">
        <v>395</v>
      </c>
      <c r="O9" s="294">
        <v>2022</v>
      </c>
      <c r="P9" s="294" t="str">
        <f t="shared" si="0"/>
        <v>ABRIL DE 2022</v>
      </c>
      <c r="Q9" s="294">
        <v>25</v>
      </c>
    </row>
    <row r="10" spans="1:19">
      <c r="C10" t="str">
        <f ca="1">VLOOKUP(C9,$H$2:$I$13,2,0)</f>
        <v>ENERO</v>
      </c>
      <c r="E10" s="294" t="str">
        <f ca="1">CONCATENATE(C10," ","DE"," ",D9)</f>
        <v>ENERO DE 2023</v>
      </c>
      <c r="F10" t="str">
        <f ca="1">CONCATENATE(C10," ","-"," ",D9)</f>
        <v>ENERO - 2023</v>
      </c>
      <c r="H10" s="294">
        <v>9</v>
      </c>
      <c r="I10" s="294" t="s">
        <v>398</v>
      </c>
      <c r="N10" s="294" t="s">
        <v>396</v>
      </c>
      <c r="O10" s="294">
        <v>2022</v>
      </c>
      <c r="P10" s="294" t="str">
        <f t="shared" si="0"/>
        <v>MAYO DE 2022</v>
      </c>
      <c r="Q10" s="294">
        <v>26</v>
      </c>
    </row>
    <row r="11" spans="1:19">
      <c r="H11" s="294">
        <v>10</v>
      </c>
      <c r="I11" s="294" t="s">
        <v>399</v>
      </c>
      <c r="N11" s="294" t="s">
        <v>397</v>
      </c>
      <c r="O11" s="294">
        <v>2022</v>
      </c>
      <c r="P11" s="294" t="str">
        <f t="shared" si="0"/>
        <v>JUNIO DE 2022</v>
      </c>
      <c r="Q11" s="294">
        <v>27</v>
      </c>
    </row>
    <row r="12" spans="1:19">
      <c r="B12" t="s">
        <v>402</v>
      </c>
      <c r="H12" s="294">
        <v>11</v>
      </c>
      <c r="I12" s="294" t="s">
        <v>400</v>
      </c>
      <c r="N12" s="294" t="s">
        <v>361</v>
      </c>
      <c r="O12" s="294">
        <v>2022</v>
      </c>
      <c r="P12" s="294" t="str">
        <f t="shared" si="0"/>
        <v>JULIO DE 2022</v>
      </c>
      <c r="Q12" s="294">
        <v>28</v>
      </c>
    </row>
    <row r="13" spans="1:19">
      <c r="B13" t="s">
        <v>403</v>
      </c>
      <c r="H13" s="294">
        <v>12</v>
      </c>
      <c r="I13" s="294" t="s">
        <v>401</v>
      </c>
      <c r="N13" s="294" t="s">
        <v>362</v>
      </c>
      <c r="O13" s="294">
        <v>2022</v>
      </c>
      <c r="P13" s="294" t="str">
        <f t="shared" si="0"/>
        <v>AGOSTO DE 2022</v>
      </c>
      <c r="Q13" s="294">
        <v>29</v>
      </c>
    </row>
    <row r="14" spans="1:19">
      <c r="B14" s="294" t="s">
        <v>422</v>
      </c>
      <c r="N14" s="294" t="s">
        <v>398</v>
      </c>
      <c r="O14" s="294">
        <v>2022</v>
      </c>
      <c r="P14" s="294" t="str">
        <f t="shared" si="0"/>
        <v>SEPTIEMBRE DE 2022</v>
      </c>
      <c r="Q14" s="294">
        <v>30</v>
      </c>
    </row>
    <row r="15" spans="1:19">
      <c r="N15" s="294" t="s">
        <v>399</v>
      </c>
      <c r="O15" s="294">
        <v>2022</v>
      </c>
      <c r="P15" s="294" t="str">
        <f t="shared" si="0"/>
        <v>OCTUBRE DE 2022</v>
      </c>
      <c r="Q15" s="294">
        <v>31</v>
      </c>
    </row>
    <row r="16" spans="1:19">
      <c r="K16" t="str">
        <f ca="1">CONCATENATE(B12,E9)</f>
        <v>TOTAL RENDIMIENTOS DISPONIBLES AL 31 DE ENERO DE 2023</v>
      </c>
      <c r="N16" s="294" t="s">
        <v>400</v>
      </c>
      <c r="O16" s="294">
        <v>2022</v>
      </c>
      <c r="P16" s="294" t="str">
        <f t="shared" si="0"/>
        <v>NOVIEMBRE DE 2022</v>
      </c>
      <c r="Q16" s="294">
        <v>32</v>
      </c>
    </row>
    <row r="17" spans="4:17">
      <c r="N17" s="294" t="s">
        <v>401</v>
      </c>
      <c r="O17" s="294">
        <v>2022</v>
      </c>
      <c r="P17" s="294" t="str">
        <f t="shared" si="0"/>
        <v>DICIEMBRE DE 2022</v>
      </c>
      <c r="Q17" s="294">
        <v>33</v>
      </c>
    </row>
    <row r="18" spans="4:17">
      <c r="N18" s="294" t="s">
        <v>393</v>
      </c>
      <c r="O18">
        <v>2023</v>
      </c>
      <c r="P18" s="294" t="str">
        <f t="shared" si="0"/>
        <v>ENERO DE 2023</v>
      </c>
      <c r="Q18" s="294">
        <v>34</v>
      </c>
    </row>
    <row r="19" spans="4:17">
      <c r="N19" s="294" t="s">
        <v>392</v>
      </c>
      <c r="O19" s="294">
        <v>2023</v>
      </c>
      <c r="P19" s="294" t="str">
        <f t="shared" si="0"/>
        <v>FEBRERO DE 2023</v>
      </c>
      <c r="Q19" s="294">
        <v>35</v>
      </c>
    </row>
    <row r="20" spans="4:17">
      <c r="N20" s="294" t="s">
        <v>394</v>
      </c>
      <c r="O20" s="294">
        <v>2023</v>
      </c>
      <c r="P20" s="294" t="str">
        <f t="shared" si="0"/>
        <v>MARZO DE 2023</v>
      </c>
      <c r="Q20" s="294">
        <v>36</v>
      </c>
    </row>
    <row r="21" spans="4:17" ht="134.25" customHeight="1">
      <c r="D21" s="586" t="s">
        <v>431</v>
      </c>
      <c r="E21" s="586" t="str">
        <f ca="1">CONCATENATE(D21,$E$9)</f>
        <v>UNIVERSIDAD NACIONAL DE COLOMBIA
NIT.  899.999.063-3
CONTRATO INTERADMINISTRATIVO  1471299
ANEXO 6:  RENDIMIENTOS FINANCIEROS CUENTA TAURAMENA 
AL 31 DE ENERO DE 2023</v>
      </c>
      <c r="M21" s="294">
        <v>2023</v>
      </c>
      <c r="N21" s="294" t="s">
        <v>395</v>
      </c>
      <c r="P21" s="294" t="str">
        <f t="shared" si="0"/>
        <v xml:space="preserve">ABRIL DE </v>
      </c>
      <c r="Q21" s="294">
        <v>37</v>
      </c>
    </row>
    <row r="22" spans="4:17" ht="75">
      <c r="D22" s="586" t="s">
        <v>404</v>
      </c>
      <c r="E22" s="586" t="str">
        <f t="shared" ref="E22:E61" ca="1" si="1">CONCATENATE(D22,$E$9)</f>
        <v>UNIVERSIDAD NACIONAL DE COLOMBIA
NIT.  899.999.063-3
CONTRATO INTERADMINISTRATIVO  1471299
ANEXO 6:  RENDIMIENTOS FINANCIEROS CUENTA ITAGÜÍ  
AL 31 DE ENERO DE 2023</v>
      </c>
      <c r="M22" s="294">
        <v>2023</v>
      </c>
      <c r="N22" s="294" t="s">
        <v>396</v>
      </c>
      <c r="P22" s="294" t="str">
        <f t="shared" si="0"/>
        <v xml:space="preserve">MAYO DE </v>
      </c>
      <c r="Q22" s="294">
        <v>38</v>
      </c>
    </row>
    <row r="23" spans="4:17" ht="75">
      <c r="D23" s="586" t="s">
        <v>405</v>
      </c>
      <c r="E23" s="586" t="str">
        <f t="shared" ca="1" si="1"/>
        <v>UNIVERSIDAD NACIONAL DE COLOMBIA
NIT.  899.999.063-3
CONTRATO INTERADMINISTRATIVO  1471299
ANEXO 6:  RENDIMIENTOS FINANCIEROS CUENTA VILLANUEVA  
AL 31 DE ENERO DE 2023</v>
      </c>
      <c r="M23" s="294">
        <v>2023</v>
      </c>
      <c r="N23" s="294" t="s">
        <v>397</v>
      </c>
      <c r="P23" s="294" t="str">
        <f t="shared" si="0"/>
        <v xml:space="preserve">JUNIO DE </v>
      </c>
      <c r="Q23" s="294">
        <v>39</v>
      </c>
    </row>
    <row r="24" spans="4:17" ht="75">
      <c r="D24" s="586" t="s">
        <v>406</v>
      </c>
      <c r="E24" s="586" t="str">
        <f t="shared" ca="1" si="1"/>
        <v>UNIVERSIDAD NACIONAL DE COLOMBIA
NIT.  899.999.063-3
CONTRATO INTERADMINISTRATIVO  1471299
ANEXO 6:  RENDIMIENTOS FINANCIEROS CUENTA SAN JUAN DE URABÁ  
AL 31 DE ENERO DE 2023</v>
      </c>
      <c r="M24" s="294">
        <v>2023</v>
      </c>
      <c r="N24" s="294" t="s">
        <v>361</v>
      </c>
      <c r="P24" s="294" t="str">
        <f t="shared" si="0"/>
        <v xml:space="preserve">JULIO DE </v>
      </c>
      <c r="Q24" s="294">
        <v>40</v>
      </c>
    </row>
    <row r="25" spans="4:17" ht="75">
      <c r="D25" s="586" t="s">
        <v>407</v>
      </c>
      <c r="E25" s="586" t="str">
        <f t="shared" ca="1" si="1"/>
        <v>UNIVERSIDAD NACIONAL DE COLOMBIA
NIT.  899.999.063-3
CONTRATO INTERADMINISTRATIVO  1471299
ANEXO 6:  RENDIMIENTOS FINANCIEROS CUENTA YARUMAL 
AL 31 DE ENERO DE 2023</v>
      </c>
      <c r="M25" s="294">
        <v>2023</v>
      </c>
      <c r="N25" s="294" t="s">
        <v>362</v>
      </c>
      <c r="P25" s="294" t="str">
        <f t="shared" si="0"/>
        <v xml:space="preserve">AGOSTO DE </v>
      </c>
      <c r="Q25" s="294">
        <v>41</v>
      </c>
    </row>
    <row r="26" spans="4:17" ht="75">
      <c r="D26" s="586" t="s">
        <v>423</v>
      </c>
      <c r="E26" s="586" t="str">
        <f t="shared" ca="1" si="1"/>
        <v>UNIVERSIDAD NACIONAL DE COLOMBIA
NIT.  899.999.063-3
CONTRATO INTERADMINISTRATIVO  1471299
ANEXO 6:  RENDIMIENTOS FINANCIEROS CUENTA GARZON 
AL 31 DE ENERO DE 2023</v>
      </c>
      <c r="M26" s="294">
        <v>2023</v>
      </c>
      <c r="N26" s="294" t="s">
        <v>398</v>
      </c>
      <c r="P26" s="294" t="str">
        <f t="shared" si="0"/>
        <v xml:space="preserve">SEPTIEMBRE DE </v>
      </c>
      <c r="Q26" s="294">
        <v>42</v>
      </c>
    </row>
    <row r="27" spans="4:17" ht="90">
      <c r="D27" s="586" t="s">
        <v>408</v>
      </c>
      <c r="E27" s="586" t="str">
        <f t="shared" ca="1" si="1"/>
        <v>UNIVERSIDAD NACIONAL DE COLOMBIA
NIT.  899.999.063-3
CONTRATO INTERADMINISTRATIVO  1471299
ANEXO 6:  RENDIMIENTOS FINANCIEROS CUENTA 
DEPARTAMENTO DE SUCRE 
AL 31 DE ENERO DE 2023</v>
      </c>
      <c r="M27" s="294">
        <v>2023</v>
      </c>
      <c r="N27" s="294" t="s">
        <v>399</v>
      </c>
      <c r="P27" s="294" t="str">
        <f t="shared" si="0"/>
        <v xml:space="preserve">OCTUBRE DE </v>
      </c>
      <c r="Q27" s="294">
        <v>43</v>
      </c>
    </row>
    <row r="28" spans="4:17" ht="75">
      <c r="D28" s="586" t="s">
        <v>409</v>
      </c>
      <c r="E28" s="586" t="str">
        <f t="shared" ca="1" si="1"/>
        <v>UNIVERSIDAD NACIONAL DE COLOMBIA
NIT.  899.999.063-3
CONTRATO INTERADMINISTRATIVO  1471299
ANEXO 6:  RENDIMIENTOS FINANCIEROS CUENTA PLANADAS
AL 31 DE ENERO DE 2023</v>
      </c>
      <c r="M28" s="294">
        <v>2023</v>
      </c>
      <c r="N28" s="294" t="s">
        <v>400</v>
      </c>
      <c r="P28" s="294" t="str">
        <f t="shared" si="0"/>
        <v xml:space="preserve">NOVIEMBRE DE </v>
      </c>
      <c r="Q28" s="294">
        <v>44</v>
      </c>
    </row>
    <row r="29" spans="4:17" ht="75">
      <c r="D29" s="586" t="s">
        <v>410</v>
      </c>
      <c r="E29" s="586" t="str">
        <f t="shared" ca="1" si="1"/>
        <v>UNIVERSIDAD NACIONAL DE COLOMBIA
NIT.  899.999.063-3
CONTRATO INTERADMINISTRATIVO  1471299
ANEXO 6:  RENDIMIENTOS FINANCIEROS CUENTA CALDAS
AL 31 DE ENERO DE 2023</v>
      </c>
      <c r="M29" s="294">
        <v>2023</v>
      </c>
      <c r="N29" s="294" t="s">
        <v>401</v>
      </c>
      <c r="P29" s="294" t="str">
        <f t="shared" si="0"/>
        <v xml:space="preserve">DICIEMBRE DE </v>
      </c>
      <c r="Q29" s="294">
        <v>45</v>
      </c>
    </row>
    <row r="30" spans="4:17" ht="75">
      <c r="D30" s="586" t="s">
        <v>427</v>
      </c>
      <c r="E30" s="586" t="str">
        <f t="shared" ca="1" si="1"/>
        <v>UNIVERSIDAD NACIONAL DE COLOMBIA
NIT.  899.999.063-3
CONTRATO INTERADMINISTRATIVO  1471299
ANEXO 6:  RENDIMIENTOS FINANCIEROS CUENTA BUGALAGRANDE
AL 31 DE ENERO DE 2023</v>
      </c>
      <c r="M30">
        <v>2024</v>
      </c>
      <c r="N30" s="294" t="s">
        <v>393</v>
      </c>
      <c r="P30" s="294" t="str">
        <f t="shared" si="0"/>
        <v xml:space="preserve">ENERO DE </v>
      </c>
      <c r="Q30" s="294">
        <v>46</v>
      </c>
    </row>
    <row r="31" spans="4:17" ht="75">
      <c r="D31" s="586" t="s">
        <v>411</v>
      </c>
      <c r="E31" s="586" t="str">
        <f t="shared" ca="1" si="1"/>
        <v>UNIVERSIDAD NACIONAL DE COLOMBIA
NIT.  899.999.063-3
CONTRATO INTERADMINISTRATIVO  1471299
ANEXO 6:  RENDIMIENTOS FINANCIEROS CUENTA CARMEN DE VIBORAL
AL 31 DE ENERO DE 2023</v>
      </c>
      <c r="M31" s="294">
        <v>2024</v>
      </c>
      <c r="N31" s="294" t="s">
        <v>392</v>
      </c>
      <c r="P31" s="294" t="str">
        <f t="shared" si="0"/>
        <v xml:space="preserve">FEBRERO DE </v>
      </c>
      <c r="Q31" s="294">
        <v>47</v>
      </c>
    </row>
    <row r="32" spans="4:17" ht="75">
      <c r="D32" s="586" t="s">
        <v>412</v>
      </c>
      <c r="E32" s="586" t="str">
        <f t="shared" ca="1" si="1"/>
        <v>UNIVERSIDAD NACIONAL DE COLOMBIA
NIT.  899.999.063-3
CONTRATO INTERADMINISTRATIVO  1471299
ANEXO 6:  RENDIMIENTOS FINANCIEROS CUENTA PLANETA RICA
AL 31 DE ENERO DE 2023</v>
      </c>
      <c r="M32" s="294">
        <v>2024</v>
      </c>
      <c r="N32" s="294" t="s">
        <v>394</v>
      </c>
      <c r="P32" s="294" t="str">
        <f t="shared" si="0"/>
        <v xml:space="preserve">MARZO DE </v>
      </c>
      <c r="Q32" s="294">
        <v>48</v>
      </c>
    </row>
    <row r="33" spans="4:17" ht="75">
      <c r="D33" s="586" t="s">
        <v>413</v>
      </c>
      <c r="E33" s="586" t="str">
        <f t="shared" ca="1" si="1"/>
        <v>UNIVERSIDAD NACIONAL DE COLOMBIA
NIT.  899.999.063-3
CONTRATO INTERADMINISTRATIVO  1471299
ANEXO 6:  RENDIMIENTOS FINANCIEROS CUENTA BARRANCABERMEJA
AL 31 DE ENERO DE 2023</v>
      </c>
      <c r="M33" s="294">
        <v>2024</v>
      </c>
      <c r="N33" s="294" t="s">
        <v>395</v>
      </c>
      <c r="P33" s="294" t="str">
        <f t="shared" si="0"/>
        <v xml:space="preserve">ABRIL DE </v>
      </c>
      <c r="Q33" s="294">
        <v>49</v>
      </c>
    </row>
    <row r="34" spans="4:17" ht="75">
      <c r="D34" s="586" t="s">
        <v>414</v>
      </c>
      <c r="E34" s="586" t="str">
        <f t="shared" ca="1" si="1"/>
        <v>UNIVERSIDAD NACIONAL DE COLOMBIA
NIT.  899.999.063-3
CONTRATO INTERADMINISTRATIVO  1471299
ANEXO 6:  RENDIMIENTOS FINANCIEROS CUENTA GRAMALOTE
AL 31 DE ENERO DE 2023</v>
      </c>
      <c r="M34" s="294">
        <v>2024</v>
      </c>
      <c r="N34" s="294" t="s">
        <v>396</v>
      </c>
      <c r="P34" s="294" t="str">
        <f t="shared" si="0"/>
        <v xml:space="preserve">MAYO DE </v>
      </c>
      <c r="Q34" s="294">
        <v>50</v>
      </c>
    </row>
    <row r="35" spans="4:17" ht="75">
      <c r="D35" s="586" t="s">
        <v>415</v>
      </c>
      <c r="E35" s="586" t="str">
        <f t="shared" ca="1" si="1"/>
        <v>UNIVERSIDAD NACIONAL DE COLOMBIA
NIT.  899.999.063-3
CONTRATO INTERADMINISTRATIVO  1471299
ANEXO 6:  RENDIMIENTOS FINANCIEROS CUENTA PASTORAL SOCIAL CARITAS
AL 31 DE ENERO DE 2023</v>
      </c>
      <c r="M35" s="294">
        <v>2024</v>
      </c>
      <c r="N35" s="294" t="s">
        <v>397</v>
      </c>
      <c r="P35" s="294" t="str">
        <f t="shared" si="0"/>
        <v xml:space="preserve">JUNIO DE </v>
      </c>
      <c r="Q35" s="294">
        <v>51</v>
      </c>
    </row>
    <row r="36" spans="4:17" ht="90">
      <c r="D36" s="586" t="s">
        <v>416</v>
      </c>
      <c r="E36" s="586" t="str">
        <f t="shared" ca="1" si="1"/>
        <v>UNIVERSIDAD NACIONAL DE COLOMBIA
NIT.  899.999.063-3
CONTRATO INTERADMINISTRATIVO  1471299
ANEXO 6:  RENDIMIENTOS FINANCIEROS CUENTA MINERA DE COBRE 
QUEBRADONA
AL 31 DE ENERO DE 2023</v>
      </c>
      <c r="M36" s="294">
        <v>2024</v>
      </c>
      <c r="N36" s="294" t="s">
        <v>361</v>
      </c>
      <c r="P36" s="294" t="str">
        <f t="shared" si="0"/>
        <v xml:space="preserve">JULIO DE </v>
      </c>
      <c r="Q36" s="294">
        <v>52</v>
      </c>
    </row>
    <row r="37" spans="4:17" ht="75">
      <c r="D37" s="586" t="s">
        <v>417</v>
      </c>
      <c r="E37" s="586" t="str">
        <f t="shared" ca="1" si="1"/>
        <v>UNIVERSIDAD NACIONAL DE COLOMBIA
NIT.  899.999.063-3
CONTRATO INTERADMINISTRATIVO  1471299
ANEXO 6:  RENDIMIENTOS FINANCIEROS CUENTA MINISTERIO DEL INTERIOR
AL 31 DE ENERO DE 2023</v>
      </c>
      <c r="M37" s="294">
        <v>2024</v>
      </c>
      <c r="N37" s="294" t="s">
        <v>362</v>
      </c>
      <c r="P37" s="294" t="str">
        <f t="shared" si="0"/>
        <v xml:space="preserve">AGOSTO DE </v>
      </c>
      <c r="Q37" s="294">
        <v>53</v>
      </c>
    </row>
    <row r="38" spans="4:17" ht="75">
      <c r="D38" s="586" t="s">
        <v>418</v>
      </c>
      <c r="E38" s="586" t="str">
        <f t="shared" ca="1" si="1"/>
        <v>UNIVERSIDAD NACIONAL DE COLOMBIA
NIT.  899.999.063-3
CONTRATO INTERADMINISTRATIVO  1471299
ANEXO 6:  RENDIMIENTOS FINANCIEROS CUENTA MUNICIPIO MANIZALES
AL 31 DE ENERO DE 2023</v>
      </c>
      <c r="M38" s="294">
        <v>2024</v>
      </c>
      <c r="N38" s="294" t="s">
        <v>398</v>
      </c>
      <c r="P38" s="294" t="str">
        <f t="shared" si="0"/>
        <v xml:space="preserve">SEPTIEMBRE DE </v>
      </c>
      <c r="Q38" s="294">
        <v>54</v>
      </c>
    </row>
    <row r="39" spans="4:17" ht="90">
      <c r="D39" s="586" t="s">
        <v>428</v>
      </c>
      <c r="E39" s="586" t="str">
        <f t="shared" ca="1" si="1"/>
        <v>UNIVERSIDAD NACIONAL DE COLOMBIA
NIT.  899.999.063-3
CONTRATO INTERADMINISTRATIVO  1471299
ANEXO 6:  RENDIMIENTOS FINANCIEROS CUENTA DEPARTAMENTO DE NORTE DE SANTANDER
AL 31 DE ENERO DE 2023</v>
      </c>
      <c r="M39" s="294">
        <v>2024</v>
      </c>
      <c r="N39" s="294" t="s">
        <v>399</v>
      </c>
      <c r="P39" s="294" t="str">
        <f t="shared" si="0"/>
        <v xml:space="preserve">OCTUBRE DE </v>
      </c>
      <c r="Q39" s="294">
        <v>55</v>
      </c>
    </row>
    <row r="40" spans="4:17" ht="75">
      <c r="D40" s="586" t="s">
        <v>419</v>
      </c>
      <c r="E40" s="586" t="str">
        <f t="shared" ca="1" si="1"/>
        <v>UNIVERSIDAD NACIONAL DE COLOMBIA
NIT.  899.999.063-3
CONTRATO INTERADMINISTRATIVO  1471299
ANEXO 6:  RENDIMIENTOS FINANCIEROS CUENTA MUNICIPIO DE LA VIRGINIA
AL 31 DE ENERO DE 2023</v>
      </c>
      <c r="M40" s="294">
        <v>2024</v>
      </c>
      <c r="N40" s="294" t="s">
        <v>400</v>
      </c>
      <c r="P40" s="294" t="str">
        <f t="shared" si="0"/>
        <v xml:space="preserve">NOVIEMBRE DE </v>
      </c>
      <c r="Q40" s="294">
        <v>56</v>
      </c>
    </row>
    <row r="41" spans="4:17" ht="75">
      <c r="D41" s="586" t="s">
        <v>420</v>
      </c>
      <c r="E41" s="586" t="str">
        <f t="shared" ca="1" si="1"/>
        <v>UNIVERSIDAD NACIONAL DE COLOMBIA
NIT.  899.999.063-3
CONTRATO INTERADMINISTRATIVO  1471299
ANEXO 6:  RENDIMIENTOS FINANCIEROS CUENTA MUNICIPIO DE LA ACACÍAS
AL 31 DE ENERO DE 2023</v>
      </c>
      <c r="M41" s="294">
        <v>2024</v>
      </c>
      <c r="N41" s="294" t="s">
        <v>401</v>
      </c>
      <c r="P41" s="294" t="str">
        <f t="shared" si="0"/>
        <v xml:space="preserve">DICIEMBRE DE </v>
      </c>
      <c r="Q41" s="294">
        <v>57</v>
      </c>
    </row>
    <row r="42" spans="4:17" ht="90">
      <c r="D42" s="586" t="s">
        <v>421</v>
      </c>
      <c r="E42" s="586" t="str">
        <f t="shared" ca="1" si="1"/>
        <v>UNIVERSIDAD NACIONAL DE COLOMBIA
NIT.  899.999.063-3
CONTRATO INTERADMINISTRATIVO  1471299
ANEXO 6:  RENDIMIENTOS FINANCIEROS CUENTA DISTRITO 
ESPECIAL TURISTICO Y CULTURAL DE RIOHACHA
AL 31 DE ENERO DE 2023</v>
      </c>
      <c r="M42">
        <v>2025</v>
      </c>
      <c r="N42" s="294" t="s">
        <v>393</v>
      </c>
      <c r="P42" s="294" t="str">
        <f t="shared" si="0"/>
        <v xml:space="preserve">ENERO DE </v>
      </c>
      <c r="Q42" s="294">
        <v>58</v>
      </c>
    </row>
    <row r="43" spans="4:17" ht="75">
      <c r="D43" s="586" t="s">
        <v>429</v>
      </c>
      <c r="E43" s="586" t="str">
        <f t="shared" ca="1" si="1"/>
        <v>UNIVERSIDAD NACIONAL DE COLOMBIA
NIT.  899.999.063-3
CONTRATO INTERADMINISTRATIVO  1471299
ANEXO 4:  RELACIÓN FACTURAS CON IVA  
AL 31 DE ENERO DE 2023</v>
      </c>
      <c r="M43" s="294">
        <v>2025</v>
      </c>
      <c r="N43" s="294" t="s">
        <v>392</v>
      </c>
      <c r="P43" s="294" t="str">
        <f t="shared" si="0"/>
        <v xml:space="preserve">FEBRERO DE </v>
      </c>
      <c r="Q43" s="294">
        <v>59</v>
      </c>
    </row>
    <row r="44" spans="4:17" ht="75">
      <c r="D44" s="586" t="s">
        <v>430</v>
      </c>
      <c r="E44" s="586" t="str">
        <f t="shared" ca="1" si="1"/>
        <v>UNIVERSIDAD NACIONAL DE COLOMBIA
NIT.  899.999.063-3
CONTRATO INTERADMINISTRATIVO  1471299
ANEXO 3:  RELACION CORRIENTE /NO CORRIENTE SALDO POR EJECUTAR
AL 31 DE ENERO DE 2023</v>
      </c>
      <c r="M44" s="294">
        <v>2025</v>
      </c>
      <c r="N44" s="294" t="s">
        <v>394</v>
      </c>
      <c r="P44" s="294" t="str">
        <f t="shared" si="0"/>
        <v xml:space="preserve">MARZO DE </v>
      </c>
      <c r="Q44" s="294">
        <v>60</v>
      </c>
    </row>
    <row r="45" spans="4:17" ht="75">
      <c r="D45" s="586" t="s">
        <v>424</v>
      </c>
      <c r="E45" s="586" t="str">
        <f t="shared" ca="1" si="1"/>
        <v>UNIVERSIDAD NACIONAL DE COLOMBIA
NIT.  899.999.063-3
CONTRATO INTERADMINISTRATIVO  1471299
INFORME DE EJECUCION ADHESIONES 
DEL 1 AL 31 DE ENERO DE 2023</v>
      </c>
      <c r="M45" s="294">
        <v>2025</v>
      </c>
      <c r="N45" s="294" t="s">
        <v>395</v>
      </c>
      <c r="P45" s="294" t="str">
        <f t="shared" si="0"/>
        <v xml:space="preserve">ABRIL DE </v>
      </c>
      <c r="Q45" s="294">
        <v>61</v>
      </c>
    </row>
    <row r="46" spans="4:17" ht="75">
      <c r="D46" s="586" t="s">
        <v>425</v>
      </c>
      <c r="E46" s="586" t="str">
        <f t="shared" ca="1" si="1"/>
        <v>UNIVERSIDAD NACIONAL DE COLOMBIA
NIT.  899.999.063-3
CONTRATO INTERADMINISTRATIVO  1471299
ANEXO 7: EJECUCION CAPITAL SEMILLA 
DEL 1 AL 31 DE ENERO DE 2023</v>
      </c>
      <c r="M46" s="294">
        <v>2025</v>
      </c>
      <c r="N46" s="294" t="s">
        <v>396</v>
      </c>
      <c r="P46" s="294" t="str">
        <f t="shared" si="0"/>
        <v xml:space="preserve">MAYO DE </v>
      </c>
      <c r="Q46" s="294">
        <v>62</v>
      </c>
    </row>
    <row r="47" spans="4:17" ht="75">
      <c r="D47" s="586" t="s">
        <v>426</v>
      </c>
      <c r="E47" s="586" t="str">
        <f t="shared" ca="1" si="1"/>
        <v>UNIVERSIDAD NACIONAL DE COLOMBIA
NIT.  899.999.063-3
CONTRATO INTERADMINISTRATIVO  1471299
ANEXO 2:  RENDIMIENTOS FINANCIEROS CUENTA SENA  
AL 31 DE ENERO DE 2023</v>
      </c>
      <c r="M47" s="294">
        <v>2025</v>
      </c>
      <c r="N47" s="294" t="s">
        <v>397</v>
      </c>
      <c r="P47" s="294" t="str">
        <f t="shared" si="0"/>
        <v xml:space="preserve">JUNIO DE </v>
      </c>
      <c r="Q47" s="294">
        <v>63</v>
      </c>
    </row>
    <row r="48" spans="4:17" ht="60">
      <c r="D48" s="586" t="s">
        <v>432</v>
      </c>
      <c r="E48" s="586" t="str">
        <f t="shared" ca="1" si="1"/>
        <v>UNIVERSIDAD NACIONAL DE COLOMBIA
NIT.  899.999.063-3
CONTRATO INTERADMINISTRATIVO  1471299
INFORME DE EJECUCION FINANCIERA No. 31 DE ENERO DE 2023</v>
      </c>
      <c r="F48" s="586" t="str">
        <f ca="1">CONCATENATE(D48,S2,
" DEL 1 AL ",E9)</f>
        <v>UNIVERSIDAD NACIONAL DE COLOMBIA
NIT.  899.999.063-3
CONTRATO INTERADMINISTRATIVO  1471299
INFORME DE EJECUCION FINANCIERA No. 34 DEL 1 AL 31 DE ENERO DE 2023</v>
      </c>
      <c r="M48" s="294">
        <v>2025</v>
      </c>
      <c r="N48" s="294" t="s">
        <v>361</v>
      </c>
      <c r="P48" s="294" t="str">
        <f t="shared" si="0"/>
        <v xml:space="preserve">JULIO DE </v>
      </c>
      <c r="Q48" s="294">
        <v>64</v>
      </c>
    </row>
    <row r="49" spans="4:17" ht="195" customHeight="1">
      <c r="D49" s="586"/>
      <c r="E49" s="586" t="str">
        <f t="shared" ca="1" si="1"/>
        <v>31 DE ENERO DE 2023</v>
      </c>
      <c r="M49" s="294">
        <v>2025</v>
      </c>
      <c r="N49" s="294" t="s">
        <v>362</v>
      </c>
      <c r="P49" s="294" t="str">
        <f t="shared" si="0"/>
        <v xml:space="preserve">AGOSTO DE </v>
      </c>
      <c r="Q49" s="294">
        <v>65</v>
      </c>
    </row>
    <row r="50" spans="4:17">
      <c r="E50" s="586" t="str">
        <f t="shared" ca="1" si="1"/>
        <v>31 DE ENERO DE 2023</v>
      </c>
      <c r="M50" s="294">
        <v>2025</v>
      </c>
      <c r="N50" s="294" t="s">
        <v>398</v>
      </c>
      <c r="P50" s="294" t="str">
        <f t="shared" si="0"/>
        <v xml:space="preserve">SEPTIEMBRE DE </v>
      </c>
      <c r="Q50" s="294">
        <v>66</v>
      </c>
    </row>
    <row r="51" spans="4:17" ht="195" customHeight="1">
      <c r="E51" s="586" t="str">
        <f t="shared" ca="1" si="1"/>
        <v>31 DE ENERO DE 2023</v>
      </c>
      <c r="M51" s="294">
        <v>2025</v>
      </c>
      <c r="N51" s="294" t="s">
        <v>399</v>
      </c>
      <c r="P51" s="294" t="str">
        <f t="shared" si="0"/>
        <v xml:space="preserve">OCTUBRE DE </v>
      </c>
      <c r="Q51" s="294">
        <v>67</v>
      </c>
    </row>
    <row r="52" spans="4:17" ht="195" customHeight="1">
      <c r="E52" s="586" t="str">
        <f t="shared" ca="1" si="1"/>
        <v>31 DE ENERO DE 2023</v>
      </c>
      <c r="M52" s="294">
        <v>2025</v>
      </c>
      <c r="N52" s="294" t="s">
        <v>400</v>
      </c>
      <c r="P52" s="294" t="str">
        <f t="shared" si="0"/>
        <v xml:space="preserve">NOVIEMBRE DE </v>
      </c>
      <c r="Q52" s="294">
        <v>68</v>
      </c>
    </row>
    <row r="53" spans="4:17">
      <c r="E53" s="586" t="str">
        <f t="shared" ca="1" si="1"/>
        <v>31 DE ENERO DE 2023</v>
      </c>
      <c r="M53" s="294">
        <v>2025</v>
      </c>
      <c r="N53" s="294" t="s">
        <v>401</v>
      </c>
      <c r="P53" s="294" t="str">
        <f t="shared" si="0"/>
        <v xml:space="preserve">DICIEMBRE DE </v>
      </c>
      <c r="Q53" s="294">
        <v>69</v>
      </c>
    </row>
    <row r="54" spans="4:17">
      <c r="E54" s="586" t="str">
        <f t="shared" ca="1" si="1"/>
        <v>31 DE ENERO DE 2023</v>
      </c>
    </row>
    <row r="55" spans="4:17">
      <c r="E55" s="586" t="str">
        <f t="shared" ca="1" si="1"/>
        <v>31 DE ENERO DE 2023</v>
      </c>
    </row>
    <row r="56" spans="4:17">
      <c r="E56" s="586" t="str">
        <f t="shared" ca="1" si="1"/>
        <v>31 DE ENERO DE 2023</v>
      </c>
    </row>
    <row r="57" spans="4:17">
      <c r="E57" s="586" t="str">
        <f t="shared" ca="1" si="1"/>
        <v>31 DE ENERO DE 2023</v>
      </c>
    </row>
    <row r="58" spans="4:17">
      <c r="E58" s="586" t="str">
        <f t="shared" ca="1" si="1"/>
        <v>31 DE ENERO DE 2023</v>
      </c>
    </row>
    <row r="59" spans="4:17">
      <c r="E59" s="586" t="str">
        <f t="shared" ca="1" si="1"/>
        <v>31 DE ENERO DE 2023</v>
      </c>
    </row>
    <row r="60" spans="4:17">
      <c r="E60" s="586" t="str">
        <f t="shared" ca="1" si="1"/>
        <v>31 DE ENERO DE 2023</v>
      </c>
    </row>
    <row r="61" spans="4:17">
      <c r="E61" s="586" t="str">
        <f t="shared" ca="1" si="1"/>
        <v>31 DE ENERO DE 2023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AE339"/>
  <sheetViews>
    <sheetView showGridLines="0" zoomScale="85" zoomScaleNormal="85" zoomScaleSheetLayoutView="40" workbookViewId="0">
      <selection activeCell="B16" sqref="B16"/>
    </sheetView>
  </sheetViews>
  <sheetFormatPr baseColWidth="10" defaultRowHeight="14.25"/>
  <cols>
    <col min="1" max="1" width="34.28515625" style="413" customWidth="1"/>
    <col min="2" max="2" width="32" style="413" customWidth="1"/>
    <col min="3" max="3" width="20.42578125" style="413" customWidth="1"/>
    <col min="4" max="4" width="37.140625" style="413" customWidth="1"/>
    <col min="5" max="5" width="22.5703125" style="412" customWidth="1"/>
    <col min="6" max="6" width="25.28515625" style="413" customWidth="1"/>
    <col min="7" max="7" width="40" style="413" customWidth="1"/>
    <col min="8" max="8" width="25.28515625" style="413" customWidth="1"/>
    <col min="9" max="9" width="27.85546875" style="413" bestFit="1" customWidth="1"/>
    <col min="10" max="10" width="26.42578125" style="413" customWidth="1"/>
    <col min="11" max="11" width="18.7109375" style="413" customWidth="1"/>
    <col min="12" max="12" width="17.85546875" style="413" customWidth="1"/>
    <col min="13" max="13" width="21.7109375" style="413" bestFit="1" customWidth="1"/>
    <col min="14" max="14" width="19.28515625" style="413" customWidth="1"/>
    <col min="15" max="15" width="19.140625" style="413" bestFit="1" customWidth="1"/>
    <col min="16" max="16" width="15.85546875" style="413" customWidth="1"/>
    <col min="17" max="18" width="15.85546875" style="413" bestFit="1" customWidth="1"/>
    <col min="19" max="19" width="17.7109375" style="413" bestFit="1" customWidth="1"/>
    <col min="20" max="21" width="16.28515625" style="413" bestFit="1" customWidth="1"/>
    <col min="22" max="16384" width="11.42578125" style="413"/>
  </cols>
  <sheetData>
    <row r="1" spans="1:30" s="408" customFormat="1" ht="108" customHeight="1">
      <c r="A1" s="1224" t="s">
        <v>1161</v>
      </c>
      <c r="B1" s="1224"/>
      <c r="C1" s="1224"/>
      <c r="D1" s="1224"/>
      <c r="E1" s="1224"/>
      <c r="F1" s="1224"/>
      <c r="G1" s="1224"/>
      <c r="H1" s="1224"/>
      <c r="I1" s="1224"/>
      <c r="J1" s="1224"/>
      <c r="K1" s="1224"/>
      <c r="L1" s="1224"/>
      <c r="M1" s="1224"/>
      <c r="N1" s="1224"/>
      <c r="O1" s="1224"/>
      <c r="P1" s="406"/>
      <c r="Q1" s="406"/>
      <c r="R1" s="406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</row>
    <row r="2" spans="1:30" s="414" customFormat="1" ht="15.75" thickBot="1">
      <c r="A2" s="409" t="s">
        <v>323</v>
      </c>
      <c r="B2" s="409"/>
      <c r="C2" s="409"/>
      <c r="D2" s="409"/>
      <c r="E2" s="410"/>
      <c r="F2" s="411"/>
      <c r="G2" s="412"/>
      <c r="H2" s="413"/>
      <c r="N2" s="415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</row>
    <row r="3" spans="1:30" s="414" customFormat="1" ht="15.75" customHeight="1">
      <c r="A3" s="1225" t="s">
        <v>25</v>
      </c>
      <c r="B3" s="1227" t="s">
        <v>324</v>
      </c>
      <c r="C3" s="1227" t="s">
        <v>325</v>
      </c>
      <c r="D3" s="1227" t="s">
        <v>326</v>
      </c>
      <c r="E3" s="1227" t="s">
        <v>327</v>
      </c>
      <c r="F3" s="1227" t="s">
        <v>328</v>
      </c>
      <c r="G3" s="1239" t="s">
        <v>329</v>
      </c>
      <c r="H3" s="1240"/>
      <c r="I3" s="1241"/>
      <c r="J3" s="1232" t="s">
        <v>330</v>
      </c>
      <c r="K3" s="1233"/>
      <c r="L3" s="1234"/>
      <c r="M3" s="1245" t="s">
        <v>331</v>
      </c>
      <c r="N3" s="1246"/>
      <c r="O3" s="1247"/>
      <c r="S3" s="1238"/>
      <c r="T3" s="1238"/>
      <c r="U3" s="416"/>
      <c r="V3" s="416"/>
      <c r="W3" s="416"/>
      <c r="X3" s="416"/>
      <c r="Y3" s="416"/>
      <c r="Z3" s="416"/>
      <c r="AA3" s="416"/>
      <c r="AB3" s="416"/>
      <c r="AC3" s="416"/>
      <c r="AD3" s="416"/>
    </row>
    <row r="4" spans="1:30" s="414" customFormat="1" ht="45.75" thickBot="1">
      <c r="A4" s="1226"/>
      <c r="B4" s="1228"/>
      <c r="C4" s="1228"/>
      <c r="D4" s="1228"/>
      <c r="E4" s="1228"/>
      <c r="F4" s="1228"/>
      <c r="G4" s="417" t="s">
        <v>332</v>
      </c>
      <c r="H4" s="417" t="s">
        <v>333</v>
      </c>
      <c r="I4" s="418" t="s">
        <v>334</v>
      </c>
      <c r="J4" s="419" t="s">
        <v>1162</v>
      </c>
      <c r="K4" s="420" t="s">
        <v>333</v>
      </c>
      <c r="L4" s="421" t="s">
        <v>334</v>
      </c>
      <c r="M4" s="422" t="s">
        <v>335</v>
      </c>
      <c r="N4" s="417" t="s">
        <v>336</v>
      </c>
      <c r="O4" s="423" t="s">
        <v>334</v>
      </c>
      <c r="S4" s="405"/>
      <c r="T4" s="405"/>
      <c r="U4" s="405"/>
      <c r="V4" s="416"/>
      <c r="W4" s="416"/>
      <c r="X4" s="416"/>
      <c r="Y4" s="416"/>
      <c r="Z4" s="416"/>
      <c r="AA4" s="416"/>
      <c r="AB4" s="416"/>
      <c r="AC4" s="416"/>
      <c r="AD4" s="416"/>
    </row>
    <row r="5" spans="1:30" s="414" customFormat="1">
      <c r="A5" s="424" t="s">
        <v>351</v>
      </c>
      <c r="B5" s="425">
        <v>1000000000</v>
      </c>
      <c r="C5" s="426">
        <f t="shared" ref="C5:C27" si="0">B5/F5</f>
        <v>0.5</v>
      </c>
      <c r="D5" s="427">
        <v>1000000000</v>
      </c>
      <c r="E5" s="428">
        <f t="shared" ref="E5:E10" si="1">D5/F5</f>
        <v>0.5</v>
      </c>
      <c r="F5" s="721">
        <f t="shared" ref="F5:F10" si="2">B5+D5</f>
        <v>2000000000</v>
      </c>
      <c r="G5" s="429">
        <v>1819786585.8300002</v>
      </c>
      <c r="H5" s="430">
        <v>909893292.91500008</v>
      </c>
      <c r="I5" s="431">
        <v>909893292.91500008</v>
      </c>
      <c r="J5" s="432">
        <f>+J90</f>
        <v>8111512</v>
      </c>
      <c r="K5" s="427">
        <f t="shared" ref="K5:K10" si="3">(+J5)*C5</f>
        <v>4055756</v>
      </c>
      <c r="L5" s="433">
        <f t="shared" ref="L5:L10" si="4">+(J5)*E5</f>
        <v>4055756</v>
      </c>
      <c r="M5" s="730">
        <f t="shared" ref="M5:M10" si="5">+G5+J5</f>
        <v>1827898097.8300002</v>
      </c>
      <c r="N5" s="427">
        <f t="shared" ref="N5:N10" si="6">(M5)*C5</f>
        <v>913949048.91500008</v>
      </c>
      <c r="O5" s="756">
        <f t="shared" ref="O5:O10" si="7">(M5)*E5</f>
        <v>913949048.91500008</v>
      </c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16"/>
      <c r="AD5" s="416"/>
    </row>
    <row r="6" spans="1:30" s="414" customFormat="1">
      <c r="A6" s="434" t="s">
        <v>352</v>
      </c>
      <c r="B6" s="435">
        <v>500000000</v>
      </c>
      <c r="C6" s="436">
        <f t="shared" si="0"/>
        <v>0.36289658245772438</v>
      </c>
      <c r="D6" s="437">
        <v>877803000</v>
      </c>
      <c r="E6" s="438">
        <f t="shared" si="1"/>
        <v>0.63710341754227562</v>
      </c>
      <c r="F6" s="722">
        <f t="shared" si="2"/>
        <v>1377803000</v>
      </c>
      <c r="G6" s="429">
        <v>867061841.29999995</v>
      </c>
      <c r="H6" s="430">
        <v>314653778.98727179</v>
      </c>
      <c r="I6" s="431">
        <v>552408062.31272817</v>
      </c>
      <c r="J6" s="439">
        <f>+J95</f>
        <v>0</v>
      </c>
      <c r="K6" s="427">
        <f t="shared" si="3"/>
        <v>0</v>
      </c>
      <c r="L6" s="433">
        <f t="shared" si="4"/>
        <v>0</v>
      </c>
      <c r="M6" s="730">
        <f t="shared" si="5"/>
        <v>867061841.29999995</v>
      </c>
      <c r="N6" s="427">
        <f t="shared" si="6"/>
        <v>314653778.98727179</v>
      </c>
      <c r="O6" s="756">
        <f t="shared" si="7"/>
        <v>552408062.31272817</v>
      </c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16"/>
      <c r="AD6" s="416"/>
    </row>
    <row r="7" spans="1:30" s="414" customFormat="1">
      <c r="A7" s="434" t="s">
        <v>353</v>
      </c>
      <c r="B7" s="435">
        <v>300000000</v>
      </c>
      <c r="C7" s="436">
        <f t="shared" si="0"/>
        <v>0.33333333333333331</v>
      </c>
      <c r="D7" s="437">
        <v>600000000</v>
      </c>
      <c r="E7" s="438">
        <f t="shared" si="1"/>
        <v>0.66666666666666663</v>
      </c>
      <c r="F7" s="722">
        <f t="shared" si="2"/>
        <v>900000000</v>
      </c>
      <c r="G7" s="730">
        <v>821917872.4000001</v>
      </c>
      <c r="H7" s="430">
        <v>273972624.13333333</v>
      </c>
      <c r="I7" s="431">
        <v>547945248.26666665</v>
      </c>
      <c r="J7" s="439">
        <f>+J100</f>
        <v>0</v>
      </c>
      <c r="K7" s="427">
        <f t="shared" si="3"/>
        <v>0</v>
      </c>
      <c r="L7" s="433">
        <f t="shared" si="4"/>
        <v>0</v>
      </c>
      <c r="M7" s="730">
        <f t="shared" si="5"/>
        <v>821917872.4000001</v>
      </c>
      <c r="N7" s="721">
        <f t="shared" si="6"/>
        <v>273972624.13333333</v>
      </c>
      <c r="O7" s="756">
        <f t="shared" si="7"/>
        <v>547945248.26666665</v>
      </c>
      <c r="S7" s="416"/>
      <c r="T7" s="416"/>
      <c r="U7" s="416"/>
      <c r="V7" s="416"/>
      <c r="W7" s="416"/>
      <c r="X7" s="416"/>
      <c r="Y7" s="416"/>
      <c r="Z7" s="416"/>
      <c r="AA7" s="416"/>
      <c r="AB7" s="416"/>
      <c r="AC7" s="416"/>
      <c r="AD7" s="416"/>
    </row>
    <row r="8" spans="1:30" s="414" customFormat="1">
      <c r="A8" s="434" t="s">
        <v>355</v>
      </c>
      <c r="B8" s="435">
        <v>600000000</v>
      </c>
      <c r="C8" s="436">
        <f t="shared" si="0"/>
        <v>0.4</v>
      </c>
      <c r="D8" s="437">
        <v>900000000</v>
      </c>
      <c r="E8" s="438">
        <f t="shared" si="1"/>
        <v>0.6</v>
      </c>
      <c r="F8" s="722">
        <f t="shared" si="2"/>
        <v>1500000000</v>
      </c>
      <c r="G8" s="429">
        <v>973627142.00999999</v>
      </c>
      <c r="H8" s="430">
        <v>389450856.80400002</v>
      </c>
      <c r="I8" s="431">
        <v>584176285.20599997</v>
      </c>
      <c r="J8" s="439">
        <f>+J106</f>
        <v>31355881</v>
      </c>
      <c r="K8" s="427">
        <f t="shared" si="3"/>
        <v>12542352.4</v>
      </c>
      <c r="L8" s="433">
        <f t="shared" si="4"/>
        <v>18813528.599999998</v>
      </c>
      <c r="M8" s="730">
        <f t="shared" si="5"/>
        <v>1004983023.01</v>
      </c>
      <c r="N8" s="427">
        <f t="shared" si="6"/>
        <v>401993209.204</v>
      </c>
      <c r="O8" s="756">
        <f t="shared" si="7"/>
        <v>602989813.80599999</v>
      </c>
      <c r="S8" s="416"/>
      <c r="T8" s="416"/>
      <c r="U8" s="416"/>
      <c r="V8" s="416"/>
      <c r="W8" s="416"/>
      <c r="X8" s="416"/>
      <c r="Y8" s="416"/>
      <c r="Z8" s="416"/>
      <c r="AA8" s="416"/>
      <c r="AB8" s="416"/>
      <c r="AC8" s="416"/>
      <c r="AD8" s="416"/>
    </row>
    <row r="9" spans="1:30" s="414" customFormat="1">
      <c r="A9" s="434" t="s">
        <v>359</v>
      </c>
      <c r="B9" s="1121">
        <f>350000000-51483757</f>
        <v>298516243</v>
      </c>
      <c r="C9" s="723">
        <v>0.33333333333333331</v>
      </c>
      <c r="D9" s="437">
        <v>700000000</v>
      </c>
      <c r="E9" s="438">
        <v>0.66666666666666663</v>
      </c>
      <c r="F9" s="722">
        <f t="shared" si="2"/>
        <v>998516243</v>
      </c>
      <c r="G9" s="429">
        <v>892597996.64999986</v>
      </c>
      <c r="H9" s="430">
        <v>297532665.54999995</v>
      </c>
      <c r="I9" s="431">
        <v>595065331.0999999</v>
      </c>
      <c r="J9" s="439">
        <f>+J117</f>
        <v>0</v>
      </c>
      <c r="K9" s="427">
        <f t="shared" si="3"/>
        <v>0</v>
      </c>
      <c r="L9" s="433">
        <f t="shared" si="4"/>
        <v>0</v>
      </c>
      <c r="M9" s="730">
        <f t="shared" si="5"/>
        <v>892597996.64999986</v>
      </c>
      <c r="N9" s="427">
        <f t="shared" si="6"/>
        <v>297532665.54999995</v>
      </c>
      <c r="O9" s="756">
        <f t="shared" si="7"/>
        <v>595065331.0999999</v>
      </c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</row>
    <row r="10" spans="1:30" s="414" customFormat="1">
      <c r="A10" s="434" t="s">
        <v>372</v>
      </c>
      <c r="B10" s="435">
        <v>600000000</v>
      </c>
      <c r="C10" s="436">
        <f t="shared" si="0"/>
        <v>0.40600810798191639</v>
      </c>
      <c r="D10" s="437">
        <v>877803000</v>
      </c>
      <c r="E10" s="438">
        <f t="shared" si="1"/>
        <v>0.59399189201808356</v>
      </c>
      <c r="F10" s="722">
        <f t="shared" si="2"/>
        <v>1477803000</v>
      </c>
      <c r="G10" s="429">
        <v>1153369566.1500001</v>
      </c>
      <c r="H10" s="430">
        <v>468277395.35648531</v>
      </c>
      <c r="I10" s="431">
        <v>685092170.79351473</v>
      </c>
      <c r="J10" s="439">
        <f>+J112</f>
        <v>6913116</v>
      </c>
      <c r="K10" s="427">
        <f t="shared" si="3"/>
        <v>2806781.1474195137</v>
      </c>
      <c r="L10" s="433">
        <f t="shared" si="4"/>
        <v>4106334.8525804859</v>
      </c>
      <c r="M10" s="730">
        <f t="shared" si="5"/>
        <v>1160282682.1500001</v>
      </c>
      <c r="N10" s="427">
        <f t="shared" si="6"/>
        <v>471084176.50390482</v>
      </c>
      <c r="O10" s="756">
        <f t="shared" si="7"/>
        <v>689198505.64609528</v>
      </c>
      <c r="Q10" s="710"/>
      <c r="R10" s="729"/>
      <c r="S10" s="728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</row>
    <row r="11" spans="1:30" s="414" customFormat="1">
      <c r="A11" s="424" t="s">
        <v>466</v>
      </c>
      <c r="B11" s="425">
        <v>300000000</v>
      </c>
      <c r="C11" s="436">
        <f t="shared" si="0"/>
        <v>0.33333333333333331</v>
      </c>
      <c r="D11" s="427">
        <v>600000000</v>
      </c>
      <c r="E11" s="428">
        <f t="shared" ref="E11:E21" si="8">D11/F11</f>
        <v>0.66666666666666663</v>
      </c>
      <c r="F11" s="721">
        <f t="shared" ref="F11:F27" si="9">B11+D11</f>
        <v>900000000</v>
      </c>
      <c r="G11" s="429">
        <v>745930791.69000006</v>
      </c>
      <c r="H11" s="430">
        <v>248643597.23000002</v>
      </c>
      <c r="I11" s="431">
        <v>497287194.46000004</v>
      </c>
      <c r="J11" s="432">
        <f>+J182</f>
        <v>33621711</v>
      </c>
      <c r="K11" s="427">
        <f t="shared" ref="K11:K21" si="10">(+J11)*C11</f>
        <v>11207237</v>
      </c>
      <c r="L11" s="433">
        <f t="shared" ref="L11:L21" si="11">+(J11)*E11</f>
        <v>22414474</v>
      </c>
      <c r="M11" s="730">
        <f t="shared" ref="M11:M17" si="12">+G11+J11</f>
        <v>779552502.69000006</v>
      </c>
      <c r="N11" s="427">
        <f t="shared" ref="N11:N17" si="13">(M11)*C11</f>
        <v>259850834.23000002</v>
      </c>
      <c r="O11" s="756">
        <f t="shared" ref="O11:O22" si="14">(M11)*E11</f>
        <v>519701668.46000004</v>
      </c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</row>
    <row r="12" spans="1:30" s="414" customFormat="1">
      <c r="A12" s="434" t="s">
        <v>377</v>
      </c>
      <c r="B12" s="435">
        <v>300000000</v>
      </c>
      <c r="C12" s="436">
        <f t="shared" si="0"/>
        <v>0.33333333333333331</v>
      </c>
      <c r="D12" s="437">
        <v>600000000</v>
      </c>
      <c r="E12" s="438">
        <f t="shared" si="8"/>
        <v>0.66666666666666663</v>
      </c>
      <c r="F12" s="722">
        <f t="shared" si="9"/>
        <v>900000000</v>
      </c>
      <c r="G12" s="429">
        <v>885339804.17999983</v>
      </c>
      <c r="H12" s="430">
        <v>295113268.05999994</v>
      </c>
      <c r="I12" s="431">
        <v>590226536.11999989</v>
      </c>
      <c r="J12" s="432">
        <f>+J143</f>
        <v>5665107</v>
      </c>
      <c r="K12" s="427">
        <f t="shared" si="10"/>
        <v>1888369</v>
      </c>
      <c r="L12" s="433">
        <f t="shared" si="11"/>
        <v>3776738</v>
      </c>
      <c r="M12" s="730">
        <f t="shared" si="12"/>
        <v>891004911.17999983</v>
      </c>
      <c r="N12" s="427">
        <f t="shared" si="13"/>
        <v>297001637.05999994</v>
      </c>
      <c r="O12" s="756">
        <f t="shared" si="14"/>
        <v>594003274.11999989</v>
      </c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</row>
    <row r="13" spans="1:30" s="414" customFormat="1">
      <c r="A13" s="434" t="s">
        <v>378</v>
      </c>
      <c r="B13" s="435">
        <v>308000000</v>
      </c>
      <c r="C13" s="436">
        <f t="shared" si="0"/>
        <v>0.33333333333333331</v>
      </c>
      <c r="D13" s="437">
        <v>616000000</v>
      </c>
      <c r="E13" s="438">
        <f t="shared" si="8"/>
        <v>0.66666666666666663</v>
      </c>
      <c r="F13" s="722">
        <f t="shared" si="9"/>
        <v>924000000</v>
      </c>
      <c r="G13" s="429">
        <v>636603767</v>
      </c>
      <c r="H13" s="430">
        <v>212201255.66666666</v>
      </c>
      <c r="I13" s="431">
        <v>424402511.33333331</v>
      </c>
      <c r="J13" s="432">
        <f>+J165</f>
        <v>27773957</v>
      </c>
      <c r="K13" s="427">
        <f t="shared" si="10"/>
        <v>9257985.666666666</v>
      </c>
      <c r="L13" s="433">
        <f t="shared" si="11"/>
        <v>18515971.333333332</v>
      </c>
      <c r="M13" s="730">
        <f t="shared" si="12"/>
        <v>664377724</v>
      </c>
      <c r="N13" s="427">
        <f t="shared" si="13"/>
        <v>221459241.33333331</v>
      </c>
      <c r="O13" s="756">
        <f t="shared" si="14"/>
        <v>442918482.66666663</v>
      </c>
      <c r="S13" s="416"/>
      <c r="T13" s="416"/>
      <c r="U13" s="416"/>
      <c r="V13" s="416"/>
      <c r="W13" s="416"/>
      <c r="X13" s="416"/>
      <c r="Y13" s="416"/>
      <c r="Z13" s="416"/>
      <c r="AA13" s="416"/>
      <c r="AB13" s="416"/>
      <c r="AC13" s="416"/>
      <c r="AD13" s="416"/>
    </row>
    <row r="14" spans="1:30" s="414" customFormat="1">
      <c r="A14" s="434" t="s">
        <v>379</v>
      </c>
      <c r="B14" s="435">
        <v>500000000</v>
      </c>
      <c r="C14" s="436">
        <f t="shared" si="0"/>
        <v>0.36289658245772438</v>
      </c>
      <c r="D14" s="437">
        <v>877803000</v>
      </c>
      <c r="E14" s="438">
        <f t="shared" si="8"/>
        <v>0.63710341754227562</v>
      </c>
      <c r="F14" s="722">
        <f t="shared" si="9"/>
        <v>1377803000</v>
      </c>
      <c r="G14" s="429">
        <v>1222633970.52</v>
      </c>
      <c r="H14" s="430">
        <v>443689689.49842614</v>
      </c>
      <c r="I14" s="431">
        <v>778944281.0215739</v>
      </c>
      <c r="J14" s="432">
        <f>+J171</f>
        <v>0</v>
      </c>
      <c r="K14" s="427">
        <f t="shared" si="10"/>
        <v>0</v>
      </c>
      <c r="L14" s="433">
        <f>+(J14)*E14</f>
        <v>0</v>
      </c>
      <c r="M14" s="730">
        <f>+G14+J14</f>
        <v>1222633970.52</v>
      </c>
      <c r="N14" s="427">
        <f>(M14)*C14</f>
        <v>443689689.49842614</v>
      </c>
      <c r="O14" s="756">
        <f>(M14)*E14</f>
        <v>778944281.0215739</v>
      </c>
      <c r="R14" s="729"/>
      <c r="S14" s="728"/>
      <c r="T14" s="416"/>
      <c r="U14" s="416"/>
      <c r="V14" s="416"/>
      <c r="W14" s="416"/>
      <c r="X14" s="416"/>
      <c r="Y14" s="416"/>
      <c r="Z14" s="416"/>
      <c r="AA14" s="416"/>
      <c r="AB14" s="416"/>
      <c r="AC14" s="416"/>
      <c r="AD14" s="416"/>
    </row>
    <row r="15" spans="1:30" s="414" customFormat="1">
      <c r="A15" s="434" t="s">
        <v>380</v>
      </c>
      <c r="B15" s="435">
        <v>750000000</v>
      </c>
      <c r="C15" s="436">
        <f t="shared" si="0"/>
        <v>0.5</v>
      </c>
      <c r="D15" s="437">
        <v>750000000</v>
      </c>
      <c r="E15" s="438">
        <f t="shared" si="8"/>
        <v>0.5</v>
      </c>
      <c r="F15" s="722">
        <f t="shared" si="9"/>
        <v>1500000000</v>
      </c>
      <c r="G15" s="429">
        <v>1087787260.26</v>
      </c>
      <c r="H15" s="430">
        <v>543893630.13</v>
      </c>
      <c r="I15" s="431">
        <v>543893630.13</v>
      </c>
      <c r="J15" s="432">
        <f>+J137</f>
        <v>33474847</v>
      </c>
      <c r="K15" s="427">
        <f t="shared" si="10"/>
        <v>16737423.5</v>
      </c>
      <c r="L15" s="433">
        <f t="shared" si="11"/>
        <v>16737423.5</v>
      </c>
      <c r="M15" s="730">
        <f t="shared" si="12"/>
        <v>1121262107.26</v>
      </c>
      <c r="N15" s="427">
        <f t="shared" si="13"/>
        <v>560631053.63</v>
      </c>
      <c r="O15" s="756">
        <f t="shared" si="14"/>
        <v>560631053.63</v>
      </c>
      <c r="S15" s="416"/>
      <c r="T15" s="416"/>
      <c r="U15" s="416"/>
      <c r="V15" s="416"/>
      <c r="W15" s="416"/>
      <c r="X15" s="416"/>
      <c r="Y15" s="416"/>
      <c r="Z15" s="416"/>
      <c r="AA15" s="416"/>
      <c r="AB15" s="416"/>
      <c r="AC15" s="416"/>
      <c r="AD15" s="416"/>
    </row>
    <row r="16" spans="1:30" s="414" customFormat="1" ht="28.5">
      <c r="A16" s="434" t="s">
        <v>381</v>
      </c>
      <c r="B16" s="1121">
        <f>1000000000-539183391-88530000</f>
        <v>372286609</v>
      </c>
      <c r="C16" s="723">
        <v>0.5</v>
      </c>
      <c r="D16" s="437">
        <v>1000000000</v>
      </c>
      <c r="E16" s="724">
        <v>0.5</v>
      </c>
      <c r="F16" s="722">
        <f t="shared" si="9"/>
        <v>1372286609</v>
      </c>
      <c r="G16" s="429">
        <v>620164858</v>
      </c>
      <c r="H16" s="430">
        <v>310082429</v>
      </c>
      <c r="I16" s="431">
        <v>310082429</v>
      </c>
      <c r="J16" s="432">
        <f>+J149</f>
        <v>0</v>
      </c>
      <c r="K16" s="427">
        <f t="shared" si="10"/>
        <v>0</v>
      </c>
      <c r="L16" s="433">
        <f t="shared" si="11"/>
        <v>0</v>
      </c>
      <c r="M16" s="730">
        <f t="shared" si="12"/>
        <v>620164858</v>
      </c>
      <c r="N16" s="427">
        <f t="shared" si="13"/>
        <v>310082429</v>
      </c>
      <c r="O16" s="756">
        <f t="shared" si="14"/>
        <v>310082429</v>
      </c>
      <c r="S16" s="416"/>
      <c r="T16" s="416"/>
      <c r="U16" s="416"/>
      <c r="V16" s="416"/>
      <c r="W16" s="416"/>
      <c r="X16" s="416"/>
      <c r="Y16" s="416"/>
      <c r="Z16" s="416"/>
      <c r="AA16" s="416"/>
      <c r="AB16" s="416"/>
      <c r="AC16" s="416"/>
      <c r="AD16" s="416"/>
    </row>
    <row r="17" spans="1:30" s="414" customFormat="1" ht="28.5">
      <c r="A17" s="434" t="s">
        <v>382</v>
      </c>
      <c r="B17" s="435">
        <v>750000000</v>
      </c>
      <c r="C17" s="436">
        <f t="shared" si="0"/>
        <v>0.5</v>
      </c>
      <c r="D17" s="437">
        <v>750000000</v>
      </c>
      <c r="E17" s="438">
        <f t="shared" si="8"/>
        <v>0.5</v>
      </c>
      <c r="F17" s="722">
        <f t="shared" si="9"/>
        <v>1500000000</v>
      </c>
      <c r="G17" s="429">
        <v>1228503409.2299998</v>
      </c>
      <c r="H17" s="430">
        <v>614251704.61499989</v>
      </c>
      <c r="I17" s="431">
        <v>614251704.61499989</v>
      </c>
      <c r="J17" s="432">
        <f>+J159</f>
        <v>54187213</v>
      </c>
      <c r="K17" s="427">
        <f t="shared" si="10"/>
        <v>27093606.5</v>
      </c>
      <c r="L17" s="433">
        <f t="shared" si="11"/>
        <v>27093606.5</v>
      </c>
      <c r="M17" s="730">
        <f t="shared" si="12"/>
        <v>1282690622.2299998</v>
      </c>
      <c r="N17" s="427">
        <f t="shared" si="13"/>
        <v>641345311.11499989</v>
      </c>
      <c r="O17" s="756">
        <f t="shared" si="14"/>
        <v>641345311.11499989</v>
      </c>
      <c r="S17" s="416"/>
      <c r="T17" s="416"/>
      <c r="U17" s="416"/>
      <c r="V17" s="416"/>
      <c r="W17" s="416"/>
      <c r="X17" s="416"/>
      <c r="Y17" s="416"/>
      <c r="Z17" s="416"/>
      <c r="AA17" s="416"/>
      <c r="AB17" s="416"/>
      <c r="AC17" s="416"/>
      <c r="AD17" s="416"/>
    </row>
    <row r="18" spans="1:30" s="414" customFormat="1">
      <c r="A18" s="434" t="s">
        <v>383</v>
      </c>
      <c r="B18" s="435">
        <v>746132550</v>
      </c>
      <c r="C18" s="436">
        <f>B18/F18</f>
        <v>0.5</v>
      </c>
      <c r="D18" s="437">
        <v>746132550</v>
      </c>
      <c r="E18" s="438">
        <f t="shared" si="8"/>
        <v>0.5</v>
      </c>
      <c r="F18" s="722">
        <f t="shared" si="9"/>
        <v>1492265100</v>
      </c>
      <c r="G18" s="429">
        <v>1192833526.76</v>
      </c>
      <c r="H18" s="430">
        <v>596416763.38</v>
      </c>
      <c r="I18" s="431">
        <v>596416763.38</v>
      </c>
      <c r="J18" s="432">
        <f>+J130</f>
        <v>45624882.140000001</v>
      </c>
      <c r="K18" s="427">
        <f t="shared" si="10"/>
        <v>22812441.07</v>
      </c>
      <c r="L18" s="433">
        <f t="shared" si="11"/>
        <v>22812441.07</v>
      </c>
      <c r="M18" s="730">
        <f t="shared" ref="M18:M27" si="15">+G18+J18</f>
        <v>1238458408.9000001</v>
      </c>
      <c r="N18" s="427">
        <f t="shared" ref="N18:N27" si="16">(M18)*C18</f>
        <v>619229204.45000005</v>
      </c>
      <c r="O18" s="756">
        <f>(M18)*E18</f>
        <v>619229204.45000005</v>
      </c>
      <c r="S18" s="416"/>
      <c r="T18" s="416"/>
      <c r="U18" s="416"/>
      <c r="V18" s="416"/>
      <c r="W18" s="416"/>
      <c r="X18" s="416"/>
      <c r="Y18" s="416"/>
      <c r="Z18" s="416"/>
      <c r="AA18" s="416"/>
      <c r="AB18" s="416"/>
      <c r="AC18" s="416"/>
      <c r="AD18" s="416"/>
    </row>
    <row r="19" spans="1:30" s="414" customFormat="1">
      <c r="A19" s="434" t="s">
        <v>442</v>
      </c>
      <c r="B19" s="435">
        <v>571000000</v>
      </c>
      <c r="C19" s="436">
        <f>B19/F19</f>
        <v>0.4</v>
      </c>
      <c r="D19" s="437">
        <v>856500000</v>
      </c>
      <c r="E19" s="438">
        <f t="shared" si="8"/>
        <v>0.6</v>
      </c>
      <c r="F19" s="722">
        <f t="shared" si="9"/>
        <v>1427500000</v>
      </c>
      <c r="G19" s="429">
        <v>1273899782.95</v>
      </c>
      <c r="H19" s="430">
        <v>509559913.18000007</v>
      </c>
      <c r="I19" s="431">
        <v>764339869.76999998</v>
      </c>
      <c r="J19" s="432">
        <f>+J189</f>
        <v>26248998</v>
      </c>
      <c r="K19" s="427">
        <f t="shared" si="10"/>
        <v>10499599.200000001</v>
      </c>
      <c r="L19" s="433">
        <f>+(J19)*E19</f>
        <v>15749398.799999999</v>
      </c>
      <c r="M19" s="730">
        <f t="shared" si="15"/>
        <v>1300148780.95</v>
      </c>
      <c r="N19" s="427">
        <f t="shared" si="16"/>
        <v>520059512.38000005</v>
      </c>
      <c r="O19" s="756">
        <f>(M19)*E19</f>
        <v>780089268.57000005</v>
      </c>
      <c r="S19" s="416"/>
      <c r="T19" s="416"/>
      <c r="U19" s="416"/>
      <c r="V19" s="416"/>
      <c r="W19" s="416"/>
      <c r="X19" s="416"/>
      <c r="Y19" s="416"/>
      <c r="Z19" s="416"/>
      <c r="AA19" s="416"/>
      <c r="AB19" s="416"/>
      <c r="AC19" s="416"/>
      <c r="AD19" s="416"/>
    </row>
    <row r="20" spans="1:30" s="414" customFormat="1">
      <c r="A20" s="434" t="s">
        <v>486</v>
      </c>
      <c r="B20" s="435">
        <v>300000000</v>
      </c>
      <c r="C20" s="436">
        <f>B20/F20</f>
        <v>0.33333333333333331</v>
      </c>
      <c r="D20" s="437">
        <v>600000000</v>
      </c>
      <c r="E20" s="438">
        <f t="shared" si="8"/>
        <v>0.66666666666666663</v>
      </c>
      <c r="F20" s="722">
        <f t="shared" si="9"/>
        <v>900000000</v>
      </c>
      <c r="G20" s="429">
        <v>589242831.22000003</v>
      </c>
      <c r="H20" s="430">
        <v>196414277.07333332</v>
      </c>
      <c r="I20" s="431">
        <v>392828554.14666665</v>
      </c>
      <c r="J20" s="432">
        <f>+J235</f>
        <v>48446192</v>
      </c>
      <c r="K20" s="427">
        <f t="shared" si="10"/>
        <v>16148730.666666666</v>
      </c>
      <c r="L20" s="433">
        <f t="shared" si="11"/>
        <v>32297461.333333332</v>
      </c>
      <c r="M20" s="429">
        <f t="shared" si="15"/>
        <v>637689023.22000003</v>
      </c>
      <c r="N20" s="427">
        <f t="shared" si="16"/>
        <v>212563007.74000001</v>
      </c>
      <c r="O20" s="756">
        <f>(M20)*E20</f>
        <v>425126015.48000002</v>
      </c>
      <c r="S20" s="416"/>
      <c r="T20" s="416"/>
      <c r="U20" s="416"/>
      <c r="V20" s="416"/>
      <c r="W20" s="416"/>
      <c r="X20" s="416"/>
      <c r="Y20" s="416"/>
      <c r="Z20" s="416"/>
      <c r="AA20" s="416"/>
      <c r="AB20" s="416"/>
      <c r="AC20" s="416"/>
      <c r="AD20" s="416"/>
    </row>
    <row r="21" spans="1:30" s="414" customFormat="1">
      <c r="A21" s="434" t="s">
        <v>487</v>
      </c>
      <c r="B21" s="435">
        <v>1000000000</v>
      </c>
      <c r="C21" s="436">
        <f>B21/F21</f>
        <v>0.5</v>
      </c>
      <c r="D21" s="437">
        <v>1000000000</v>
      </c>
      <c r="E21" s="438">
        <f t="shared" si="8"/>
        <v>0.5</v>
      </c>
      <c r="F21" s="722">
        <f t="shared" si="9"/>
        <v>2000000000</v>
      </c>
      <c r="G21" s="429">
        <v>1860363628.4200001</v>
      </c>
      <c r="H21" s="430">
        <v>930181814.21000004</v>
      </c>
      <c r="I21" s="431">
        <v>930181814.21000004</v>
      </c>
      <c r="J21" s="432">
        <f>+J204</f>
        <v>51282267.670000002</v>
      </c>
      <c r="K21" s="427">
        <f t="shared" si="10"/>
        <v>25641133.835000001</v>
      </c>
      <c r="L21" s="433">
        <f t="shared" si="11"/>
        <v>25641133.835000001</v>
      </c>
      <c r="M21" s="429">
        <f t="shared" si="15"/>
        <v>1911645896.0900002</v>
      </c>
      <c r="N21" s="427">
        <f t="shared" si="16"/>
        <v>955822948.04500008</v>
      </c>
      <c r="O21" s="756">
        <f>(M21)*E21</f>
        <v>955822948.04500008</v>
      </c>
      <c r="S21" s="416"/>
      <c r="T21" s="416"/>
      <c r="U21" s="416"/>
      <c r="V21" s="416"/>
      <c r="W21" s="416"/>
      <c r="X21" s="416"/>
      <c r="Y21" s="416"/>
      <c r="Z21" s="416"/>
      <c r="AA21" s="416"/>
      <c r="AB21" s="416"/>
      <c r="AC21" s="416"/>
      <c r="AD21" s="416"/>
    </row>
    <row r="22" spans="1:30" s="710" customFormat="1">
      <c r="A22" s="1002" t="s">
        <v>488</v>
      </c>
      <c r="B22" s="1122">
        <f>1485000000-685000000</f>
        <v>800000000</v>
      </c>
      <c r="C22" s="1003">
        <v>0.5</v>
      </c>
      <c r="D22" s="722">
        <v>800000000</v>
      </c>
      <c r="E22" s="1004">
        <v>0.5</v>
      </c>
      <c r="F22" s="722">
        <f t="shared" si="9"/>
        <v>1600000000</v>
      </c>
      <c r="G22" s="730">
        <v>1203079570.6500001</v>
      </c>
      <c r="H22" s="430">
        <v>601539785.32500005</v>
      </c>
      <c r="I22" s="431">
        <v>601539785.32500005</v>
      </c>
      <c r="J22" s="432">
        <f>+J219</f>
        <v>45189474.159999996</v>
      </c>
      <c r="K22" s="721">
        <f>(+J22)*C22</f>
        <v>22594737.079999998</v>
      </c>
      <c r="L22" s="756">
        <f>+(J22)*E22</f>
        <v>22594737.079999998</v>
      </c>
      <c r="M22" s="730">
        <f t="shared" si="15"/>
        <v>1248269044.8100002</v>
      </c>
      <c r="N22" s="721">
        <f t="shared" si="16"/>
        <v>624134522.40500009</v>
      </c>
      <c r="O22" s="756">
        <f t="shared" si="14"/>
        <v>624134522.40500009</v>
      </c>
      <c r="S22" s="1005"/>
      <c r="T22" s="1005"/>
      <c r="U22" s="1005"/>
      <c r="V22" s="1005"/>
      <c r="W22" s="1005"/>
      <c r="X22" s="1005"/>
      <c r="Y22" s="1005"/>
      <c r="Z22" s="1005"/>
      <c r="AA22" s="1005"/>
      <c r="AB22" s="1005"/>
      <c r="AC22" s="1005"/>
      <c r="AD22" s="1005"/>
    </row>
    <row r="23" spans="1:30" s="710" customFormat="1">
      <c r="A23" s="1002" t="s">
        <v>488</v>
      </c>
      <c r="B23" s="466">
        <v>685000000</v>
      </c>
      <c r="C23" s="1003">
        <v>1</v>
      </c>
      <c r="D23" s="769">
        <v>0</v>
      </c>
      <c r="E23" s="1004">
        <v>0</v>
      </c>
      <c r="F23" s="722">
        <f t="shared" si="9"/>
        <v>685000000</v>
      </c>
      <c r="G23" s="1006">
        <v>0</v>
      </c>
      <c r="H23" s="1007">
        <v>0</v>
      </c>
      <c r="I23" s="1008">
        <v>0</v>
      </c>
      <c r="J23" s="432">
        <v>0</v>
      </c>
      <c r="K23" s="721">
        <v>0</v>
      </c>
      <c r="L23" s="756">
        <v>0</v>
      </c>
      <c r="M23" s="730">
        <v>0</v>
      </c>
      <c r="N23" s="721">
        <v>0</v>
      </c>
      <c r="O23" s="756">
        <v>0</v>
      </c>
      <c r="S23" s="1005"/>
      <c r="T23" s="1005"/>
      <c r="U23" s="1005"/>
      <c r="V23" s="1005"/>
      <c r="W23" s="1005"/>
      <c r="X23" s="1005"/>
      <c r="Y23" s="1005"/>
      <c r="Z23" s="1005"/>
      <c r="AA23" s="1005"/>
      <c r="AB23" s="1005"/>
      <c r="AC23" s="1005"/>
      <c r="AD23" s="1005"/>
    </row>
    <row r="24" spans="1:30" s="414" customFormat="1">
      <c r="A24" s="464" t="s">
        <v>300</v>
      </c>
      <c r="B24" s="767">
        <v>273000000</v>
      </c>
      <c r="C24" s="436">
        <f t="shared" si="0"/>
        <v>0.33333333333333331</v>
      </c>
      <c r="D24" s="768">
        <v>546000000</v>
      </c>
      <c r="E24" s="438">
        <f>D24/F24</f>
        <v>0.66666666666666663</v>
      </c>
      <c r="F24" s="722">
        <f t="shared" si="9"/>
        <v>819000000</v>
      </c>
      <c r="G24" s="769">
        <v>506284506.16999996</v>
      </c>
      <c r="H24" s="769">
        <v>168761502.05666664</v>
      </c>
      <c r="I24" s="769">
        <v>337523004.11333328</v>
      </c>
      <c r="J24" s="432">
        <f>+J247</f>
        <v>45108658</v>
      </c>
      <c r="K24" s="427">
        <f>(+J24)*C24</f>
        <v>15036219.333333332</v>
      </c>
      <c r="L24" s="433">
        <f>+(J24)*E24</f>
        <v>30072438.666666664</v>
      </c>
      <c r="M24" s="429">
        <f t="shared" si="15"/>
        <v>551393164.16999996</v>
      </c>
      <c r="N24" s="427">
        <f t="shared" si="16"/>
        <v>183797721.38999999</v>
      </c>
      <c r="O24" s="756">
        <f>(M24)*E24</f>
        <v>367595442.77999997</v>
      </c>
      <c r="S24" s="416"/>
      <c r="T24" s="416"/>
      <c r="U24" s="416"/>
      <c r="V24" s="416"/>
      <c r="W24" s="416"/>
      <c r="X24" s="416"/>
      <c r="Y24" s="416"/>
      <c r="Z24" s="416"/>
      <c r="AA24" s="416"/>
      <c r="AB24" s="416"/>
      <c r="AC24" s="416"/>
      <c r="AD24" s="416"/>
    </row>
    <row r="25" spans="1:30" s="414" customFormat="1" ht="28.5">
      <c r="A25" s="969" t="s">
        <v>632</v>
      </c>
      <c r="B25" s="767">
        <v>650000000</v>
      </c>
      <c r="C25" s="436">
        <f t="shared" si="0"/>
        <v>0.41935483870967744</v>
      </c>
      <c r="D25" s="768">
        <v>900000000</v>
      </c>
      <c r="E25" s="438">
        <f>D25/F25</f>
        <v>0.58064516129032262</v>
      </c>
      <c r="F25" s="722">
        <f t="shared" si="9"/>
        <v>1550000000</v>
      </c>
      <c r="G25" s="769">
        <v>941337980.64999998</v>
      </c>
      <c r="H25" s="769">
        <v>394754637.04677421</v>
      </c>
      <c r="I25" s="769">
        <v>546583343.60322583</v>
      </c>
      <c r="J25" s="432">
        <f>+J263</f>
        <v>81988281.280000001</v>
      </c>
      <c r="K25" s="427">
        <f>(+J25)*C25</f>
        <v>34382182.472258069</v>
      </c>
      <c r="L25" s="433">
        <f>+(J25)*E25</f>
        <v>47606098.80774194</v>
      </c>
      <c r="M25" s="429">
        <f t="shared" si="15"/>
        <v>1023326261.9299999</v>
      </c>
      <c r="N25" s="427">
        <f t="shared" si="16"/>
        <v>429136819.51903224</v>
      </c>
      <c r="O25" s="756">
        <f>(M25)*E25</f>
        <v>594189442.41096771</v>
      </c>
      <c r="S25" s="416"/>
      <c r="T25" s="416"/>
      <c r="U25" s="416"/>
      <c r="V25" s="416"/>
      <c r="W25" s="416"/>
      <c r="X25" s="416"/>
      <c r="Y25" s="416"/>
      <c r="Z25" s="416"/>
      <c r="AA25" s="416"/>
      <c r="AB25" s="416"/>
      <c r="AC25" s="416"/>
      <c r="AD25" s="416"/>
    </row>
    <row r="26" spans="1:30" s="414" customFormat="1">
      <c r="A26" s="968" t="s">
        <v>391</v>
      </c>
      <c r="B26" s="767">
        <v>600000000</v>
      </c>
      <c r="C26" s="436">
        <f t="shared" si="0"/>
        <v>0.4</v>
      </c>
      <c r="D26" s="768">
        <v>900000000</v>
      </c>
      <c r="E26" s="438">
        <f>D26/F26</f>
        <v>0.6</v>
      </c>
      <c r="F26" s="722">
        <f t="shared" si="9"/>
        <v>1500000000</v>
      </c>
      <c r="G26" s="769">
        <v>847851207.66000009</v>
      </c>
      <c r="H26" s="769">
        <v>339140483.06400007</v>
      </c>
      <c r="I26" s="769">
        <v>508710724.59600002</v>
      </c>
      <c r="J26" s="432">
        <f>+J282</f>
        <v>107207748.02</v>
      </c>
      <c r="K26" s="427">
        <f>(+J26)*C26</f>
        <v>42883099.208000004</v>
      </c>
      <c r="L26" s="433">
        <f>+(J26)*E26</f>
        <v>64324648.811999992</v>
      </c>
      <c r="M26" s="429">
        <f t="shared" si="15"/>
        <v>955058955.68000007</v>
      </c>
      <c r="N26" s="427">
        <f t="shared" si="16"/>
        <v>382023582.27200007</v>
      </c>
      <c r="O26" s="756">
        <f>(M26)*E26</f>
        <v>573035373.40799999</v>
      </c>
      <c r="S26" s="416"/>
      <c r="T26" s="416"/>
      <c r="U26" s="416"/>
      <c r="V26" s="416"/>
      <c r="W26" s="416"/>
      <c r="X26" s="416"/>
      <c r="Y26" s="416"/>
      <c r="Z26" s="416"/>
      <c r="AA26" s="416"/>
      <c r="AB26" s="416"/>
      <c r="AC26" s="416"/>
      <c r="AD26" s="416"/>
    </row>
    <row r="27" spans="1:30" s="414" customFormat="1">
      <c r="A27" s="968" t="s">
        <v>385</v>
      </c>
      <c r="B27" s="767">
        <v>300000000</v>
      </c>
      <c r="C27" s="436">
        <f t="shared" si="0"/>
        <v>0.33333333333333331</v>
      </c>
      <c r="D27" s="768">
        <v>600000000</v>
      </c>
      <c r="E27" s="438">
        <f>D27/F27</f>
        <v>0.66666666666666663</v>
      </c>
      <c r="F27" s="722">
        <f t="shared" si="9"/>
        <v>900000000</v>
      </c>
      <c r="G27" s="769">
        <v>660502251.10000002</v>
      </c>
      <c r="H27" s="769">
        <v>220167417.03333333</v>
      </c>
      <c r="I27" s="769">
        <v>440334834.06666666</v>
      </c>
      <c r="J27" s="432">
        <f>+J293</f>
        <v>54493488.780000001</v>
      </c>
      <c r="K27" s="427">
        <f>(+J27)*C27</f>
        <v>18164496.259999998</v>
      </c>
      <c r="L27" s="433">
        <f>+(J27)*E27</f>
        <v>36328992.519999996</v>
      </c>
      <c r="M27" s="429">
        <f t="shared" si="15"/>
        <v>714995739.88</v>
      </c>
      <c r="N27" s="427">
        <f t="shared" si="16"/>
        <v>238331913.29333332</v>
      </c>
      <c r="O27" s="756">
        <f>(M27)*E27</f>
        <v>476663826.58666664</v>
      </c>
      <c r="S27" s="416"/>
      <c r="T27" s="416"/>
      <c r="U27" s="416"/>
      <c r="V27" s="416"/>
      <c r="W27" s="416"/>
      <c r="X27" s="416"/>
      <c r="Y27" s="416"/>
      <c r="Z27" s="416"/>
      <c r="AA27" s="416"/>
      <c r="AB27" s="416"/>
      <c r="AC27" s="416"/>
      <c r="AD27" s="416"/>
    </row>
    <row r="28" spans="1:30" s="414" customFormat="1" ht="15.75" thickBot="1">
      <c r="A28" s="440"/>
      <c r="B28" s="441">
        <f>SUM(B5:B27)</f>
        <v>12503935402</v>
      </c>
      <c r="C28" s="442"/>
      <c r="D28" s="441">
        <f>SUM(D5:D27)</f>
        <v>17098041550</v>
      </c>
      <c r="E28" s="443"/>
      <c r="F28" s="441">
        <f>SUM(F5:F27)</f>
        <v>29601976952</v>
      </c>
      <c r="G28" s="441">
        <f t="shared" ref="G28:O28" si="17">SUM(G5:G27)</f>
        <v>22030720150.799999</v>
      </c>
      <c r="H28" s="441">
        <f t="shared" si="17"/>
        <v>9278592780.3152885</v>
      </c>
      <c r="I28" s="441">
        <f t="shared" si="17"/>
        <v>12752127370.484711</v>
      </c>
      <c r="J28" s="441">
        <f>SUM(J5:J27)</f>
        <v>706693334.04999995</v>
      </c>
      <c r="K28" s="441">
        <f>SUM(K5:K27)</f>
        <v>293752150.33934426</v>
      </c>
      <c r="L28" s="441">
        <f>SUM(L5:L27)</f>
        <v>412941183.71065575</v>
      </c>
      <c r="M28" s="441">
        <f>SUM(M5:M27)</f>
        <v>22737413484.850002</v>
      </c>
      <c r="N28" s="441">
        <f t="shared" si="17"/>
        <v>9572344930.6546326</v>
      </c>
      <c r="O28" s="441">
        <f t="shared" si="17"/>
        <v>13165068554.195366</v>
      </c>
      <c r="S28" s="407"/>
      <c r="T28" s="407"/>
      <c r="U28" s="407"/>
      <c r="V28" s="416"/>
      <c r="W28" s="416"/>
      <c r="X28" s="416"/>
      <c r="Y28" s="416"/>
      <c r="Z28" s="416"/>
      <c r="AA28" s="416"/>
      <c r="AB28" s="416"/>
      <c r="AC28" s="416"/>
      <c r="AD28" s="416"/>
    </row>
    <row r="29" spans="1:30" s="414" customFormat="1" ht="15">
      <c r="A29" s="409"/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16"/>
      <c r="Q29" s="416"/>
      <c r="R29" s="416"/>
      <c r="S29" s="416"/>
      <c r="T29" s="416"/>
      <c r="U29" s="416"/>
      <c r="V29" s="416"/>
      <c r="W29" s="416"/>
      <c r="X29" s="416"/>
      <c r="Y29" s="416"/>
      <c r="Z29" s="416"/>
      <c r="AA29" s="416"/>
      <c r="AB29" s="416"/>
      <c r="AC29" s="416"/>
      <c r="AD29" s="416"/>
    </row>
    <row r="30" spans="1:30" s="450" customFormat="1" ht="15">
      <c r="A30" s="409" t="s">
        <v>356</v>
      </c>
      <c r="B30" s="446"/>
      <c r="C30" s="447"/>
      <c r="D30" s="446"/>
      <c r="E30" s="448"/>
      <c r="F30" s="446"/>
      <c r="G30" s="447"/>
      <c r="H30" s="447"/>
      <c r="I30" s="447"/>
      <c r="J30" s="447"/>
      <c r="K30" s="447"/>
      <c r="L30" s="447"/>
      <c r="M30" s="447"/>
      <c r="N30" s="447"/>
      <c r="O30" s="447"/>
      <c r="Q30" s="451"/>
      <c r="R30" s="451"/>
      <c r="S30" s="451"/>
      <c r="T30" s="451"/>
      <c r="U30" s="451"/>
      <c r="V30" s="451"/>
      <c r="W30" s="451"/>
      <c r="X30" s="451"/>
      <c r="Y30" s="451"/>
      <c r="Z30" s="451"/>
      <c r="AA30" s="451"/>
      <c r="AB30" s="451"/>
      <c r="AC30" s="451"/>
      <c r="AD30" s="451"/>
    </row>
    <row r="31" spans="1:30" s="450" customFormat="1" ht="15">
      <c r="A31" s="452"/>
      <c r="B31" s="446"/>
      <c r="C31" s="447"/>
      <c r="D31" s="446"/>
      <c r="E31" s="448"/>
      <c r="F31" s="446"/>
      <c r="G31" s="447"/>
      <c r="H31" s="449"/>
      <c r="I31" s="449"/>
      <c r="J31" s="449"/>
      <c r="K31" s="449"/>
      <c r="L31" s="449"/>
      <c r="M31" s="449"/>
      <c r="N31" s="449"/>
      <c r="O31" s="414"/>
      <c r="Q31" s="451"/>
      <c r="R31" s="451"/>
      <c r="S31" s="451"/>
      <c r="T31" s="451"/>
      <c r="U31" s="451"/>
      <c r="V31" s="451"/>
      <c r="W31" s="451"/>
      <c r="X31" s="451"/>
      <c r="Y31" s="451"/>
      <c r="Z31" s="451"/>
      <c r="AA31" s="451"/>
      <c r="AB31" s="451"/>
      <c r="AC31" s="451"/>
      <c r="AD31" s="451"/>
    </row>
    <row r="32" spans="1:30" s="450" customFormat="1" ht="15.75" thickBot="1">
      <c r="A32" s="409" t="s">
        <v>337</v>
      </c>
      <c r="B32" s="446"/>
      <c r="C32" s="447"/>
      <c r="D32" s="446"/>
      <c r="E32" s="448"/>
      <c r="F32" s="446"/>
      <c r="G32" s="447"/>
      <c r="H32" s="449"/>
      <c r="I32" s="449"/>
      <c r="J32" s="449"/>
      <c r="K32" s="449"/>
      <c r="L32" s="449"/>
      <c r="M32" s="449"/>
      <c r="N32" s="449"/>
      <c r="O32" s="414"/>
      <c r="Q32" s="451"/>
      <c r="R32" s="451"/>
      <c r="S32" s="451"/>
      <c r="T32" s="451"/>
      <c r="U32" s="451"/>
      <c r="V32" s="451"/>
      <c r="W32" s="451"/>
      <c r="X32" s="451"/>
      <c r="Y32" s="451"/>
      <c r="Z32" s="451"/>
      <c r="AA32" s="451"/>
      <c r="AB32" s="451"/>
      <c r="AC32" s="451"/>
      <c r="AD32" s="451"/>
    </row>
    <row r="33" spans="1:30" s="450" customFormat="1" ht="15">
      <c r="A33" s="1229" t="s">
        <v>25</v>
      </c>
      <c r="B33" s="1231" t="s">
        <v>329</v>
      </c>
      <c r="C33" s="1231"/>
      <c r="D33" s="1231"/>
      <c r="E33" s="1242" t="s">
        <v>330</v>
      </c>
      <c r="F33" s="1242"/>
      <c r="G33" s="1242"/>
      <c r="H33" s="1243" t="s">
        <v>357</v>
      </c>
      <c r="I33" s="1243"/>
      <c r="J33" s="1244"/>
      <c r="K33" s="449"/>
      <c r="L33" s="449"/>
      <c r="M33" s="449"/>
      <c r="N33" s="449"/>
      <c r="O33" s="414"/>
      <c r="Q33" s="451"/>
      <c r="R33" s="451"/>
      <c r="S33" s="451"/>
      <c r="T33" s="451"/>
      <c r="U33" s="451"/>
      <c r="V33" s="451"/>
      <c r="W33" s="451"/>
      <c r="X33" s="451"/>
      <c r="Y33" s="451"/>
      <c r="Z33" s="451"/>
      <c r="AA33" s="451"/>
      <c r="AB33" s="451"/>
      <c r="AC33" s="451"/>
      <c r="AD33" s="451"/>
    </row>
    <row r="34" spans="1:30" s="450" customFormat="1" ht="30">
      <c r="A34" s="1230"/>
      <c r="B34" s="455" t="s">
        <v>338</v>
      </c>
      <c r="C34" s="455" t="s">
        <v>339</v>
      </c>
      <c r="D34" s="455" t="s">
        <v>340</v>
      </c>
      <c r="E34" s="455" t="s">
        <v>1163</v>
      </c>
      <c r="F34" s="455" t="s">
        <v>339</v>
      </c>
      <c r="G34" s="455" t="s">
        <v>340</v>
      </c>
      <c r="H34" s="455" t="s">
        <v>341</v>
      </c>
      <c r="I34" s="455" t="s">
        <v>339</v>
      </c>
      <c r="J34" s="456" t="s">
        <v>340</v>
      </c>
      <c r="K34" s="449"/>
      <c r="L34" s="449"/>
      <c r="M34" s="449"/>
      <c r="N34" s="449"/>
      <c r="O34" s="414"/>
      <c r="Q34" s="451"/>
      <c r="R34" s="451"/>
      <c r="S34" s="451"/>
      <c r="T34" s="451"/>
      <c r="U34" s="451"/>
      <c r="V34" s="451"/>
      <c r="W34" s="451"/>
      <c r="X34" s="451"/>
      <c r="Y34" s="451"/>
      <c r="Z34" s="451"/>
      <c r="AA34" s="451"/>
      <c r="AB34" s="451"/>
      <c r="AC34" s="451"/>
      <c r="AD34" s="451"/>
    </row>
    <row r="35" spans="1:30" s="450" customFormat="1" ht="15">
      <c r="A35" s="424" t="s">
        <v>221</v>
      </c>
      <c r="B35" s="437">
        <v>7279146.3433200009</v>
      </c>
      <c r="C35" s="457">
        <v>3639573.1716600005</v>
      </c>
      <c r="D35" s="457">
        <v>3639573.1716600005</v>
      </c>
      <c r="E35" s="457">
        <f t="shared" ref="E35:E52" si="18">+J5*0.004</f>
        <v>32446.047999999999</v>
      </c>
      <c r="F35" s="437">
        <f t="shared" ref="F35:F52" si="19">+E35*C5</f>
        <v>16223.023999999999</v>
      </c>
      <c r="G35" s="437">
        <f t="shared" ref="G35:G52" si="20">+E35*E5</f>
        <v>16223.023999999999</v>
      </c>
      <c r="H35" s="437">
        <f>+B35+E35</f>
        <v>7311592.3913200013</v>
      </c>
      <c r="I35" s="437">
        <f>+C35+F35</f>
        <v>3655796.1956600007</v>
      </c>
      <c r="J35" s="458">
        <f>+D35+G35</f>
        <v>3655796.1956600007</v>
      </c>
      <c r="K35" s="449"/>
      <c r="L35" s="449"/>
      <c r="M35" s="449"/>
      <c r="N35" s="449"/>
      <c r="O35" s="414"/>
      <c r="Q35" s="451"/>
      <c r="R35" s="451"/>
      <c r="S35" s="451"/>
      <c r="T35" s="451"/>
      <c r="U35" s="451"/>
      <c r="V35" s="451"/>
      <c r="W35" s="451"/>
      <c r="X35" s="451"/>
      <c r="Y35" s="451"/>
      <c r="Z35" s="451"/>
      <c r="AA35" s="451"/>
      <c r="AB35" s="451"/>
      <c r="AC35" s="451"/>
      <c r="AD35" s="451"/>
    </row>
    <row r="36" spans="1:30" s="450" customFormat="1" ht="15">
      <c r="A36" s="434" t="s">
        <v>352</v>
      </c>
      <c r="B36" s="437">
        <v>3468247.3652000003</v>
      </c>
      <c r="C36" s="457">
        <v>1258615.1159490873</v>
      </c>
      <c r="D36" s="457">
        <v>2209632.2492509126</v>
      </c>
      <c r="E36" s="457">
        <f t="shared" si="18"/>
        <v>0</v>
      </c>
      <c r="F36" s="437">
        <f t="shared" si="19"/>
        <v>0</v>
      </c>
      <c r="G36" s="437">
        <f t="shared" si="20"/>
        <v>0</v>
      </c>
      <c r="H36" s="437">
        <f t="shared" ref="H36:J40" si="21">+B36+E36</f>
        <v>3468247.3652000003</v>
      </c>
      <c r="I36" s="437">
        <f t="shared" si="21"/>
        <v>1258615.1159490873</v>
      </c>
      <c r="J36" s="458">
        <f t="shared" si="21"/>
        <v>2209632.2492509126</v>
      </c>
      <c r="K36" s="449"/>
      <c r="L36" s="449"/>
      <c r="M36" s="449"/>
      <c r="N36" s="449"/>
      <c r="O36" s="414"/>
      <c r="Q36" s="451"/>
      <c r="R36" s="451"/>
      <c r="S36" s="451"/>
      <c r="T36" s="451"/>
      <c r="U36" s="451"/>
      <c r="V36" s="451"/>
      <c r="W36" s="451"/>
      <c r="X36" s="451"/>
      <c r="Y36" s="451"/>
      <c r="Z36" s="451"/>
      <c r="AA36" s="451"/>
      <c r="AB36" s="451"/>
      <c r="AC36" s="451"/>
      <c r="AD36" s="451"/>
    </row>
    <row r="37" spans="1:30" s="450" customFormat="1" ht="15">
      <c r="A37" s="434" t="s">
        <v>353</v>
      </c>
      <c r="B37" s="437">
        <v>3287671.4896</v>
      </c>
      <c r="C37" s="457">
        <v>1095890.4965333333</v>
      </c>
      <c r="D37" s="457">
        <v>2191780.9930666666</v>
      </c>
      <c r="E37" s="457">
        <f t="shared" si="18"/>
        <v>0</v>
      </c>
      <c r="F37" s="437">
        <f t="shared" si="19"/>
        <v>0</v>
      </c>
      <c r="G37" s="437">
        <f t="shared" si="20"/>
        <v>0</v>
      </c>
      <c r="H37" s="437">
        <f t="shared" si="21"/>
        <v>3287671.4896</v>
      </c>
      <c r="I37" s="437">
        <f t="shared" si="21"/>
        <v>1095890.4965333333</v>
      </c>
      <c r="J37" s="458">
        <f t="shared" si="21"/>
        <v>2191780.9930666666</v>
      </c>
      <c r="K37" s="449"/>
      <c r="L37" s="449"/>
      <c r="M37" s="449"/>
      <c r="N37" s="449"/>
      <c r="O37" s="414"/>
      <c r="Q37" s="451"/>
      <c r="R37" s="451"/>
      <c r="S37" s="451"/>
      <c r="T37" s="451"/>
      <c r="U37" s="451"/>
      <c r="V37" s="451"/>
      <c r="W37" s="451"/>
      <c r="X37" s="451"/>
      <c r="Y37" s="451"/>
      <c r="Z37" s="451"/>
      <c r="AA37" s="451"/>
      <c r="AB37" s="451"/>
      <c r="AC37" s="451"/>
      <c r="AD37" s="451"/>
    </row>
    <row r="38" spans="1:30" s="450" customFormat="1" ht="15">
      <c r="A38" s="434" t="s">
        <v>355</v>
      </c>
      <c r="B38" s="437">
        <v>3894508.5680399998</v>
      </c>
      <c r="C38" s="457">
        <v>1557803.4272160002</v>
      </c>
      <c r="D38" s="457">
        <v>2336705.1408240004</v>
      </c>
      <c r="E38" s="457">
        <f t="shared" si="18"/>
        <v>125423.524</v>
      </c>
      <c r="F38" s="437">
        <f t="shared" si="19"/>
        <v>50169.409600000006</v>
      </c>
      <c r="G38" s="437">
        <f t="shared" si="20"/>
        <v>75254.114400000006</v>
      </c>
      <c r="H38" s="437">
        <f t="shared" ref="H38:J39" si="22">+B38+E38</f>
        <v>4019932.09204</v>
      </c>
      <c r="I38" s="437">
        <f t="shared" si="22"/>
        <v>1607972.8368160001</v>
      </c>
      <c r="J38" s="458">
        <f t="shared" si="22"/>
        <v>2411959.2552240002</v>
      </c>
      <c r="K38" s="449"/>
      <c r="L38" s="449"/>
      <c r="M38" s="449"/>
      <c r="N38" s="449"/>
      <c r="O38" s="414"/>
      <c r="Q38" s="451"/>
      <c r="R38" s="451"/>
      <c r="S38" s="451"/>
      <c r="T38" s="451"/>
      <c r="U38" s="451"/>
      <c r="V38" s="451"/>
      <c r="W38" s="451"/>
      <c r="X38" s="451"/>
      <c r="Y38" s="451"/>
      <c r="Z38" s="451"/>
      <c r="AA38" s="451"/>
      <c r="AB38" s="451"/>
      <c r="AC38" s="451"/>
      <c r="AD38" s="451"/>
    </row>
    <row r="39" spans="1:30" s="450" customFormat="1" ht="15">
      <c r="A39" s="434" t="s">
        <v>359</v>
      </c>
      <c r="B39" s="437">
        <v>3570391.9865999999</v>
      </c>
      <c r="C39" s="457">
        <v>1190130.6622000001</v>
      </c>
      <c r="D39" s="457">
        <v>2380261.3244000003</v>
      </c>
      <c r="E39" s="457">
        <f t="shared" si="18"/>
        <v>0</v>
      </c>
      <c r="F39" s="437">
        <f t="shared" si="19"/>
        <v>0</v>
      </c>
      <c r="G39" s="437">
        <f t="shared" si="20"/>
        <v>0</v>
      </c>
      <c r="H39" s="437">
        <f t="shared" si="22"/>
        <v>3570391.9865999999</v>
      </c>
      <c r="I39" s="437">
        <f t="shared" si="22"/>
        <v>1190130.6622000001</v>
      </c>
      <c r="J39" s="458">
        <f t="shared" si="22"/>
        <v>2380261.3244000003</v>
      </c>
      <c r="K39" s="449"/>
      <c r="L39" s="449"/>
      <c r="M39" s="449"/>
      <c r="N39" s="449"/>
      <c r="O39" s="414"/>
      <c r="Q39" s="451"/>
      <c r="R39" s="451"/>
      <c r="S39" s="451"/>
      <c r="T39" s="451"/>
      <c r="U39" s="451"/>
      <c r="V39" s="451"/>
      <c r="W39" s="451"/>
      <c r="X39" s="451"/>
      <c r="Y39" s="451"/>
      <c r="Z39" s="451"/>
      <c r="AA39" s="451"/>
      <c r="AB39" s="451"/>
      <c r="AC39" s="451"/>
      <c r="AD39" s="451"/>
    </row>
    <row r="40" spans="1:30" s="450" customFormat="1" ht="15">
      <c r="A40" s="434" t="s">
        <v>372</v>
      </c>
      <c r="B40" s="437">
        <v>4613478.2646000013</v>
      </c>
      <c r="C40" s="457">
        <v>1873109.5814259413</v>
      </c>
      <c r="D40" s="457">
        <v>2740368.6831740593</v>
      </c>
      <c r="E40" s="457">
        <f t="shared" si="18"/>
        <v>27652.464</v>
      </c>
      <c r="F40" s="437">
        <f t="shared" si="19"/>
        <v>11227.124589678055</v>
      </c>
      <c r="G40" s="437">
        <f t="shared" si="20"/>
        <v>16425.339410321943</v>
      </c>
      <c r="H40" s="437">
        <f t="shared" si="21"/>
        <v>4641130.728600001</v>
      </c>
      <c r="I40" s="437">
        <f t="shared" si="21"/>
        <v>1884336.7060156194</v>
      </c>
      <c r="J40" s="458">
        <f t="shared" si="21"/>
        <v>2756794.022584381</v>
      </c>
      <c r="K40" s="449"/>
      <c r="L40" s="449"/>
      <c r="M40" s="449"/>
      <c r="N40" s="449"/>
      <c r="O40" s="414"/>
      <c r="Q40" s="451"/>
      <c r="R40" s="451"/>
      <c r="S40" s="451"/>
      <c r="T40" s="451"/>
      <c r="U40" s="451"/>
      <c r="V40" s="451"/>
      <c r="W40" s="451"/>
      <c r="X40" s="451"/>
      <c r="Y40" s="451"/>
      <c r="Z40" s="451"/>
      <c r="AA40" s="451"/>
      <c r="AB40" s="451"/>
      <c r="AC40" s="451"/>
      <c r="AD40" s="451"/>
    </row>
    <row r="41" spans="1:30" s="450" customFormat="1" ht="15">
      <c r="A41" s="424" t="s">
        <v>376</v>
      </c>
      <c r="B41" s="437">
        <v>2983723.1667600004</v>
      </c>
      <c r="C41" s="457">
        <v>994574.38891999994</v>
      </c>
      <c r="D41" s="457">
        <v>1989148.7778399999</v>
      </c>
      <c r="E41" s="457">
        <f t="shared" si="18"/>
        <v>134486.84400000001</v>
      </c>
      <c r="F41" s="437">
        <f t="shared" si="19"/>
        <v>44828.948000000004</v>
      </c>
      <c r="G41" s="437">
        <f t="shared" si="20"/>
        <v>89657.896000000008</v>
      </c>
      <c r="H41" s="437">
        <f t="shared" ref="H41:J44" si="23">+B41+E41</f>
        <v>3118210.0107600004</v>
      </c>
      <c r="I41" s="437">
        <f t="shared" si="23"/>
        <v>1039403.3369199999</v>
      </c>
      <c r="J41" s="458">
        <f t="shared" si="23"/>
        <v>2078806.6738399998</v>
      </c>
      <c r="K41" s="449"/>
      <c r="L41" s="449"/>
      <c r="M41" s="449"/>
      <c r="N41" s="449"/>
      <c r="O41" s="414"/>
      <c r="Q41" s="451"/>
      <c r="R41" s="451"/>
      <c r="S41" s="451"/>
      <c r="T41" s="451"/>
      <c r="U41" s="451"/>
      <c r="V41" s="451"/>
      <c r="W41" s="451"/>
      <c r="X41" s="451"/>
      <c r="Y41" s="451"/>
      <c r="Z41" s="451"/>
      <c r="AA41" s="451"/>
      <c r="AB41" s="451"/>
      <c r="AC41" s="451"/>
      <c r="AD41" s="451"/>
    </row>
    <row r="42" spans="1:30" s="450" customFormat="1" ht="15">
      <c r="A42" s="434" t="s">
        <v>377</v>
      </c>
      <c r="B42" s="437">
        <v>3541359.2167199999</v>
      </c>
      <c r="C42" s="457">
        <v>1180453.0722400001</v>
      </c>
      <c r="D42" s="457">
        <v>2360906.1444800003</v>
      </c>
      <c r="E42" s="457">
        <f t="shared" si="18"/>
        <v>22660.428</v>
      </c>
      <c r="F42" s="437">
        <f t="shared" si="19"/>
        <v>7553.4759999999997</v>
      </c>
      <c r="G42" s="437">
        <f t="shared" si="20"/>
        <v>15106.951999999999</v>
      </c>
      <c r="H42" s="437">
        <f t="shared" si="23"/>
        <v>3564019.6447199997</v>
      </c>
      <c r="I42" s="437">
        <f t="shared" si="23"/>
        <v>1188006.5482400001</v>
      </c>
      <c r="J42" s="458">
        <f t="shared" si="23"/>
        <v>2376013.0964800003</v>
      </c>
      <c r="K42" s="449"/>
      <c r="L42" s="449"/>
      <c r="M42" s="449"/>
      <c r="N42" s="449"/>
      <c r="O42" s="414"/>
      <c r="Q42" s="451"/>
      <c r="R42" s="451"/>
      <c r="S42" s="451"/>
      <c r="T42" s="451"/>
      <c r="U42" s="451"/>
      <c r="V42" s="451"/>
      <c r="W42" s="451"/>
      <c r="X42" s="451"/>
      <c r="Y42" s="451"/>
      <c r="Z42" s="451"/>
      <c r="AA42" s="451"/>
      <c r="AB42" s="451"/>
      <c r="AC42" s="451"/>
      <c r="AD42" s="451"/>
    </row>
    <row r="43" spans="1:30" s="450" customFormat="1" ht="15">
      <c r="A43" s="434" t="s">
        <v>378</v>
      </c>
      <c r="B43" s="437">
        <v>2546415.068</v>
      </c>
      <c r="C43" s="457">
        <v>848805.02266666666</v>
      </c>
      <c r="D43" s="457">
        <v>1697610.0453333333</v>
      </c>
      <c r="E43" s="457">
        <f t="shared" si="18"/>
        <v>111095.82800000001</v>
      </c>
      <c r="F43" s="437">
        <f t="shared" si="19"/>
        <v>37031.94266666667</v>
      </c>
      <c r="G43" s="437">
        <f t="shared" si="20"/>
        <v>74063.885333333339</v>
      </c>
      <c r="H43" s="437">
        <f t="shared" si="23"/>
        <v>2657510.8960000002</v>
      </c>
      <c r="I43" s="437">
        <f t="shared" si="23"/>
        <v>885836.96533333336</v>
      </c>
      <c r="J43" s="458">
        <f t="shared" si="23"/>
        <v>1771673.9306666667</v>
      </c>
      <c r="K43" s="449"/>
      <c r="L43" s="449"/>
      <c r="M43" s="449"/>
      <c r="N43" s="449"/>
      <c r="O43" s="414"/>
      <c r="Q43" s="451"/>
      <c r="R43" s="451"/>
      <c r="S43" s="451"/>
      <c r="T43" s="451"/>
      <c r="U43" s="451"/>
      <c r="V43" s="451"/>
      <c r="W43" s="451"/>
      <c r="X43" s="451"/>
      <c r="Y43" s="451"/>
      <c r="Z43" s="451"/>
      <c r="AA43" s="451"/>
      <c r="AB43" s="451"/>
      <c r="AC43" s="451"/>
      <c r="AD43" s="451"/>
    </row>
    <row r="44" spans="1:30" s="450" customFormat="1" ht="15">
      <c r="A44" s="434" t="s">
        <v>379</v>
      </c>
      <c r="B44" s="437">
        <v>4890535.8820800008</v>
      </c>
      <c r="C44" s="457">
        <v>1774758.7579937046</v>
      </c>
      <c r="D44" s="457">
        <v>3115777.1240862948</v>
      </c>
      <c r="E44" s="457">
        <f t="shared" si="18"/>
        <v>0</v>
      </c>
      <c r="F44" s="437">
        <f t="shared" si="19"/>
        <v>0</v>
      </c>
      <c r="G44" s="437">
        <f t="shared" si="20"/>
        <v>0</v>
      </c>
      <c r="H44" s="722">
        <f t="shared" si="23"/>
        <v>4890535.8820800008</v>
      </c>
      <c r="I44" s="437">
        <f t="shared" si="23"/>
        <v>1774758.7579937046</v>
      </c>
      <c r="J44" s="458">
        <f t="shared" si="23"/>
        <v>3115777.1240862948</v>
      </c>
      <c r="K44" s="449"/>
      <c r="L44" s="449"/>
      <c r="M44" s="449"/>
      <c r="N44" s="449"/>
      <c r="O44" s="414"/>
      <c r="Q44" s="451"/>
      <c r="R44" s="451"/>
      <c r="S44" s="451"/>
      <c r="T44" s="451"/>
      <c r="U44" s="451"/>
      <c r="V44" s="451"/>
      <c r="W44" s="451"/>
      <c r="X44" s="451"/>
      <c r="Y44" s="451"/>
      <c r="Z44" s="451"/>
      <c r="AA44" s="451"/>
      <c r="AB44" s="451"/>
      <c r="AC44" s="451"/>
      <c r="AD44" s="451"/>
    </row>
    <row r="45" spans="1:30" s="450" customFormat="1" ht="15">
      <c r="A45" s="434" t="s">
        <v>380</v>
      </c>
      <c r="B45" s="437">
        <v>4351149.0410399996</v>
      </c>
      <c r="C45" s="457">
        <v>2175574.5205199998</v>
      </c>
      <c r="D45" s="457">
        <v>2175574.5205199998</v>
      </c>
      <c r="E45" s="457">
        <f t="shared" si="18"/>
        <v>133899.38800000001</v>
      </c>
      <c r="F45" s="437">
        <f t="shared" si="19"/>
        <v>66949.694000000003</v>
      </c>
      <c r="G45" s="437">
        <f t="shared" si="20"/>
        <v>66949.694000000003</v>
      </c>
      <c r="H45" s="437">
        <f t="shared" ref="H45:J46" si="24">+B45+E45</f>
        <v>4485048.4290399998</v>
      </c>
      <c r="I45" s="437">
        <f t="shared" si="24"/>
        <v>2242524.2145199999</v>
      </c>
      <c r="J45" s="458">
        <f t="shared" si="24"/>
        <v>2242524.2145199999</v>
      </c>
      <c r="K45" s="449"/>
      <c r="L45" s="449"/>
      <c r="M45" s="449"/>
      <c r="N45" s="449"/>
      <c r="O45" s="414"/>
      <c r="Q45" s="451"/>
      <c r="R45" s="451"/>
      <c r="S45" s="451"/>
      <c r="T45" s="451"/>
      <c r="U45" s="451"/>
      <c r="V45" s="451"/>
      <c r="W45" s="451"/>
      <c r="X45" s="451"/>
      <c r="Y45" s="451"/>
      <c r="Z45" s="451"/>
      <c r="AA45" s="451"/>
      <c r="AB45" s="451"/>
      <c r="AC45" s="451"/>
      <c r="AD45" s="451"/>
    </row>
    <row r="46" spans="1:30" s="450" customFormat="1" ht="28.5">
      <c r="A46" s="434" t="s">
        <v>381</v>
      </c>
      <c r="B46" s="437">
        <v>2480659.4319999996</v>
      </c>
      <c r="C46" s="457">
        <v>1240329.7159999998</v>
      </c>
      <c r="D46" s="457">
        <v>1240329.7159999998</v>
      </c>
      <c r="E46" s="457">
        <f t="shared" si="18"/>
        <v>0</v>
      </c>
      <c r="F46" s="437">
        <f t="shared" si="19"/>
        <v>0</v>
      </c>
      <c r="G46" s="437">
        <f t="shared" si="20"/>
        <v>0</v>
      </c>
      <c r="H46" s="437">
        <f t="shared" si="24"/>
        <v>2480659.4319999996</v>
      </c>
      <c r="I46" s="437">
        <f>+C46+F46</f>
        <v>1240329.7159999998</v>
      </c>
      <c r="J46" s="458">
        <f t="shared" si="24"/>
        <v>1240329.7159999998</v>
      </c>
      <c r="K46" s="449"/>
      <c r="L46" s="449"/>
      <c r="M46" s="449"/>
      <c r="N46" s="449"/>
      <c r="O46" s="414"/>
      <c r="Q46" s="451"/>
      <c r="R46" s="451"/>
      <c r="S46" s="451"/>
      <c r="T46" s="451"/>
      <c r="U46" s="451"/>
      <c r="V46" s="451"/>
      <c r="W46" s="451"/>
      <c r="X46" s="451"/>
      <c r="Y46" s="451"/>
      <c r="Z46" s="451"/>
      <c r="AA46" s="451"/>
      <c r="AB46" s="451"/>
      <c r="AC46" s="451"/>
      <c r="AD46" s="451"/>
    </row>
    <row r="47" spans="1:30" s="450" customFormat="1" ht="28.5">
      <c r="A47" s="434" t="s">
        <v>382</v>
      </c>
      <c r="B47" s="437">
        <v>4914013.6369199995</v>
      </c>
      <c r="C47" s="457">
        <v>2457006.8184599997</v>
      </c>
      <c r="D47" s="457">
        <v>2457006.8184599997</v>
      </c>
      <c r="E47" s="457">
        <f t="shared" si="18"/>
        <v>216748.85200000001</v>
      </c>
      <c r="F47" s="437">
        <f t="shared" si="19"/>
        <v>108374.42600000001</v>
      </c>
      <c r="G47" s="437">
        <f t="shared" si="20"/>
        <v>108374.42600000001</v>
      </c>
      <c r="H47" s="437">
        <f>+B47+E47</f>
        <v>5130762.4889199995</v>
      </c>
      <c r="I47" s="437">
        <f>+C47+F47</f>
        <v>2565381.2444599997</v>
      </c>
      <c r="J47" s="458">
        <f>+D47+G47</f>
        <v>2565381.2444599997</v>
      </c>
      <c r="K47" s="449"/>
      <c r="L47" s="449"/>
      <c r="M47" s="449"/>
      <c r="N47" s="449"/>
      <c r="O47" s="414"/>
      <c r="Q47" s="451"/>
      <c r="R47" s="451"/>
      <c r="S47" s="451"/>
      <c r="T47" s="451"/>
      <c r="U47" s="451"/>
      <c r="V47" s="451"/>
      <c r="W47" s="451"/>
      <c r="X47" s="451"/>
      <c r="Y47" s="451"/>
      <c r="Z47" s="451"/>
      <c r="AA47" s="451"/>
      <c r="AB47" s="451"/>
      <c r="AC47" s="451"/>
      <c r="AD47" s="451"/>
    </row>
    <row r="48" spans="1:30" s="450" customFormat="1" ht="15">
      <c r="A48" s="434" t="s">
        <v>383</v>
      </c>
      <c r="B48" s="437">
        <v>4771334.1070399992</v>
      </c>
      <c r="C48" s="457">
        <v>2385667.0535199996</v>
      </c>
      <c r="D48" s="457">
        <v>2385667.0535199996</v>
      </c>
      <c r="E48" s="457">
        <f t="shared" si="18"/>
        <v>182499.52856000001</v>
      </c>
      <c r="F48" s="437">
        <f t="shared" si="19"/>
        <v>91249.764280000003</v>
      </c>
      <c r="G48" s="437">
        <f t="shared" si="20"/>
        <v>91249.764280000003</v>
      </c>
      <c r="H48" s="437">
        <f t="shared" ref="H48:J51" si="25">+B48+E48</f>
        <v>4953833.6355999988</v>
      </c>
      <c r="I48" s="437">
        <f t="shared" si="25"/>
        <v>2476916.8177999994</v>
      </c>
      <c r="J48" s="458">
        <f t="shared" si="25"/>
        <v>2476916.8177999994</v>
      </c>
      <c r="K48" s="449"/>
      <c r="L48" s="449"/>
      <c r="M48" s="449"/>
      <c r="N48" s="449"/>
      <c r="O48" s="414"/>
      <c r="Q48" s="451"/>
      <c r="R48" s="451"/>
      <c r="S48" s="451"/>
      <c r="T48" s="451"/>
      <c r="U48" s="451"/>
      <c r="V48" s="451"/>
      <c r="W48" s="451"/>
      <c r="X48" s="451"/>
      <c r="Y48" s="451"/>
      <c r="Z48" s="451"/>
      <c r="AA48" s="451"/>
      <c r="AB48" s="451"/>
      <c r="AC48" s="451"/>
      <c r="AD48" s="451"/>
    </row>
    <row r="49" spans="1:31" s="450" customFormat="1" ht="15">
      <c r="A49" s="434" t="s">
        <v>442</v>
      </c>
      <c r="B49" s="437">
        <v>5095599.1317999996</v>
      </c>
      <c r="C49" s="457">
        <v>2038239.6527200001</v>
      </c>
      <c r="D49" s="457">
        <v>3057359.4790799995</v>
      </c>
      <c r="E49" s="457">
        <f t="shared" si="18"/>
        <v>104995.992</v>
      </c>
      <c r="F49" s="437">
        <f t="shared" si="19"/>
        <v>41998.396800000002</v>
      </c>
      <c r="G49" s="437">
        <f t="shared" si="20"/>
        <v>62997.595199999996</v>
      </c>
      <c r="H49" s="437">
        <f t="shared" si="25"/>
        <v>5200595.1237999992</v>
      </c>
      <c r="I49" s="437">
        <f t="shared" si="25"/>
        <v>2080238.0495200001</v>
      </c>
      <c r="J49" s="458">
        <f t="shared" si="25"/>
        <v>3120357.0742799994</v>
      </c>
      <c r="K49" s="449"/>
      <c r="L49" s="449"/>
      <c r="M49" s="449"/>
      <c r="N49" s="449"/>
      <c r="O49" s="414"/>
      <c r="Q49" s="451"/>
      <c r="R49" s="451"/>
      <c r="S49" s="451"/>
      <c r="T49" s="451"/>
      <c r="U49" s="451"/>
      <c r="V49" s="451"/>
      <c r="W49" s="451"/>
      <c r="X49" s="451"/>
      <c r="Y49" s="451"/>
      <c r="Z49" s="451"/>
      <c r="AA49" s="451"/>
      <c r="AB49" s="451"/>
      <c r="AC49" s="451"/>
      <c r="AD49" s="451"/>
    </row>
    <row r="50" spans="1:31" s="450" customFormat="1" ht="15">
      <c r="A50" s="434" t="s">
        <v>486</v>
      </c>
      <c r="B50" s="437">
        <v>2356971.3248799997</v>
      </c>
      <c r="C50" s="457">
        <v>785657.10829333321</v>
      </c>
      <c r="D50" s="457">
        <v>1571314.2165866664</v>
      </c>
      <c r="E50" s="457">
        <f t="shared" si="18"/>
        <v>193784.76800000001</v>
      </c>
      <c r="F50" s="437">
        <f t="shared" si="19"/>
        <v>64594.922666666665</v>
      </c>
      <c r="G50" s="437">
        <f t="shared" si="20"/>
        <v>129189.84533333333</v>
      </c>
      <c r="H50" s="437">
        <f t="shared" si="25"/>
        <v>2550756.0928799999</v>
      </c>
      <c r="I50" s="437">
        <f t="shared" si="25"/>
        <v>850252.03095999989</v>
      </c>
      <c r="J50" s="458">
        <f t="shared" si="25"/>
        <v>1700504.0619199998</v>
      </c>
      <c r="K50" s="449"/>
      <c r="L50" s="449"/>
      <c r="M50" s="449"/>
      <c r="N50" s="449"/>
      <c r="O50" s="414"/>
      <c r="Q50" s="451"/>
      <c r="R50" s="451"/>
      <c r="S50" s="451"/>
      <c r="T50" s="451"/>
      <c r="U50" s="451"/>
      <c r="V50" s="451"/>
      <c r="W50" s="451"/>
      <c r="X50" s="451"/>
      <c r="Y50" s="451"/>
      <c r="Z50" s="451"/>
      <c r="AA50" s="451"/>
      <c r="AB50" s="451"/>
      <c r="AC50" s="451"/>
      <c r="AD50" s="451"/>
    </row>
    <row r="51" spans="1:31" s="450" customFormat="1" ht="15">
      <c r="A51" s="434" t="s">
        <v>487</v>
      </c>
      <c r="B51" s="437">
        <v>7441454.5136799999</v>
      </c>
      <c r="C51" s="457">
        <v>3720727.2568399999</v>
      </c>
      <c r="D51" s="457">
        <v>3720727.2568399999</v>
      </c>
      <c r="E51" s="457">
        <f t="shared" si="18"/>
        <v>205129.07068</v>
      </c>
      <c r="F51" s="437">
        <f t="shared" si="19"/>
        <v>102564.53534</v>
      </c>
      <c r="G51" s="437">
        <f t="shared" si="20"/>
        <v>102564.53534</v>
      </c>
      <c r="H51" s="437">
        <f t="shared" si="25"/>
        <v>7646583.5843599997</v>
      </c>
      <c r="I51" s="437">
        <f t="shared" si="25"/>
        <v>3823291.7921799999</v>
      </c>
      <c r="J51" s="458">
        <f t="shared" si="25"/>
        <v>3823291.7921799999</v>
      </c>
      <c r="K51" s="449"/>
      <c r="L51" s="449"/>
      <c r="M51" s="449"/>
      <c r="N51" s="449"/>
      <c r="O51" s="414"/>
      <c r="Q51" s="451"/>
      <c r="R51" s="451"/>
      <c r="S51" s="451"/>
      <c r="T51" s="451"/>
      <c r="U51" s="451"/>
      <c r="V51" s="451"/>
      <c r="W51" s="451"/>
      <c r="X51" s="451"/>
      <c r="Y51" s="451"/>
      <c r="Z51" s="451"/>
      <c r="AA51" s="451"/>
      <c r="AB51" s="451"/>
      <c r="AC51" s="451"/>
      <c r="AD51" s="451"/>
    </row>
    <row r="52" spans="1:31" s="450" customFormat="1" ht="15">
      <c r="A52" s="434" t="s">
        <v>488</v>
      </c>
      <c r="B52" s="437">
        <v>4812318.2826000005</v>
      </c>
      <c r="C52" s="457">
        <v>2406159.1413000003</v>
      </c>
      <c r="D52" s="457">
        <v>2406159.1413000003</v>
      </c>
      <c r="E52" s="457">
        <f t="shared" si="18"/>
        <v>180757.89663999999</v>
      </c>
      <c r="F52" s="437">
        <f t="shared" si="19"/>
        <v>90378.948319999996</v>
      </c>
      <c r="G52" s="437">
        <f t="shared" si="20"/>
        <v>90378.948319999996</v>
      </c>
      <c r="H52" s="437">
        <f t="shared" ref="H52:J56" si="26">+B52+E52</f>
        <v>4993076.1792400004</v>
      </c>
      <c r="I52" s="437">
        <f t="shared" si="26"/>
        <v>2496538.0896200002</v>
      </c>
      <c r="J52" s="458">
        <f t="shared" si="26"/>
        <v>2496538.0896200002</v>
      </c>
      <c r="K52" s="449"/>
      <c r="L52" s="449"/>
      <c r="M52" s="449"/>
      <c r="N52" s="449"/>
      <c r="O52" s="414"/>
      <c r="Q52" s="451"/>
      <c r="R52" s="451"/>
      <c r="S52" s="451"/>
      <c r="T52" s="451"/>
      <c r="U52" s="451"/>
      <c r="V52" s="451"/>
      <c r="W52" s="451"/>
      <c r="X52" s="451"/>
      <c r="Y52" s="451"/>
      <c r="Z52" s="451"/>
      <c r="AA52" s="451"/>
      <c r="AB52" s="451"/>
      <c r="AC52" s="451"/>
      <c r="AD52" s="451"/>
    </row>
    <row r="53" spans="1:31" s="450" customFormat="1" ht="15">
      <c r="A53" s="464" t="s">
        <v>561</v>
      </c>
      <c r="B53" s="768">
        <v>2025138.02468</v>
      </c>
      <c r="C53" s="466">
        <v>675046.00822666672</v>
      </c>
      <c r="D53" s="466">
        <v>1350092.0164533334</v>
      </c>
      <c r="E53" s="457">
        <f>+J24*0.004</f>
        <v>180434.63200000001</v>
      </c>
      <c r="F53" s="437">
        <f>+E53*C24</f>
        <v>60144.877333333337</v>
      </c>
      <c r="G53" s="437">
        <f>+E53*E24</f>
        <v>120289.75466666667</v>
      </c>
      <c r="H53" s="437">
        <f>+B53+E53</f>
        <v>2205572.65668</v>
      </c>
      <c r="I53" s="437">
        <f>+C53+F53</f>
        <v>735190.88556000008</v>
      </c>
      <c r="J53" s="458">
        <f>+D53+G53</f>
        <v>1470381.7711200002</v>
      </c>
      <c r="K53" s="449"/>
      <c r="L53" s="449"/>
      <c r="M53" s="449"/>
      <c r="N53" s="449"/>
      <c r="O53" s="414"/>
      <c r="Q53" s="451"/>
      <c r="R53" s="451"/>
      <c r="S53" s="451"/>
      <c r="T53" s="451"/>
      <c r="U53" s="451"/>
      <c r="V53" s="451"/>
      <c r="W53" s="451"/>
      <c r="X53" s="451"/>
      <c r="Y53" s="451"/>
      <c r="Z53" s="451"/>
      <c r="AA53" s="451"/>
      <c r="AB53" s="451"/>
      <c r="AC53" s="451"/>
      <c r="AD53" s="451"/>
    </row>
    <row r="54" spans="1:31" s="450" customFormat="1" ht="15">
      <c r="A54" s="464" t="s">
        <v>259</v>
      </c>
      <c r="B54" s="768">
        <v>3765351.9225999997</v>
      </c>
      <c r="C54" s="466">
        <v>1579018.5481870971</v>
      </c>
      <c r="D54" s="466">
        <v>2186333.3744129031</v>
      </c>
      <c r="E54" s="457">
        <f>+J25*0.004</f>
        <v>327953.12512000004</v>
      </c>
      <c r="F54" s="437">
        <f>+E54*C25</f>
        <v>137528.72988903229</v>
      </c>
      <c r="G54" s="437">
        <f>+E54*E25</f>
        <v>190424.39523096778</v>
      </c>
      <c r="H54" s="437">
        <f t="shared" si="26"/>
        <v>4093305.0477199997</v>
      </c>
      <c r="I54" s="437">
        <f t="shared" si="26"/>
        <v>1716547.2780761293</v>
      </c>
      <c r="J54" s="458">
        <f t="shared" si="26"/>
        <v>2376757.7696438711</v>
      </c>
      <c r="K54" s="449"/>
      <c r="L54" s="449"/>
      <c r="M54" s="449"/>
      <c r="N54" s="449"/>
      <c r="O54" s="414"/>
      <c r="Q54" s="451"/>
      <c r="R54" s="451"/>
      <c r="S54" s="451"/>
      <c r="T54" s="451"/>
      <c r="U54" s="451"/>
      <c r="V54" s="451"/>
      <c r="W54" s="451"/>
      <c r="X54" s="451"/>
      <c r="Y54" s="451"/>
      <c r="Z54" s="451"/>
      <c r="AA54" s="451"/>
      <c r="AB54" s="451"/>
      <c r="AC54" s="451"/>
      <c r="AD54" s="451"/>
    </row>
    <row r="55" spans="1:31" s="450" customFormat="1" ht="15">
      <c r="A55" s="464" t="s">
        <v>562</v>
      </c>
      <c r="B55" s="768">
        <v>3391404.8306400003</v>
      </c>
      <c r="C55" s="466">
        <v>1356561.9322560001</v>
      </c>
      <c r="D55" s="466">
        <v>2034842.8983839999</v>
      </c>
      <c r="E55" s="457">
        <f>+J26*0.004</f>
        <v>428830.99208</v>
      </c>
      <c r="F55" s="437">
        <f>+E55*C26</f>
        <v>171532.396832</v>
      </c>
      <c r="G55" s="437">
        <f>+E55*E26</f>
        <v>257298.595248</v>
      </c>
      <c r="H55" s="437">
        <f t="shared" si="26"/>
        <v>3820235.8227200005</v>
      </c>
      <c r="I55" s="437">
        <f t="shared" si="26"/>
        <v>1528094.3290880001</v>
      </c>
      <c r="J55" s="458">
        <f t="shared" si="26"/>
        <v>2292141.4936319999</v>
      </c>
      <c r="K55" s="449"/>
      <c r="L55" s="449"/>
      <c r="M55" s="449"/>
      <c r="N55" s="449"/>
      <c r="O55" s="414"/>
      <c r="Q55" s="451"/>
      <c r="R55" s="451"/>
      <c r="S55" s="451"/>
      <c r="T55" s="451"/>
      <c r="U55" s="451"/>
      <c r="V55" s="451"/>
      <c r="W55" s="451"/>
      <c r="X55" s="451"/>
      <c r="Y55" s="451"/>
      <c r="Z55" s="451"/>
      <c r="AA55" s="451"/>
      <c r="AB55" s="451"/>
      <c r="AC55" s="451"/>
      <c r="AD55" s="451"/>
    </row>
    <row r="56" spans="1:31" s="450" customFormat="1" ht="15">
      <c r="A56" s="464" t="s">
        <v>563</v>
      </c>
      <c r="B56" s="768">
        <v>2642009.0044000004</v>
      </c>
      <c r="C56" s="466">
        <v>880669.66813333333</v>
      </c>
      <c r="D56" s="466">
        <v>1761339.3362666667</v>
      </c>
      <c r="E56" s="457">
        <f>+J27*0.004</f>
        <v>217973.95512</v>
      </c>
      <c r="F56" s="437">
        <f>+E56*C27</f>
        <v>72657.98504</v>
      </c>
      <c r="G56" s="437">
        <f>+E56*E27</f>
        <v>145315.97008</v>
      </c>
      <c r="H56" s="437">
        <f t="shared" si="26"/>
        <v>2859982.9595200005</v>
      </c>
      <c r="I56" s="437">
        <f t="shared" si="26"/>
        <v>953327.65317333327</v>
      </c>
      <c r="J56" s="458">
        <f t="shared" si="26"/>
        <v>1906655.3063466665</v>
      </c>
      <c r="K56" s="449"/>
      <c r="L56" s="449"/>
      <c r="M56" s="449"/>
      <c r="N56" s="449"/>
      <c r="O56" s="414"/>
      <c r="Q56" s="451"/>
      <c r="R56" s="451"/>
      <c r="S56" s="451"/>
      <c r="T56" s="451"/>
      <c r="U56" s="451"/>
      <c r="V56" s="451"/>
      <c r="W56" s="451"/>
      <c r="X56" s="451"/>
      <c r="Y56" s="451"/>
      <c r="Z56" s="451"/>
      <c r="AA56" s="451"/>
      <c r="AB56" s="451"/>
      <c r="AC56" s="451"/>
      <c r="AD56" s="451"/>
    </row>
    <row r="57" spans="1:31" s="450" customFormat="1" ht="15.75" thickBot="1">
      <c r="A57" s="440"/>
      <c r="B57" s="441">
        <f>SUM(B35:B56)</f>
        <v>88122880.603200004</v>
      </c>
      <c r="C57" s="441">
        <f t="shared" ref="C57:J57" si="27">SUM(C35:C56)</f>
        <v>37114371.121261157</v>
      </c>
      <c r="D57" s="441">
        <f t="shared" si="27"/>
        <v>51008509.481938824</v>
      </c>
      <c r="E57" s="441">
        <f t="shared" si="27"/>
        <v>2826773.3362000007</v>
      </c>
      <c r="F57" s="441">
        <f t="shared" si="27"/>
        <v>1175008.6013573769</v>
      </c>
      <c r="G57" s="441">
        <f t="shared" si="27"/>
        <v>1651764.7348426231</v>
      </c>
      <c r="H57" s="441">
        <f t="shared" si="27"/>
        <v>90949653.939400017</v>
      </c>
      <c r="I57" s="441">
        <f t="shared" si="27"/>
        <v>38289379.72261855</v>
      </c>
      <c r="J57" s="441">
        <f t="shared" si="27"/>
        <v>52660274.216781467</v>
      </c>
      <c r="K57" s="449"/>
      <c r="L57" s="449"/>
      <c r="M57" s="449"/>
      <c r="N57" s="449"/>
      <c r="O57" s="414"/>
      <c r="Q57" s="451"/>
      <c r="R57" s="451"/>
      <c r="S57" s="451"/>
      <c r="T57" s="451"/>
      <c r="U57" s="451"/>
      <c r="V57" s="451"/>
      <c r="W57" s="451"/>
      <c r="X57" s="451"/>
      <c r="Y57" s="451"/>
      <c r="Z57" s="451"/>
      <c r="AA57" s="451"/>
      <c r="AB57" s="451"/>
      <c r="AC57" s="451"/>
      <c r="AD57" s="451"/>
    </row>
    <row r="58" spans="1:31" s="450" customFormat="1" ht="15">
      <c r="A58" s="452"/>
      <c r="B58" s="446"/>
      <c r="C58" s="447"/>
      <c r="D58" s="446"/>
      <c r="E58" s="448"/>
      <c r="F58" s="448"/>
      <c r="G58" s="448"/>
      <c r="H58" s="448"/>
      <c r="I58" s="448"/>
      <c r="J58" s="448"/>
      <c r="K58" s="449"/>
      <c r="L58" s="449"/>
      <c r="M58" s="449"/>
      <c r="N58" s="449"/>
      <c r="O58" s="414"/>
      <c r="Q58" s="451"/>
      <c r="R58" s="451"/>
      <c r="S58" s="451"/>
      <c r="T58" s="451"/>
      <c r="U58" s="451"/>
      <c r="V58" s="451"/>
      <c r="W58" s="451"/>
      <c r="X58" s="451"/>
      <c r="Y58" s="451"/>
      <c r="Z58" s="451"/>
      <c r="AA58" s="451"/>
      <c r="AB58" s="451"/>
      <c r="AC58" s="451"/>
      <c r="AD58" s="451"/>
    </row>
    <row r="59" spans="1:31" s="450" customFormat="1" ht="15">
      <c r="A59" s="452"/>
      <c r="B59" s="446"/>
      <c r="C59" s="446"/>
      <c r="D59" s="446"/>
      <c r="E59" s="446"/>
      <c r="F59" s="446"/>
      <c r="G59" s="446"/>
      <c r="H59" s="446"/>
      <c r="I59" s="446"/>
      <c r="J59" s="446"/>
      <c r="K59" s="449"/>
      <c r="L59" s="449"/>
      <c r="M59" s="449"/>
      <c r="N59" s="449"/>
      <c r="O59" s="414"/>
      <c r="Q59" s="451"/>
      <c r="R59" s="451"/>
      <c r="S59" s="451"/>
      <c r="T59" s="451"/>
      <c r="U59" s="451"/>
      <c r="V59" s="451"/>
      <c r="W59" s="451"/>
      <c r="X59" s="451"/>
      <c r="Y59" s="451"/>
      <c r="Z59" s="451"/>
      <c r="AA59" s="451"/>
      <c r="AB59" s="451"/>
      <c r="AC59" s="451"/>
      <c r="AD59" s="451"/>
    </row>
    <row r="60" spans="1:31" ht="15.75" thickBot="1">
      <c r="A60" s="409" t="s">
        <v>342</v>
      </c>
      <c r="B60" s="409"/>
      <c r="C60" s="409"/>
      <c r="D60" s="409"/>
      <c r="E60" s="410"/>
      <c r="F60" s="409"/>
      <c r="G60" s="452"/>
      <c r="H60" s="452"/>
      <c r="I60" s="452"/>
      <c r="J60" s="452"/>
      <c r="K60" s="447"/>
      <c r="L60" s="452"/>
      <c r="M60" s="452"/>
      <c r="N60" s="447"/>
      <c r="O60" s="414"/>
      <c r="P60" s="416"/>
      <c r="Q60" s="416"/>
      <c r="R60" s="416"/>
      <c r="S60" s="416"/>
      <c r="T60" s="416"/>
      <c r="U60" s="416"/>
      <c r="V60" s="416"/>
      <c r="W60" s="416"/>
      <c r="X60" s="416"/>
      <c r="Y60" s="416"/>
      <c r="Z60" s="416"/>
      <c r="AA60" s="416"/>
      <c r="AB60" s="416"/>
      <c r="AC60" s="416"/>
      <c r="AD60" s="416"/>
    </row>
    <row r="61" spans="1:31" ht="56.25" customHeight="1">
      <c r="A61" s="453" t="s">
        <v>25</v>
      </c>
      <c r="B61" s="454" t="s">
        <v>343</v>
      </c>
      <c r="C61" s="454" t="s">
        <v>344</v>
      </c>
      <c r="D61" s="454" t="s">
        <v>358</v>
      </c>
      <c r="E61" s="1063" t="s">
        <v>1069</v>
      </c>
      <c r="F61" s="454" t="s">
        <v>345</v>
      </c>
      <c r="G61" s="454" t="s">
        <v>360</v>
      </c>
      <c r="H61" s="454" t="s">
        <v>346</v>
      </c>
      <c r="I61" s="459" t="s">
        <v>347</v>
      </c>
      <c r="K61" s="405"/>
      <c r="L61" s="405"/>
      <c r="M61" s="452"/>
      <c r="N61" s="452"/>
      <c r="O61" s="447"/>
      <c r="P61" s="416"/>
      <c r="Q61" s="416"/>
      <c r="R61" s="416"/>
      <c r="S61" s="416"/>
      <c r="T61" s="416"/>
      <c r="U61" s="416"/>
      <c r="V61" s="416"/>
      <c r="W61" s="416"/>
      <c r="X61" s="416"/>
      <c r="Y61" s="416"/>
      <c r="Z61" s="416"/>
      <c r="AA61" s="416"/>
      <c r="AB61" s="416"/>
      <c r="AC61" s="416"/>
      <c r="AD61" s="416"/>
      <c r="AE61" s="416"/>
    </row>
    <row r="62" spans="1:31" ht="26.25" customHeight="1">
      <c r="A62" s="968" t="s">
        <v>756</v>
      </c>
      <c r="B62" s="460">
        <v>167</v>
      </c>
      <c r="C62" s="435">
        <f t="shared" ref="C62:C78" si="28">+B5</f>
        <v>1000000000</v>
      </c>
      <c r="D62" s="457">
        <v>979279843.5</v>
      </c>
      <c r="E62" s="437">
        <v>0</v>
      </c>
      <c r="F62" s="437">
        <f t="shared" ref="F62:F79" si="29">+N5</f>
        <v>913949048.91500008</v>
      </c>
      <c r="G62" s="457">
        <f>D62-F62-E62</f>
        <v>65330794.584999919</v>
      </c>
      <c r="H62" s="457">
        <f>C62-D62+E62</f>
        <v>20720156.5</v>
      </c>
      <c r="I62" s="461">
        <f>G62+H62</f>
        <v>86050951.084999919</v>
      </c>
      <c r="K62" s="462"/>
      <c r="L62" s="462"/>
      <c r="M62" s="463"/>
      <c r="N62" s="452"/>
      <c r="O62" s="447"/>
      <c r="P62" s="416"/>
      <c r="Q62" s="416"/>
      <c r="R62" s="416"/>
      <c r="S62" s="416"/>
      <c r="T62" s="416"/>
      <c r="U62" s="416"/>
      <c r="V62" s="416"/>
      <c r="W62" s="416"/>
      <c r="X62" s="416"/>
      <c r="Y62" s="416"/>
      <c r="Z62" s="416"/>
      <c r="AA62" s="416"/>
      <c r="AB62" s="416"/>
      <c r="AC62" s="416"/>
      <c r="AD62" s="416"/>
      <c r="AE62" s="416"/>
    </row>
    <row r="63" spans="1:31" ht="26.25" customHeight="1">
      <c r="A63" s="969" t="s">
        <v>757</v>
      </c>
      <c r="B63" s="460">
        <v>168</v>
      </c>
      <c r="C63" s="435">
        <f t="shared" si="28"/>
        <v>500000000</v>
      </c>
      <c r="D63" s="457">
        <v>492004039.75485802</v>
      </c>
      <c r="E63" s="437">
        <v>42349951.688567042</v>
      </c>
      <c r="F63" s="437">
        <f t="shared" si="29"/>
        <v>314653778.98727179</v>
      </c>
      <c r="G63" s="457">
        <f t="shared" ref="G63:G83" si="30">D63-F63-E63</f>
        <v>135000309.07901919</v>
      </c>
      <c r="H63" s="457">
        <f t="shared" ref="H63:H83" si="31">C63-D63+E63</f>
        <v>50345911.933709025</v>
      </c>
      <c r="I63" s="461">
        <f t="shared" ref="I63:I74" si="32">G63+H63</f>
        <v>185346221.01272821</v>
      </c>
      <c r="K63" s="462"/>
      <c r="L63" s="462"/>
      <c r="M63" s="463"/>
      <c r="N63" s="452"/>
      <c r="O63" s="447"/>
      <c r="P63" s="416"/>
      <c r="Q63" s="416"/>
      <c r="R63" s="416"/>
      <c r="S63" s="416"/>
      <c r="T63" s="416"/>
      <c r="U63" s="416"/>
      <c r="V63" s="416"/>
      <c r="W63" s="416"/>
      <c r="X63" s="416"/>
      <c r="Y63" s="416"/>
      <c r="Z63" s="416"/>
      <c r="AA63" s="416"/>
      <c r="AB63" s="416"/>
      <c r="AC63" s="416"/>
      <c r="AD63" s="416"/>
      <c r="AE63" s="416"/>
    </row>
    <row r="64" spans="1:31" ht="26.25" customHeight="1">
      <c r="A64" s="968" t="s">
        <v>758</v>
      </c>
      <c r="B64" s="460">
        <v>174</v>
      </c>
      <c r="C64" s="435">
        <f t="shared" si="28"/>
        <v>300000000</v>
      </c>
      <c r="D64" s="457">
        <f>276349893.93+2791413</f>
        <v>279141306.93000001</v>
      </c>
      <c r="E64" s="437"/>
      <c r="F64" s="722">
        <f t="shared" si="29"/>
        <v>273972624.13333333</v>
      </c>
      <c r="G64" s="457">
        <f t="shared" si="30"/>
        <v>5168682.7966666818</v>
      </c>
      <c r="H64" s="457">
        <f t="shared" si="31"/>
        <v>20858693.069999993</v>
      </c>
      <c r="I64" s="461">
        <f t="shared" si="32"/>
        <v>26027375.866666675</v>
      </c>
      <c r="K64" s="462"/>
      <c r="L64" s="462"/>
      <c r="M64" s="463"/>
      <c r="N64" s="452"/>
      <c r="O64" s="447"/>
      <c r="P64" s="416"/>
      <c r="Q64" s="416"/>
      <c r="R64" s="416"/>
      <c r="S64" s="416"/>
      <c r="T64" s="416"/>
      <c r="U64" s="416"/>
      <c r="V64" s="416"/>
      <c r="W64" s="416"/>
      <c r="X64" s="416"/>
      <c r="Y64" s="416"/>
      <c r="Z64" s="416"/>
      <c r="AA64" s="416"/>
      <c r="AB64" s="416"/>
      <c r="AC64" s="416"/>
      <c r="AD64" s="416"/>
      <c r="AE64" s="416"/>
    </row>
    <row r="65" spans="1:31" ht="26.25" customHeight="1">
      <c r="A65" s="969" t="s">
        <v>759</v>
      </c>
      <c r="B65" s="460">
        <v>177</v>
      </c>
      <c r="C65" s="435">
        <f t="shared" si="28"/>
        <v>600000000</v>
      </c>
      <c r="D65" s="457">
        <v>568159430</v>
      </c>
      <c r="E65" s="437"/>
      <c r="F65" s="437">
        <f t="shared" si="29"/>
        <v>401993209.204</v>
      </c>
      <c r="G65" s="457">
        <f t="shared" si="30"/>
        <v>166166220.796</v>
      </c>
      <c r="H65" s="457">
        <f t="shared" si="31"/>
        <v>31840570</v>
      </c>
      <c r="I65" s="461">
        <f t="shared" si="32"/>
        <v>198006790.796</v>
      </c>
      <c r="K65" s="462"/>
      <c r="L65" s="462"/>
      <c r="M65" s="463"/>
      <c r="N65" s="452"/>
      <c r="O65" s="447"/>
      <c r="P65" s="416"/>
      <c r="Q65" s="416"/>
      <c r="R65" s="416"/>
      <c r="S65" s="416"/>
      <c r="T65" s="416"/>
      <c r="U65" s="416"/>
      <c r="V65" s="416"/>
      <c r="W65" s="416"/>
      <c r="X65" s="416"/>
      <c r="Y65" s="416"/>
      <c r="Z65" s="416"/>
      <c r="AA65" s="416"/>
      <c r="AB65" s="416"/>
      <c r="AC65" s="416"/>
      <c r="AD65" s="416"/>
      <c r="AE65" s="416"/>
    </row>
    <row r="66" spans="1:31" ht="26.25" customHeight="1">
      <c r="A66" s="969" t="s">
        <v>760</v>
      </c>
      <c r="B66" s="465">
        <v>181</v>
      </c>
      <c r="C66" s="435">
        <f t="shared" si="28"/>
        <v>298516243</v>
      </c>
      <c r="D66" s="466">
        <v>331817042.37</v>
      </c>
      <c r="E66" s="437">
        <v>33300799.370000005</v>
      </c>
      <c r="F66" s="437">
        <f t="shared" si="29"/>
        <v>297532665.54999995</v>
      </c>
      <c r="G66" s="457">
        <f t="shared" si="30"/>
        <v>983577.45000004768</v>
      </c>
      <c r="H66" s="457">
        <f t="shared" si="31"/>
        <v>0</v>
      </c>
      <c r="I66" s="461">
        <f t="shared" si="32"/>
        <v>983577.45000004768</v>
      </c>
      <c r="J66" s="415"/>
      <c r="K66" s="462"/>
      <c r="L66" s="462"/>
      <c r="M66" s="463"/>
      <c r="N66" s="452"/>
      <c r="O66" s="447"/>
      <c r="P66" s="416"/>
      <c r="Q66" s="416"/>
      <c r="R66" s="416"/>
      <c r="S66" s="416"/>
      <c r="T66" s="416"/>
      <c r="U66" s="416"/>
      <c r="V66" s="416"/>
      <c r="W66" s="416"/>
      <c r="X66" s="416"/>
      <c r="Y66" s="416"/>
      <c r="Z66" s="416"/>
      <c r="AA66" s="416"/>
      <c r="AB66" s="416"/>
      <c r="AC66" s="416"/>
      <c r="AD66" s="416"/>
      <c r="AE66" s="416"/>
    </row>
    <row r="67" spans="1:31" ht="26.25" customHeight="1">
      <c r="A67" s="968" t="s">
        <v>761</v>
      </c>
      <c r="B67" s="465">
        <v>178</v>
      </c>
      <c r="C67" s="435">
        <f t="shared" si="28"/>
        <v>600000000</v>
      </c>
      <c r="D67" s="466">
        <v>576417912.52973104</v>
      </c>
      <c r="E67" s="437">
        <v>59062562.053382039</v>
      </c>
      <c r="F67" s="437">
        <f t="shared" si="29"/>
        <v>471084176.50390482</v>
      </c>
      <c r="G67" s="457">
        <f t="shared" si="30"/>
        <v>46271173.972444177</v>
      </c>
      <c r="H67" s="457">
        <f t="shared" si="31"/>
        <v>82644649.523651004</v>
      </c>
      <c r="I67" s="461">
        <f t="shared" si="32"/>
        <v>128915823.49609518</v>
      </c>
      <c r="K67" s="462"/>
      <c r="L67" s="462"/>
      <c r="M67" s="463"/>
      <c r="N67" s="452"/>
      <c r="O67" s="447"/>
      <c r="P67" s="416"/>
      <c r="Q67" s="416"/>
      <c r="R67" s="416"/>
      <c r="S67" s="416"/>
      <c r="T67" s="416"/>
      <c r="U67" s="416"/>
      <c r="V67" s="416"/>
      <c r="W67" s="416"/>
      <c r="X67" s="416"/>
      <c r="Y67" s="416"/>
      <c r="Z67" s="416"/>
      <c r="AA67" s="416"/>
      <c r="AB67" s="416"/>
      <c r="AC67" s="416"/>
      <c r="AD67" s="416"/>
      <c r="AE67" s="416"/>
    </row>
    <row r="68" spans="1:31" ht="26.25" customHeight="1">
      <c r="A68" s="969" t="s">
        <v>762</v>
      </c>
      <c r="B68" s="460">
        <v>169</v>
      </c>
      <c r="C68" s="435">
        <f t="shared" si="28"/>
        <v>300000000</v>
      </c>
      <c r="D68" s="457">
        <v>300000000</v>
      </c>
      <c r="E68" s="437"/>
      <c r="F68" s="437">
        <f t="shared" si="29"/>
        <v>259850834.23000002</v>
      </c>
      <c r="G68" s="457">
        <f t="shared" si="30"/>
        <v>40149165.769999981</v>
      </c>
      <c r="H68" s="457">
        <f t="shared" si="31"/>
        <v>0</v>
      </c>
      <c r="I68" s="461">
        <f t="shared" si="32"/>
        <v>40149165.769999981</v>
      </c>
      <c r="K68" s="462"/>
      <c r="L68" s="462"/>
      <c r="M68" s="463"/>
      <c r="N68" s="452"/>
      <c r="O68" s="447"/>
      <c r="P68" s="416"/>
      <c r="Q68" s="416"/>
      <c r="R68" s="416"/>
      <c r="S68" s="416"/>
      <c r="T68" s="416"/>
      <c r="U68" s="416"/>
      <c r="V68" s="416"/>
      <c r="W68" s="416"/>
      <c r="X68" s="416"/>
      <c r="Y68" s="416"/>
      <c r="Z68" s="416"/>
      <c r="AA68" s="416"/>
      <c r="AB68" s="416"/>
      <c r="AC68" s="416"/>
      <c r="AD68" s="416"/>
      <c r="AE68" s="416"/>
    </row>
    <row r="69" spans="1:31" ht="26.25" customHeight="1">
      <c r="A69" s="969" t="s">
        <v>763</v>
      </c>
      <c r="B69" s="460">
        <v>172</v>
      </c>
      <c r="C69" s="435">
        <f t="shared" si="28"/>
        <v>300000000</v>
      </c>
      <c r="D69" s="457">
        <v>299479926.66666698</v>
      </c>
      <c r="E69" s="437">
        <v>0</v>
      </c>
      <c r="F69" s="437">
        <f t="shared" si="29"/>
        <v>297001637.05999994</v>
      </c>
      <c r="G69" s="457">
        <f t="shared" si="30"/>
        <v>2478289.6066670418</v>
      </c>
      <c r="H69" s="457">
        <f t="shared" si="31"/>
        <v>520073.33333301544</v>
      </c>
      <c r="I69" s="461">
        <f t="shared" si="32"/>
        <v>2998362.9400000572</v>
      </c>
      <c r="K69" s="462"/>
      <c r="L69" s="462"/>
      <c r="M69" s="463"/>
      <c r="N69" s="452"/>
      <c r="O69" s="447"/>
      <c r="P69" s="416"/>
      <c r="Q69" s="416"/>
      <c r="R69" s="416"/>
      <c r="S69" s="416"/>
      <c r="T69" s="416"/>
      <c r="U69" s="416"/>
      <c r="V69" s="416"/>
      <c r="W69" s="416"/>
      <c r="X69" s="416"/>
      <c r="Y69" s="416"/>
      <c r="Z69" s="416"/>
      <c r="AA69" s="416"/>
      <c r="AB69" s="416"/>
      <c r="AC69" s="416"/>
      <c r="AD69" s="416"/>
      <c r="AE69" s="416"/>
    </row>
    <row r="70" spans="1:31" ht="26.25" customHeight="1">
      <c r="A70" s="969" t="s">
        <v>764</v>
      </c>
      <c r="B70" s="460">
        <v>176</v>
      </c>
      <c r="C70" s="435">
        <f t="shared" si="28"/>
        <v>308000000</v>
      </c>
      <c r="D70" s="457">
        <v>307058312.33333302</v>
      </c>
      <c r="E70" s="437">
        <v>55890914.333333015</v>
      </c>
      <c r="F70" s="437">
        <f t="shared" si="29"/>
        <v>221459241.33333331</v>
      </c>
      <c r="G70" s="457">
        <f t="shared" si="30"/>
        <v>29708156.666666687</v>
      </c>
      <c r="H70" s="457">
        <f t="shared" si="31"/>
        <v>56832602</v>
      </c>
      <c r="I70" s="461">
        <f t="shared" si="32"/>
        <v>86540758.666666687</v>
      </c>
      <c r="K70" s="462"/>
      <c r="L70" s="462"/>
      <c r="M70" s="463"/>
      <c r="N70" s="452"/>
      <c r="O70" s="447"/>
      <c r="P70" s="416"/>
      <c r="Q70" s="416"/>
      <c r="R70" s="416"/>
      <c r="S70" s="416"/>
      <c r="T70" s="416"/>
      <c r="U70" s="416"/>
      <c r="V70" s="416"/>
      <c r="W70" s="416"/>
      <c r="X70" s="416"/>
      <c r="Y70" s="416"/>
      <c r="Z70" s="416"/>
      <c r="AA70" s="416"/>
      <c r="AB70" s="416"/>
      <c r="AC70" s="416"/>
      <c r="AD70" s="416"/>
      <c r="AE70" s="416"/>
    </row>
    <row r="71" spans="1:31" ht="26.25" customHeight="1">
      <c r="A71" s="969" t="s">
        <v>765</v>
      </c>
      <c r="B71" s="460">
        <v>179</v>
      </c>
      <c r="C71" s="435">
        <f t="shared" si="28"/>
        <v>500000000</v>
      </c>
      <c r="D71" s="457">
        <v>496003856</v>
      </c>
      <c r="E71" s="437"/>
      <c r="F71" s="437">
        <f t="shared" si="29"/>
        <v>443689689.49842614</v>
      </c>
      <c r="G71" s="457">
        <f t="shared" si="30"/>
        <v>52314166.501573861</v>
      </c>
      <c r="H71" s="457">
        <f t="shared" si="31"/>
        <v>3996144</v>
      </c>
      <c r="I71" s="461">
        <f t="shared" si="32"/>
        <v>56310310.501573861</v>
      </c>
      <c r="K71" s="462"/>
      <c r="L71" s="462"/>
      <c r="M71" s="463"/>
      <c r="N71" s="452"/>
      <c r="O71" s="447"/>
      <c r="P71" s="416"/>
      <c r="Q71" s="416"/>
      <c r="R71" s="416"/>
      <c r="S71" s="416"/>
      <c r="T71" s="416"/>
      <c r="U71" s="416"/>
      <c r="V71" s="416"/>
      <c r="W71" s="416"/>
      <c r="X71" s="416"/>
      <c r="Y71" s="416"/>
      <c r="Z71" s="416"/>
      <c r="AA71" s="416"/>
      <c r="AB71" s="416"/>
      <c r="AC71" s="416"/>
      <c r="AD71" s="416"/>
      <c r="AE71" s="416"/>
    </row>
    <row r="72" spans="1:31" ht="26.25" customHeight="1">
      <c r="A72" s="968" t="s">
        <v>766</v>
      </c>
      <c r="B72" s="460">
        <v>182</v>
      </c>
      <c r="C72" s="435">
        <f t="shared" si="28"/>
        <v>750000000</v>
      </c>
      <c r="D72" s="457">
        <v>706449066</v>
      </c>
      <c r="E72" s="437">
        <v>28299407.5</v>
      </c>
      <c r="F72" s="437">
        <f t="shared" si="29"/>
        <v>560631053.63</v>
      </c>
      <c r="G72" s="457">
        <f t="shared" si="30"/>
        <v>117518604.87</v>
      </c>
      <c r="H72" s="457">
        <f t="shared" si="31"/>
        <v>71850341.5</v>
      </c>
      <c r="I72" s="461">
        <f t="shared" si="32"/>
        <v>189368946.37</v>
      </c>
      <c r="K72" s="462"/>
      <c r="L72" s="462"/>
      <c r="M72" s="463"/>
      <c r="N72" s="452"/>
      <c r="O72" s="447"/>
      <c r="P72" s="416"/>
      <c r="Q72" s="416"/>
      <c r="R72" s="416"/>
      <c r="S72" s="416"/>
      <c r="T72" s="416"/>
      <c r="U72" s="416"/>
      <c r="V72" s="416"/>
      <c r="W72" s="416"/>
      <c r="X72" s="416"/>
      <c r="Y72" s="416"/>
      <c r="Z72" s="416"/>
      <c r="AA72" s="416"/>
      <c r="AB72" s="416"/>
      <c r="AC72" s="416"/>
      <c r="AD72" s="416"/>
      <c r="AE72" s="416"/>
    </row>
    <row r="73" spans="1:31" ht="26.25" customHeight="1">
      <c r="A73" s="969" t="s">
        <v>469</v>
      </c>
      <c r="B73" s="460">
        <v>183</v>
      </c>
      <c r="C73" s="435">
        <f t="shared" si="28"/>
        <v>372286609</v>
      </c>
      <c r="D73" s="457">
        <v>460816609.5</v>
      </c>
      <c r="E73" s="437">
        <v>88530000.5</v>
      </c>
      <c r="F73" s="437">
        <f t="shared" si="29"/>
        <v>310082429</v>
      </c>
      <c r="G73" s="457">
        <f t="shared" si="30"/>
        <v>62204180</v>
      </c>
      <c r="H73" s="457">
        <f t="shared" si="31"/>
        <v>0</v>
      </c>
      <c r="I73" s="461">
        <f>G73+H73</f>
        <v>62204180</v>
      </c>
      <c r="K73" s="462"/>
      <c r="L73" s="462"/>
      <c r="M73" s="463"/>
      <c r="N73" s="452"/>
      <c r="O73" s="447"/>
      <c r="P73" s="416"/>
      <c r="Q73" s="416"/>
      <c r="R73" s="416"/>
      <c r="S73" s="416"/>
      <c r="T73" s="416"/>
      <c r="U73" s="416"/>
      <c r="V73" s="416"/>
      <c r="W73" s="416"/>
      <c r="X73" s="416"/>
      <c r="Y73" s="416"/>
      <c r="Z73" s="416"/>
      <c r="AA73" s="416"/>
      <c r="AB73" s="416"/>
      <c r="AC73" s="416"/>
      <c r="AD73" s="416"/>
      <c r="AE73" s="416"/>
    </row>
    <row r="74" spans="1:31" ht="26.25" customHeight="1">
      <c r="A74" s="968" t="s">
        <v>767</v>
      </c>
      <c r="B74" s="465">
        <v>184</v>
      </c>
      <c r="C74" s="435">
        <f t="shared" si="28"/>
        <v>750000000</v>
      </c>
      <c r="D74" s="466">
        <v>731987477</v>
      </c>
      <c r="E74" s="437">
        <v>0</v>
      </c>
      <c r="F74" s="437">
        <f t="shared" si="29"/>
        <v>641345311.11499989</v>
      </c>
      <c r="G74" s="457">
        <f t="shared" si="30"/>
        <v>90642165.88500011</v>
      </c>
      <c r="H74" s="457">
        <f t="shared" si="31"/>
        <v>18012523</v>
      </c>
      <c r="I74" s="461">
        <f t="shared" si="32"/>
        <v>108654688.88500011</v>
      </c>
      <c r="K74" s="462"/>
      <c r="L74" s="462"/>
      <c r="M74" s="463"/>
      <c r="N74" s="452"/>
      <c r="O74" s="447"/>
      <c r="P74" s="416"/>
      <c r="Q74" s="416"/>
      <c r="R74" s="416"/>
      <c r="S74" s="416"/>
      <c r="T74" s="416"/>
      <c r="U74" s="416"/>
      <c r="V74" s="416"/>
      <c r="W74" s="416"/>
      <c r="X74" s="416"/>
      <c r="Y74" s="416"/>
      <c r="Z74" s="416"/>
      <c r="AA74" s="416"/>
      <c r="AB74" s="416"/>
      <c r="AC74" s="416"/>
      <c r="AD74" s="416"/>
      <c r="AE74" s="416"/>
    </row>
    <row r="75" spans="1:31" ht="26.25" customHeight="1">
      <c r="A75" s="969" t="s">
        <v>465</v>
      </c>
      <c r="B75" s="465">
        <v>185</v>
      </c>
      <c r="C75" s="435">
        <f t="shared" si="28"/>
        <v>746132550</v>
      </c>
      <c r="D75" s="466">
        <v>745792389.5</v>
      </c>
      <c r="E75" s="437">
        <v>33161199</v>
      </c>
      <c r="F75" s="437">
        <f t="shared" si="29"/>
        <v>619229204.45000005</v>
      </c>
      <c r="G75" s="457">
        <f t="shared" si="30"/>
        <v>93401986.049999952</v>
      </c>
      <c r="H75" s="457">
        <f t="shared" si="31"/>
        <v>33501359.5</v>
      </c>
      <c r="I75" s="461">
        <f t="shared" ref="I75:I83" si="33">G75+H75</f>
        <v>126903345.54999995</v>
      </c>
      <c r="K75" s="462"/>
      <c r="L75" s="462"/>
      <c r="M75" s="463"/>
      <c r="N75" s="452"/>
      <c r="O75" s="447"/>
      <c r="P75" s="416"/>
      <c r="Q75" s="416"/>
      <c r="R75" s="416"/>
      <c r="S75" s="416"/>
      <c r="T75" s="416"/>
      <c r="U75" s="416"/>
      <c r="V75" s="416"/>
      <c r="W75" s="416"/>
      <c r="X75" s="416"/>
      <c r="Y75" s="416"/>
      <c r="Z75" s="416"/>
      <c r="AA75" s="416"/>
      <c r="AB75" s="416"/>
      <c r="AC75" s="416"/>
      <c r="AD75" s="416"/>
      <c r="AE75" s="416"/>
    </row>
    <row r="76" spans="1:31" ht="26.25" customHeight="1">
      <c r="A76" s="969" t="s">
        <v>768</v>
      </c>
      <c r="B76" s="465">
        <v>175</v>
      </c>
      <c r="C76" s="435">
        <f t="shared" si="28"/>
        <v>571000000</v>
      </c>
      <c r="D76" s="466">
        <v>545487305</v>
      </c>
      <c r="E76" s="437">
        <v>0</v>
      </c>
      <c r="F76" s="437">
        <f t="shared" si="29"/>
        <v>520059512.38000005</v>
      </c>
      <c r="G76" s="457">
        <f t="shared" si="30"/>
        <v>25427792.619999945</v>
      </c>
      <c r="H76" s="457">
        <f t="shared" si="31"/>
        <v>25512695</v>
      </c>
      <c r="I76" s="461">
        <f t="shared" si="33"/>
        <v>50940487.619999945</v>
      </c>
      <c r="K76" s="462"/>
      <c r="L76" s="462"/>
      <c r="M76" s="463"/>
      <c r="N76" s="452"/>
      <c r="O76" s="447"/>
      <c r="P76" s="416"/>
      <c r="Q76" s="416"/>
      <c r="R76" s="416"/>
      <c r="S76" s="416"/>
      <c r="T76" s="416"/>
      <c r="U76" s="416"/>
      <c r="V76" s="416"/>
      <c r="W76" s="416"/>
      <c r="X76" s="416"/>
      <c r="Y76" s="416"/>
      <c r="Z76" s="416"/>
      <c r="AA76" s="416"/>
      <c r="AB76" s="416"/>
      <c r="AC76" s="416"/>
      <c r="AD76" s="416"/>
      <c r="AE76" s="416"/>
    </row>
    <row r="77" spans="1:31" ht="26.25" customHeight="1">
      <c r="A77" s="968" t="s">
        <v>769</v>
      </c>
      <c r="B77" s="465">
        <v>171</v>
      </c>
      <c r="C77" s="435">
        <f t="shared" si="28"/>
        <v>300000000</v>
      </c>
      <c r="D77" s="466">
        <v>285801989</v>
      </c>
      <c r="E77" s="437">
        <v>0</v>
      </c>
      <c r="F77" s="437">
        <f t="shared" si="29"/>
        <v>212563007.74000001</v>
      </c>
      <c r="G77" s="457">
        <f t="shared" si="30"/>
        <v>73238981.25999999</v>
      </c>
      <c r="H77" s="457">
        <f t="shared" si="31"/>
        <v>14198011</v>
      </c>
      <c r="I77" s="461">
        <f t="shared" si="33"/>
        <v>87436992.25999999</v>
      </c>
      <c r="K77" s="462"/>
      <c r="L77" s="462"/>
      <c r="M77" s="463"/>
      <c r="N77" s="452"/>
      <c r="O77" s="447"/>
      <c r="P77" s="416"/>
      <c r="Q77" s="416"/>
      <c r="R77" s="416"/>
      <c r="S77" s="416"/>
      <c r="T77" s="416"/>
      <c r="U77" s="416"/>
      <c r="V77" s="416"/>
      <c r="W77" s="416"/>
      <c r="X77" s="416"/>
      <c r="Y77" s="416"/>
      <c r="Z77" s="416"/>
      <c r="AA77" s="416"/>
      <c r="AB77" s="416"/>
      <c r="AC77" s="416"/>
      <c r="AD77" s="416"/>
      <c r="AE77" s="416"/>
    </row>
    <row r="78" spans="1:31" ht="26.25" customHeight="1">
      <c r="A78" s="969" t="s">
        <v>770</v>
      </c>
      <c r="B78" s="465">
        <v>187</v>
      </c>
      <c r="C78" s="435">
        <f t="shared" si="28"/>
        <v>1000000000</v>
      </c>
      <c r="D78" s="466">
        <v>989442867</v>
      </c>
      <c r="E78" s="437">
        <v>0</v>
      </c>
      <c r="F78" s="437">
        <f t="shared" si="29"/>
        <v>955822948.04500008</v>
      </c>
      <c r="G78" s="457">
        <f t="shared" si="30"/>
        <v>33619918.954999924</v>
      </c>
      <c r="H78" s="457">
        <f t="shared" si="31"/>
        <v>10557133</v>
      </c>
      <c r="I78" s="461">
        <f t="shared" si="33"/>
        <v>44177051.954999924</v>
      </c>
      <c r="K78" s="462"/>
      <c r="L78" s="462"/>
      <c r="M78" s="463"/>
      <c r="N78" s="452"/>
      <c r="O78" s="447"/>
      <c r="P78" s="416"/>
      <c r="Q78" s="416"/>
      <c r="R78" s="416"/>
      <c r="S78" s="416"/>
      <c r="T78" s="416"/>
      <c r="U78" s="416"/>
      <c r="V78" s="416"/>
      <c r="W78" s="416"/>
      <c r="X78" s="416"/>
      <c r="Y78" s="416"/>
      <c r="Z78" s="416"/>
      <c r="AA78" s="416"/>
      <c r="AB78" s="416"/>
      <c r="AC78" s="416"/>
      <c r="AD78" s="416"/>
      <c r="AE78" s="416"/>
    </row>
    <row r="79" spans="1:31" ht="26.25" customHeight="1">
      <c r="A79" s="969" t="s">
        <v>771</v>
      </c>
      <c r="B79" s="465">
        <v>188</v>
      </c>
      <c r="C79" s="435">
        <f>+B22+B23</f>
        <v>1485000000</v>
      </c>
      <c r="D79" s="466">
        <v>1274627051</v>
      </c>
      <c r="E79" s="437">
        <v>0</v>
      </c>
      <c r="F79" s="437">
        <f t="shared" si="29"/>
        <v>624134522.40500009</v>
      </c>
      <c r="G79" s="457">
        <f t="shared" si="30"/>
        <v>650492528.59499991</v>
      </c>
      <c r="H79" s="457">
        <f t="shared" si="31"/>
        <v>210372949</v>
      </c>
      <c r="I79" s="461">
        <f t="shared" si="33"/>
        <v>860865477.59499991</v>
      </c>
      <c r="K79" s="462"/>
      <c r="L79" s="462"/>
      <c r="M79" s="463"/>
      <c r="N79" s="452"/>
      <c r="O79" s="447"/>
      <c r="P79" s="416"/>
      <c r="Q79" s="416"/>
      <c r="R79" s="416"/>
      <c r="S79" s="416"/>
      <c r="T79" s="416"/>
      <c r="U79" s="416"/>
      <c r="V79" s="416"/>
      <c r="W79" s="416"/>
      <c r="X79" s="416"/>
      <c r="Y79" s="416"/>
      <c r="Z79" s="416"/>
      <c r="AA79" s="416"/>
      <c r="AB79" s="416"/>
      <c r="AC79" s="416"/>
      <c r="AD79" s="416"/>
      <c r="AE79" s="416"/>
    </row>
    <row r="80" spans="1:31" ht="26.25" customHeight="1">
      <c r="A80" s="969" t="s">
        <v>772</v>
      </c>
      <c r="B80" s="465">
        <v>189</v>
      </c>
      <c r="C80" s="435">
        <f>+B24</f>
        <v>273000000</v>
      </c>
      <c r="D80" s="466">
        <v>265602340.33333331</v>
      </c>
      <c r="E80" s="437">
        <v>26666591.333333313</v>
      </c>
      <c r="F80" s="437">
        <f>+N24</f>
        <v>183797721.38999999</v>
      </c>
      <c r="G80" s="457">
        <f t="shared" si="30"/>
        <v>55138027.610000014</v>
      </c>
      <c r="H80" s="457">
        <f t="shared" si="31"/>
        <v>34064251</v>
      </c>
      <c r="I80" s="461">
        <f t="shared" si="33"/>
        <v>89202278.610000014</v>
      </c>
      <c r="K80" s="462"/>
      <c r="L80" s="462"/>
      <c r="M80" s="463"/>
      <c r="N80" s="452"/>
      <c r="O80" s="447"/>
      <c r="P80" s="416"/>
      <c r="Q80" s="416"/>
      <c r="R80" s="416"/>
      <c r="S80" s="416"/>
      <c r="T80" s="416"/>
      <c r="U80" s="416"/>
      <c r="V80" s="416"/>
      <c r="W80" s="416"/>
      <c r="X80" s="416"/>
      <c r="Y80" s="416"/>
      <c r="Z80" s="416"/>
      <c r="AA80" s="416"/>
      <c r="AB80" s="416"/>
      <c r="AC80" s="416"/>
      <c r="AD80" s="416"/>
      <c r="AE80" s="416"/>
    </row>
    <row r="81" spans="1:31" ht="26.25" customHeight="1">
      <c r="A81" s="968" t="s">
        <v>773</v>
      </c>
      <c r="B81" s="465">
        <v>190</v>
      </c>
      <c r="C81" s="435">
        <f>+B25</f>
        <v>650000000</v>
      </c>
      <c r="D81" s="466">
        <v>635946036</v>
      </c>
      <c r="E81" s="437">
        <v>67034274.903226018</v>
      </c>
      <c r="F81" s="437">
        <f>+N25</f>
        <v>429136819.51903224</v>
      </c>
      <c r="G81" s="457">
        <f t="shared" si="30"/>
        <v>139774941.57774174</v>
      </c>
      <c r="H81" s="457">
        <f t="shared" si="31"/>
        <v>81088238.903226018</v>
      </c>
      <c r="I81" s="461">
        <f t="shared" si="33"/>
        <v>220863180.48096776</v>
      </c>
      <c r="K81" s="462"/>
      <c r="L81" s="462"/>
      <c r="M81" s="463"/>
      <c r="N81" s="452"/>
      <c r="O81" s="447"/>
      <c r="P81" s="416"/>
      <c r="Q81" s="416"/>
      <c r="R81" s="416"/>
      <c r="S81" s="416"/>
      <c r="T81" s="416"/>
      <c r="U81" s="416"/>
      <c r="V81" s="416"/>
      <c r="W81" s="416"/>
      <c r="X81" s="416"/>
      <c r="Y81" s="416"/>
      <c r="Z81" s="416"/>
      <c r="AA81" s="416"/>
      <c r="AB81" s="416"/>
      <c r="AC81" s="416"/>
      <c r="AD81" s="416"/>
      <c r="AE81" s="416"/>
    </row>
    <row r="82" spans="1:31" ht="26.25" customHeight="1">
      <c r="A82" s="464" t="s">
        <v>774</v>
      </c>
      <c r="B82" s="465">
        <v>191</v>
      </c>
      <c r="C82" s="435">
        <f>+B26</f>
        <v>600000000</v>
      </c>
      <c r="D82" s="466">
        <v>575736057.4000001</v>
      </c>
      <c r="E82" s="437">
        <v>32000000</v>
      </c>
      <c r="F82" s="437">
        <f>+N26</f>
        <v>382023582.27200007</v>
      </c>
      <c r="G82" s="457">
        <f t="shared" si="30"/>
        <v>161712475.12800002</v>
      </c>
      <c r="H82" s="457">
        <f t="shared" si="31"/>
        <v>56263942.599999905</v>
      </c>
      <c r="I82" s="461">
        <f t="shared" si="33"/>
        <v>217976417.72799993</v>
      </c>
      <c r="K82" s="462"/>
      <c r="L82" s="462"/>
      <c r="M82" s="463"/>
      <c r="N82" s="452"/>
      <c r="O82" s="447"/>
      <c r="P82" s="416"/>
      <c r="Q82" s="416"/>
      <c r="R82" s="416"/>
      <c r="S82" s="416"/>
      <c r="T82" s="416"/>
      <c r="U82" s="416"/>
      <c r="V82" s="416"/>
      <c r="W82" s="416"/>
      <c r="X82" s="416"/>
      <c r="Y82" s="416"/>
      <c r="Z82" s="416"/>
      <c r="AA82" s="416"/>
      <c r="AB82" s="416"/>
      <c r="AC82" s="416"/>
      <c r="AD82" s="416"/>
      <c r="AE82" s="416"/>
    </row>
    <row r="83" spans="1:31" ht="26.25" customHeight="1">
      <c r="A83" s="464" t="s">
        <v>775</v>
      </c>
      <c r="B83" s="465">
        <v>192</v>
      </c>
      <c r="C83" s="435">
        <f>+B27</f>
        <v>300000000</v>
      </c>
      <c r="D83" s="466">
        <v>292717950</v>
      </c>
      <c r="E83" s="437">
        <v>0</v>
      </c>
      <c r="F83" s="437">
        <f>+N27</f>
        <v>238331913.29333332</v>
      </c>
      <c r="G83" s="457">
        <f t="shared" si="30"/>
        <v>54386036.706666678</v>
      </c>
      <c r="H83" s="457">
        <f t="shared" si="31"/>
        <v>7282050</v>
      </c>
      <c r="I83" s="461">
        <f t="shared" si="33"/>
        <v>61668086.706666678</v>
      </c>
      <c r="K83" s="462"/>
      <c r="L83" s="462"/>
      <c r="M83" s="463"/>
      <c r="N83" s="452"/>
      <c r="O83" s="447"/>
      <c r="P83" s="416"/>
      <c r="Q83" s="416"/>
      <c r="R83" s="416"/>
      <c r="S83" s="416"/>
      <c r="T83" s="416"/>
      <c r="U83" s="416"/>
      <c r="V83" s="416"/>
      <c r="W83" s="416"/>
      <c r="X83" s="416"/>
      <c r="Y83" s="416"/>
      <c r="Z83" s="416"/>
      <c r="AA83" s="416"/>
      <c r="AB83" s="416"/>
      <c r="AC83" s="416"/>
      <c r="AD83" s="416"/>
      <c r="AE83" s="416"/>
    </row>
    <row r="84" spans="1:31" s="414" customFormat="1" ht="15.75" thickBot="1">
      <c r="A84" s="467"/>
      <c r="B84" s="468"/>
      <c r="C84" s="469">
        <f t="shared" ref="C84:I84" si="34">SUM(C62:C83)</f>
        <v>12503935402</v>
      </c>
      <c r="D84" s="469">
        <f t="shared" si="34"/>
        <v>12139768807.817923</v>
      </c>
      <c r="E84" s="469">
        <f t="shared" si="34"/>
        <v>466295700.68184143</v>
      </c>
      <c r="F84" s="469">
        <f t="shared" si="34"/>
        <v>9572344930.6546326</v>
      </c>
      <c r="G84" s="469">
        <f t="shared" si="34"/>
        <v>2101128176.4814458</v>
      </c>
      <c r="H84" s="469">
        <f t="shared" si="34"/>
        <v>830462294.8639189</v>
      </c>
      <c r="I84" s="469">
        <f t="shared" si="34"/>
        <v>2931590471.3453641</v>
      </c>
      <c r="K84" s="445"/>
      <c r="L84" s="445"/>
      <c r="O84" s="415"/>
      <c r="P84" s="416"/>
      <c r="Q84" s="416"/>
      <c r="R84" s="416"/>
      <c r="S84" s="416"/>
      <c r="T84" s="416"/>
      <c r="U84" s="416"/>
      <c r="V84" s="416"/>
      <c r="W84" s="416"/>
      <c r="X84" s="416"/>
      <c r="Y84" s="416"/>
      <c r="Z84" s="416"/>
      <c r="AA84" s="416"/>
      <c r="AB84" s="416"/>
      <c r="AC84" s="416"/>
      <c r="AD84" s="416"/>
      <c r="AE84" s="416"/>
    </row>
    <row r="85" spans="1:31" s="414" customFormat="1" ht="15">
      <c r="A85" s="409"/>
      <c r="C85" s="1024"/>
      <c r="D85" s="1025">
        <v>543736057.60000002</v>
      </c>
      <c r="N85" s="415"/>
      <c r="O85" s="416"/>
      <c r="P85" s="416"/>
      <c r="Q85" s="416"/>
      <c r="R85" s="416"/>
      <c r="S85" s="416"/>
      <c r="T85" s="416"/>
      <c r="U85" s="416"/>
      <c r="V85" s="416"/>
      <c r="W85" s="416"/>
      <c r="X85" s="416"/>
      <c r="Y85" s="416"/>
      <c r="Z85" s="416"/>
      <c r="AA85" s="416"/>
      <c r="AB85" s="416"/>
      <c r="AC85" s="416"/>
      <c r="AD85" s="416"/>
    </row>
    <row r="86" spans="1:31" s="414" customFormat="1" ht="15">
      <c r="A86" s="409" t="s">
        <v>348</v>
      </c>
      <c r="C86" s="1024" t="s">
        <v>1014</v>
      </c>
      <c r="D86" s="1024">
        <f>+D82-D85</f>
        <v>31999999.800000072</v>
      </c>
      <c r="F86" s="411"/>
      <c r="G86" s="412"/>
      <c r="H86" s="415"/>
      <c r="N86" s="415"/>
      <c r="O86" s="416"/>
      <c r="P86" s="416"/>
      <c r="Q86" s="416"/>
      <c r="R86" s="416"/>
      <c r="S86" s="416"/>
      <c r="T86" s="416"/>
      <c r="U86" s="416"/>
      <c r="V86" s="416"/>
      <c r="W86" s="416"/>
      <c r="X86" s="416"/>
      <c r="Y86" s="416"/>
      <c r="Z86" s="416"/>
      <c r="AA86" s="416"/>
      <c r="AB86" s="416"/>
      <c r="AC86" s="416"/>
      <c r="AD86" s="416"/>
    </row>
    <row r="87" spans="1:31" s="414" customFormat="1" ht="15.75" thickBot="1">
      <c r="A87" s="470"/>
      <c r="B87" s="445"/>
      <c r="C87" s="471"/>
      <c r="E87" s="472"/>
      <c r="F87" s="411"/>
      <c r="G87" s="411"/>
      <c r="H87" s="415"/>
      <c r="N87" s="415"/>
      <c r="O87" s="416"/>
      <c r="P87" s="416"/>
      <c r="Q87" s="416"/>
      <c r="R87" s="416"/>
      <c r="S87" s="416"/>
      <c r="T87" s="416"/>
      <c r="U87" s="416"/>
      <c r="V87" s="416"/>
      <c r="W87" s="416"/>
      <c r="X87" s="416"/>
      <c r="Y87" s="416"/>
      <c r="Z87" s="416"/>
      <c r="AA87" s="416"/>
      <c r="AB87" s="416"/>
      <c r="AC87" s="416"/>
      <c r="AD87" s="416"/>
    </row>
    <row r="88" spans="1:31" s="107" customFormat="1" ht="30">
      <c r="A88" s="685" t="s">
        <v>31</v>
      </c>
      <c r="B88" s="454" t="s">
        <v>33</v>
      </c>
      <c r="C88" s="454" t="s">
        <v>247</v>
      </c>
      <c r="D88" s="454" t="s">
        <v>248</v>
      </c>
      <c r="E88" s="547" t="s">
        <v>249</v>
      </c>
      <c r="F88" s="454" t="s">
        <v>250</v>
      </c>
      <c r="G88" s="454" t="s">
        <v>251</v>
      </c>
      <c r="H88" s="454" t="s">
        <v>36</v>
      </c>
      <c r="I88" s="454" t="s">
        <v>252</v>
      </c>
      <c r="J88" s="548" t="s">
        <v>253</v>
      </c>
      <c r="K88" s="459" t="s">
        <v>20</v>
      </c>
    </row>
    <row r="89" spans="1:31" s="107" customFormat="1" ht="35.25" customHeight="1">
      <c r="A89" s="473" t="s">
        <v>1164</v>
      </c>
      <c r="B89" s="474" t="s">
        <v>648</v>
      </c>
      <c r="C89" s="474">
        <v>167</v>
      </c>
      <c r="D89" s="474" t="s">
        <v>682</v>
      </c>
      <c r="E89" s="507">
        <v>50995140</v>
      </c>
      <c r="F89" s="508" t="s">
        <v>649</v>
      </c>
      <c r="G89" s="474">
        <v>71549</v>
      </c>
      <c r="H89" s="509" t="s">
        <v>305</v>
      </c>
      <c r="I89" s="474" t="s">
        <v>254</v>
      </c>
      <c r="J89" s="506">
        <v>8111512</v>
      </c>
      <c r="K89" s="475">
        <f>+J89*0.004</f>
        <v>32446.047999999999</v>
      </c>
    </row>
    <row r="90" spans="1:31" s="412" customFormat="1" ht="22.5" customHeight="1" thickBot="1">
      <c r="A90" s="476"/>
      <c r="B90" s="477"/>
      <c r="C90" s="476"/>
      <c r="D90" s="478"/>
      <c r="E90" s="479"/>
      <c r="F90" s="480"/>
      <c r="G90" s="1222" t="s">
        <v>1165</v>
      </c>
      <c r="H90" s="1223"/>
      <c r="I90" s="1223"/>
      <c r="J90" s="481">
        <f>SUM(J89:J89)</f>
        <v>8111512</v>
      </c>
      <c r="K90" s="481">
        <f>SUM(K89:K89)</f>
        <v>32446.047999999999</v>
      </c>
      <c r="O90" s="413"/>
      <c r="P90" s="482"/>
      <c r="Q90" s="483"/>
      <c r="R90" s="483"/>
      <c r="S90" s="484"/>
      <c r="T90" s="483"/>
      <c r="U90" s="483"/>
      <c r="V90" s="483"/>
      <c r="W90" s="483"/>
      <c r="X90" s="483"/>
      <c r="Y90" s="483"/>
      <c r="Z90" s="483"/>
      <c r="AA90" s="483"/>
      <c r="AB90" s="483"/>
      <c r="AC90" s="483"/>
      <c r="AD90" s="483"/>
    </row>
    <row r="91" spans="1:31" s="107" customFormat="1" ht="15">
      <c r="A91" s="485" t="s">
        <v>349</v>
      </c>
      <c r="B91" s="486"/>
      <c r="C91" s="487"/>
      <c r="D91" s="488"/>
      <c r="E91" s="489"/>
      <c r="F91" s="490"/>
      <c r="G91" s="487"/>
      <c r="H91" s="486"/>
      <c r="I91" s="486"/>
      <c r="J91" s="491"/>
      <c r="K91" s="492"/>
    </row>
    <row r="92" spans="1:31" s="107" customFormat="1" ht="15.75" thickBot="1">
      <c r="A92" s="485"/>
      <c r="B92" s="486"/>
      <c r="C92" s="487"/>
      <c r="D92" s="488"/>
      <c r="E92" s="489"/>
      <c r="F92" s="490"/>
      <c r="G92" s="487"/>
      <c r="H92" s="486"/>
      <c r="I92" s="486"/>
      <c r="J92" s="491"/>
      <c r="K92" s="492"/>
    </row>
    <row r="93" spans="1:31" s="107" customFormat="1" ht="30">
      <c r="A93" s="685" t="s">
        <v>31</v>
      </c>
      <c r="B93" s="454" t="s">
        <v>33</v>
      </c>
      <c r="C93" s="454" t="s">
        <v>247</v>
      </c>
      <c r="D93" s="454" t="s">
        <v>248</v>
      </c>
      <c r="E93" s="547" t="s">
        <v>249</v>
      </c>
      <c r="F93" s="454" t="s">
        <v>250</v>
      </c>
      <c r="G93" s="454" t="s">
        <v>251</v>
      </c>
      <c r="H93" s="454" t="s">
        <v>36</v>
      </c>
      <c r="I93" s="454" t="s">
        <v>252</v>
      </c>
      <c r="J93" s="548" t="s">
        <v>253</v>
      </c>
      <c r="K93" s="459" t="s">
        <v>20</v>
      </c>
    </row>
    <row r="94" spans="1:31" s="107" customFormat="1" ht="35.25" customHeight="1">
      <c r="A94" s="473" t="s">
        <v>1164</v>
      </c>
      <c r="B94" s="708"/>
      <c r="C94" s="474">
        <v>168</v>
      </c>
      <c r="D94" s="474"/>
      <c r="E94" s="507"/>
      <c r="F94" s="508"/>
      <c r="G94" s="474"/>
      <c r="H94" s="509"/>
      <c r="I94" s="474"/>
      <c r="J94" s="506"/>
      <c r="K94" s="475"/>
    </row>
    <row r="95" spans="1:31" s="412" customFormat="1" ht="22.5" customHeight="1" thickBot="1">
      <c r="A95" s="476"/>
      <c r="B95" s="477"/>
      <c r="C95" s="476"/>
      <c r="D95" s="478"/>
      <c r="E95" s="479"/>
      <c r="F95" s="480"/>
      <c r="G95" s="1222" t="s">
        <v>1165</v>
      </c>
      <c r="H95" s="1223"/>
      <c r="I95" s="1223"/>
      <c r="J95" s="481">
        <f>SUM(J94:J94)</f>
        <v>0</v>
      </c>
      <c r="K95" s="481">
        <f>SUM(K94:K94)</f>
        <v>0</v>
      </c>
      <c r="O95" s="413"/>
      <c r="P95" s="482"/>
      <c r="Q95" s="483"/>
      <c r="R95" s="483"/>
      <c r="S95" s="484"/>
      <c r="T95" s="483"/>
      <c r="U95" s="483"/>
      <c r="V95" s="483"/>
      <c r="W95" s="483"/>
      <c r="X95" s="483"/>
      <c r="Y95" s="483"/>
      <c r="Z95" s="483"/>
      <c r="AA95" s="483"/>
      <c r="AB95" s="483"/>
      <c r="AC95" s="483"/>
      <c r="AD95" s="483"/>
    </row>
    <row r="96" spans="1:31" s="412" customFormat="1" ht="22.5" customHeight="1">
      <c r="A96" s="557" t="s">
        <v>350</v>
      </c>
      <c r="B96" s="477"/>
      <c r="C96" s="476"/>
      <c r="D96" s="478"/>
      <c r="E96" s="479"/>
      <c r="F96" s="480"/>
      <c r="G96" s="493"/>
      <c r="H96" s="493"/>
      <c r="I96" s="493"/>
      <c r="J96" s="494"/>
      <c r="K96" s="494"/>
      <c r="O96" s="413"/>
      <c r="P96" s="482"/>
      <c r="Q96" s="483"/>
      <c r="R96" s="483"/>
      <c r="S96" s="484"/>
      <c r="T96" s="483"/>
      <c r="U96" s="483"/>
      <c r="V96" s="483"/>
      <c r="W96" s="483"/>
      <c r="X96" s="483"/>
      <c r="Y96" s="483"/>
      <c r="Z96" s="483"/>
      <c r="AA96" s="483"/>
      <c r="AB96" s="483"/>
      <c r="AC96" s="483"/>
      <c r="AD96" s="483"/>
    </row>
    <row r="97" spans="1:30" s="107" customFormat="1" ht="15" thickBot="1">
      <c r="E97" s="495"/>
    </row>
    <row r="98" spans="1:30" s="107" customFormat="1" ht="30">
      <c r="A98" s="453" t="s">
        <v>31</v>
      </c>
      <c r="B98" s="454" t="s">
        <v>33</v>
      </c>
      <c r="C98" s="454" t="s">
        <v>247</v>
      </c>
      <c r="D98" s="454" t="s">
        <v>248</v>
      </c>
      <c r="E98" s="547" t="s">
        <v>249</v>
      </c>
      <c r="F98" s="454" t="s">
        <v>250</v>
      </c>
      <c r="G98" s="454" t="s">
        <v>251</v>
      </c>
      <c r="H98" s="454" t="s">
        <v>36</v>
      </c>
      <c r="I98" s="454" t="s">
        <v>252</v>
      </c>
      <c r="J98" s="548" t="s">
        <v>253</v>
      </c>
      <c r="K98" s="459" t="s">
        <v>20</v>
      </c>
    </row>
    <row r="99" spans="1:30" s="107" customFormat="1" ht="35.25" customHeight="1">
      <c r="A99" s="473" t="s">
        <v>1164</v>
      </c>
      <c r="B99" s="708"/>
      <c r="C99" s="474">
        <v>174</v>
      </c>
      <c r="D99" s="474"/>
      <c r="E99" s="507"/>
      <c r="F99" s="510"/>
      <c r="G99" s="474"/>
      <c r="H99" s="509"/>
      <c r="I99" s="474"/>
      <c r="J99" s="506"/>
      <c r="K99" s="475">
        <f>+J99*0.004</f>
        <v>0</v>
      </c>
    </row>
    <row r="100" spans="1:30" s="412" customFormat="1" ht="22.5" customHeight="1" thickBot="1">
      <c r="A100" s="500"/>
      <c r="B100" s="477"/>
      <c r="C100" s="476"/>
      <c r="D100" s="478"/>
      <c r="E100" s="479"/>
      <c r="F100" s="480"/>
      <c r="G100" s="1222" t="s">
        <v>1165</v>
      </c>
      <c r="H100" s="1223"/>
      <c r="I100" s="1223"/>
      <c r="J100" s="481">
        <f>SUM(J99:J99)</f>
        <v>0</v>
      </c>
      <c r="K100" s="481">
        <f>SUM(K99:K99)</f>
        <v>0</v>
      </c>
      <c r="O100" s="413"/>
      <c r="P100" s="482"/>
      <c r="Q100" s="483"/>
      <c r="R100" s="483"/>
      <c r="S100" s="484"/>
      <c r="T100" s="483"/>
      <c r="U100" s="483"/>
      <c r="V100" s="483"/>
      <c r="W100" s="483"/>
      <c r="X100" s="483"/>
      <c r="Y100" s="483"/>
      <c r="Z100" s="483"/>
      <c r="AA100" s="483"/>
      <c r="AB100" s="483"/>
      <c r="AC100" s="483"/>
      <c r="AD100" s="483"/>
    </row>
    <row r="101" spans="1:30" s="412" customFormat="1" ht="22.5" customHeight="1">
      <c r="A101" s="557" t="s">
        <v>354</v>
      </c>
      <c r="B101" s="477"/>
      <c r="C101" s="476"/>
      <c r="D101" s="478"/>
      <c r="E101" s="479"/>
      <c r="F101" s="480"/>
      <c r="G101" s="493"/>
      <c r="H101" s="493"/>
      <c r="I101" s="493"/>
      <c r="J101" s="494"/>
      <c r="K101" s="494"/>
      <c r="O101" s="413"/>
      <c r="P101" s="482"/>
      <c r="Q101" s="483"/>
      <c r="R101" s="483"/>
      <c r="S101" s="484"/>
      <c r="T101" s="483"/>
      <c r="U101" s="483"/>
      <c r="V101" s="483"/>
      <c r="W101" s="483"/>
      <c r="X101" s="483"/>
      <c r="Y101" s="483"/>
      <c r="Z101" s="483"/>
      <c r="AA101" s="483"/>
      <c r="AB101" s="483"/>
      <c r="AC101" s="483"/>
      <c r="AD101" s="483"/>
    </row>
    <row r="102" spans="1:30" s="107" customFormat="1" ht="15" thickBot="1">
      <c r="E102" s="495"/>
    </row>
    <row r="103" spans="1:30" s="107" customFormat="1" ht="30">
      <c r="A103" s="453" t="s">
        <v>31</v>
      </c>
      <c r="B103" s="454" t="s">
        <v>33</v>
      </c>
      <c r="C103" s="454" t="s">
        <v>247</v>
      </c>
      <c r="D103" s="454" t="s">
        <v>248</v>
      </c>
      <c r="E103" s="547" t="s">
        <v>249</v>
      </c>
      <c r="F103" s="454" t="s">
        <v>250</v>
      </c>
      <c r="G103" s="454" t="s">
        <v>251</v>
      </c>
      <c r="H103" s="454" t="s">
        <v>36</v>
      </c>
      <c r="I103" s="454" t="s">
        <v>252</v>
      </c>
      <c r="J103" s="548" t="s">
        <v>253</v>
      </c>
      <c r="K103" s="459" t="s">
        <v>20</v>
      </c>
    </row>
    <row r="104" spans="1:30" s="107" customFormat="1" ht="35.25" customHeight="1">
      <c r="A104" s="473" t="s">
        <v>1164</v>
      </c>
      <c r="B104" s="708" t="s">
        <v>537</v>
      </c>
      <c r="C104" s="474">
        <v>177</v>
      </c>
      <c r="D104" s="474" t="s">
        <v>1333</v>
      </c>
      <c r="E104" s="507">
        <v>1026143081</v>
      </c>
      <c r="F104" s="508" t="s">
        <v>1334</v>
      </c>
      <c r="G104" s="474">
        <v>74734</v>
      </c>
      <c r="H104" s="509" t="s">
        <v>305</v>
      </c>
      <c r="I104" s="474" t="s">
        <v>254</v>
      </c>
      <c r="J104" s="506">
        <v>18155334</v>
      </c>
      <c r="K104" s="475">
        <f>+J104*0.004</f>
        <v>72621.335999999996</v>
      </c>
    </row>
    <row r="105" spans="1:30" s="107" customFormat="1" ht="35.25" customHeight="1">
      <c r="A105" s="473" t="s">
        <v>1164</v>
      </c>
      <c r="B105" s="708" t="s">
        <v>537</v>
      </c>
      <c r="C105" s="474">
        <v>177</v>
      </c>
      <c r="D105" s="474" t="s">
        <v>821</v>
      </c>
      <c r="E105" s="507">
        <v>1037597865</v>
      </c>
      <c r="F105" s="508" t="s">
        <v>810</v>
      </c>
      <c r="G105" s="474">
        <v>74121</v>
      </c>
      <c r="H105" s="509" t="s">
        <v>305</v>
      </c>
      <c r="I105" s="474" t="s">
        <v>254</v>
      </c>
      <c r="J105" s="506">
        <v>13200547</v>
      </c>
      <c r="K105" s="475">
        <f>+J105*0.004</f>
        <v>52802.188000000002</v>
      </c>
    </row>
    <row r="106" spans="1:30" s="412" customFormat="1" ht="22.5" customHeight="1" thickBot="1">
      <c r="A106" s="476"/>
      <c r="B106" s="477"/>
      <c r="C106" s="476"/>
      <c r="D106" s="478"/>
      <c r="E106" s="479"/>
      <c r="F106" s="480"/>
      <c r="G106" s="1222" t="s">
        <v>1165</v>
      </c>
      <c r="H106" s="1223"/>
      <c r="I106" s="1223"/>
      <c r="J106" s="481">
        <f>SUM(J104:J105)</f>
        <v>31355881</v>
      </c>
      <c r="K106" s="481">
        <f>SUM(K104:K105)</f>
        <v>125423.524</v>
      </c>
      <c r="O106" s="413"/>
      <c r="P106" s="482"/>
      <c r="Q106" s="483"/>
      <c r="R106" s="483"/>
      <c r="S106" s="484"/>
      <c r="T106" s="483"/>
      <c r="U106" s="483"/>
      <c r="V106" s="483"/>
      <c r="W106" s="483"/>
      <c r="X106" s="483"/>
      <c r="Y106" s="483"/>
      <c r="Z106" s="483"/>
      <c r="AA106" s="483"/>
      <c r="AB106" s="483"/>
      <c r="AC106" s="483"/>
      <c r="AD106" s="483"/>
    </row>
    <row r="107" spans="1:30" s="414" customFormat="1">
      <c r="A107" s="496"/>
      <c r="E107" s="497"/>
      <c r="G107" s="413"/>
      <c r="I107" s="498"/>
      <c r="J107" s="498"/>
      <c r="K107" s="499"/>
      <c r="L107" s="498"/>
      <c r="M107" s="498"/>
      <c r="N107" s="415"/>
      <c r="O107" s="416"/>
      <c r="P107" s="416"/>
      <c r="Q107" s="416"/>
      <c r="R107" s="416"/>
      <c r="S107" s="416"/>
      <c r="T107" s="416"/>
      <c r="U107" s="416"/>
      <c r="V107" s="416"/>
      <c r="W107" s="416"/>
      <c r="X107" s="416"/>
      <c r="Y107" s="416"/>
      <c r="Z107" s="416"/>
      <c r="AA107" s="416"/>
      <c r="AB107" s="416"/>
      <c r="AC107" s="416"/>
      <c r="AD107" s="416"/>
    </row>
    <row r="108" spans="1:30" s="412" customFormat="1" ht="22.5" customHeight="1">
      <c r="A108" s="557" t="s">
        <v>373</v>
      </c>
      <c r="B108" s="477"/>
      <c r="C108" s="476"/>
      <c r="D108" s="478"/>
      <c r="E108" s="479"/>
      <c r="F108" s="480"/>
      <c r="G108" s="493"/>
      <c r="H108" s="493"/>
      <c r="I108" s="493"/>
      <c r="J108" s="494"/>
      <c r="K108" s="494"/>
      <c r="O108" s="413"/>
      <c r="P108" s="482"/>
      <c r="Q108" s="483"/>
      <c r="R108" s="483"/>
      <c r="S108" s="484"/>
      <c r="T108" s="483"/>
      <c r="U108" s="483"/>
      <c r="V108" s="483"/>
      <c r="W108" s="483"/>
      <c r="X108" s="483"/>
      <c r="Y108" s="483"/>
      <c r="Z108" s="483"/>
      <c r="AA108" s="483"/>
      <c r="AB108" s="483"/>
      <c r="AC108" s="483"/>
      <c r="AD108" s="483"/>
    </row>
    <row r="109" spans="1:30" s="107" customFormat="1" ht="15" thickBot="1">
      <c r="E109" s="495"/>
    </row>
    <row r="110" spans="1:30" s="107" customFormat="1" ht="30">
      <c r="A110" s="919" t="s">
        <v>31</v>
      </c>
      <c r="B110" s="920" t="s">
        <v>33</v>
      </c>
      <c r="C110" s="920" t="s">
        <v>247</v>
      </c>
      <c r="D110" s="920" t="s">
        <v>248</v>
      </c>
      <c r="E110" s="547" t="s">
        <v>249</v>
      </c>
      <c r="F110" s="920" t="s">
        <v>250</v>
      </c>
      <c r="G110" s="920" t="s">
        <v>251</v>
      </c>
      <c r="H110" s="920" t="s">
        <v>36</v>
      </c>
      <c r="I110" s="920" t="s">
        <v>252</v>
      </c>
      <c r="J110" s="548" t="s">
        <v>253</v>
      </c>
      <c r="K110" s="459" t="s">
        <v>20</v>
      </c>
    </row>
    <row r="111" spans="1:30" s="107" customFormat="1" ht="35.25" customHeight="1">
      <c r="A111" s="473" t="s">
        <v>1164</v>
      </c>
      <c r="B111" s="508" t="s">
        <v>550</v>
      </c>
      <c r="C111" s="474">
        <v>178</v>
      </c>
      <c r="D111" s="474" t="s">
        <v>564</v>
      </c>
      <c r="E111" s="507">
        <v>1152203261</v>
      </c>
      <c r="F111" s="508" t="s">
        <v>565</v>
      </c>
      <c r="G111" s="474">
        <v>74372</v>
      </c>
      <c r="H111" s="509" t="s">
        <v>305</v>
      </c>
      <c r="I111" s="474" t="s">
        <v>254</v>
      </c>
      <c r="J111" s="506">
        <v>6913116</v>
      </c>
      <c r="K111" s="475">
        <f>+J111*0.004</f>
        <v>27652.464</v>
      </c>
    </row>
    <row r="112" spans="1:30" s="412" customFormat="1" ht="22.5" customHeight="1" thickBot="1">
      <c r="A112" s="476"/>
      <c r="B112" s="477"/>
      <c r="C112" s="476"/>
      <c r="D112" s="478"/>
      <c r="E112" s="479"/>
      <c r="F112" s="480"/>
      <c r="G112" s="1222" t="s">
        <v>1165</v>
      </c>
      <c r="H112" s="1223"/>
      <c r="I112" s="1223"/>
      <c r="J112" s="481">
        <f>SUM(J111:J111)</f>
        <v>6913116</v>
      </c>
      <c r="K112" s="481">
        <f>SUM(K111:K111)</f>
        <v>27652.464</v>
      </c>
      <c r="O112" s="413"/>
      <c r="P112" s="482"/>
      <c r="Q112" s="483"/>
      <c r="R112" s="483"/>
      <c r="S112" s="484"/>
      <c r="T112" s="483"/>
      <c r="U112" s="483"/>
      <c r="V112" s="483"/>
      <c r="W112" s="483"/>
      <c r="X112" s="483"/>
      <c r="Y112" s="483"/>
      <c r="Z112" s="483"/>
      <c r="AA112" s="483"/>
      <c r="AB112" s="483"/>
      <c r="AC112" s="483"/>
      <c r="AD112" s="483"/>
    </row>
    <row r="113" spans="1:30" s="412" customFormat="1" ht="22.5" customHeight="1">
      <c r="A113" s="557" t="s">
        <v>374</v>
      </c>
      <c r="B113" s="477"/>
      <c r="C113" s="476"/>
      <c r="D113" s="478"/>
      <c r="E113" s="479"/>
      <c r="F113" s="480"/>
      <c r="G113" s="493"/>
      <c r="H113" s="493"/>
      <c r="I113" s="493"/>
      <c r="J113" s="494"/>
      <c r="K113" s="494"/>
      <c r="O113" s="413"/>
      <c r="P113" s="482"/>
      <c r="Q113" s="483"/>
      <c r="R113" s="483"/>
      <c r="S113" s="484"/>
      <c r="T113" s="483"/>
      <c r="U113" s="483"/>
      <c r="V113" s="483"/>
      <c r="W113" s="483"/>
      <c r="X113" s="483"/>
      <c r="Y113" s="483"/>
      <c r="Z113" s="483"/>
      <c r="AA113" s="483"/>
      <c r="AB113" s="483"/>
      <c r="AC113" s="483"/>
      <c r="AD113" s="483"/>
    </row>
    <row r="114" spans="1:30" s="107" customFormat="1" ht="15" thickBot="1">
      <c r="E114" s="495"/>
    </row>
    <row r="115" spans="1:30" s="107" customFormat="1" ht="30">
      <c r="A115" s="551" t="s">
        <v>31</v>
      </c>
      <c r="B115" s="552" t="s">
        <v>33</v>
      </c>
      <c r="C115" s="552" t="s">
        <v>247</v>
      </c>
      <c r="D115" s="552" t="s">
        <v>248</v>
      </c>
      <c r="E115" s="547" t="s">
        <v>249</v>
      </c>
      <c r="F115" s="552" t="s">
        <v>250</v>
      </c>
      <c r="G115" s="552" t="s">
        <v>251</v>
      </c>
      <c r="H115" s="552" t="s">
        <v>36</v>
      </c>
      <c r="I115" s="552" t="s">
        <v>252</v>
      </c>
      <c r="J115" s="548" t="s">
        <v>253</v>
      </c>
      <c r="K115" s="459" t="s">
        <v>20</v>
      </c>
    </row>
    <row r="116" spans="1:30" s="107" customFormat="1" ht="35.25" customHeight="1">
      <c r="A116" s="473" t="s">
        <v>1164</v>
      </c>
      <c r="B116" s="508" t="s">
        <v>480</v>
      </c>
      <c r="C116" s="474">
        <v>181</v>
      </c>
      <c r="D116" s="474"/>
      <c r="E116" s="507"/>
      <c r="F116" s="508"/>
      <c r="G116" s="474"/>
      <c r="H116" s="509"/>
      <c r="I116" s="474"/>
      <c r="J116" s="506"/>
      <c r="K116" s="475"/>
    </row>
    <row r="117" spans="1:30" s="412" customFormat="1" ht="22.5" customHeight="1" thickBot="1">
      <c r="A117" s="476"/>
      <c r="B117" s="477"/>
      <c r="C117" s="476"/>
      <c r="D117" s="478"/>
      <c r="E117" s="479"/>
      <c r="F117" s="480"/>
      <c r="G117" s="1222" t="s">
        <v>1165</v>
      </c>
      <c r="H117" s="1223"/>
      <c r="I117" s="1223"/>
      <c r="J117" s="481">
        <f>SUM(J116:J116)</f>
        <v>0</v>
      </c>
      <c r="K117" s="481">
        <f>SUM(K116:K116)</f>
        <v>0</v>
      </c>
      <c r="O117" s="413"/>
      <c r="P117" s="482"/>
      <c r="Q117" s="483"/>
      <c r="R117" s="483"/>
      <c r="S117" s="484"/>
      <c r="T117" s="483"/>
      <c r="U117" s="483"/>
      <c r="V117" s="483"/>
      <c r="W117" s="483"/>
      <c r="X117" s="483"/>
      <c r="Y117" s="483"/>
      <c r="Z117" s="483"/>
      <c r="AA117" s="483"/>
      <c r="AB117" s="483"/>
      <c r="AC117" s="483"/>
      <c r="AD117" s="483"/>
    </row>
    <row r="118" spans="1:30" s="414" customFormat="1">
      <c r="A118" s="496"/>
      <c r="E118" s="497"/>
      <c r="G118" s="413"/>
      <c r="I118" s="498"/>
      <c r="J118" s="498"/>
      <c r="K118" s="499"/>
      <c r="L118" s="498"/>
      <c r="M118" s="498"/>
      <c r="N118" s="415"/>
      <c r="O118" s="416"/>
      <c r="P118" s="416"/>
      <c r="Q118" s="416"/>
      <c r="R118" s="416"/>
      <c r="S118" s="416"/>
      <c r="T118" s="416"/>
      <c r="U118" s="416"/>
      <c r="V118" s="416"/>
      <c r="W118" s="416"/>
      <c r="X118" s="416"/>
      <c r="Y118" s="416"/>
      <c r="Z118" s="416"/>
      <c r="AA118" s="416"/>
      <c r="AB118" s="416"/>
      <c r="AC118" s="416"/>
      <c r="AD118" s="416"/>
    </row>
    <row r="119" spans="1:30" s="412" customFormat="1" ht="22.5" customHeight="1">
      <c r="A119" s="557" t="s">
        <v>437</v>
      </c>
      <c r="B119" s="477"/>
      <c r="C119" s="476"/>
      <c r="D119" s="478"/>
      <c r="E119" s="479"/>
      <c r="F119" s="480"/>
      <c r="G119" s="493"/>
      <c r="H119" s="493"/>
      <c r="I119" s="493"/>
      <c r="J119" s="494"/>
      <c r="K119" s="494"/>
      <c r="O119" s="413"/>
      <c r="P119" s="482"/>
      <c r="Q119" s="483"/>
      <c r="R119" s="483"/>
      <c r="S119" s="484"/>
      <c r="T119" s="483"/>
      <c r="U119" s="483"/>
      <c r="V119" s="483"/>
      <c r="W119" s="483"/>
      <c r="X119" s="483"/>
      <c r="Y119" s="483"/>
      <c r="Z119" s="483"/>
      <c r="AA119" s="483"/>
      <c r="AB119" s="483"/>
      <c r="AC119" s="483"/>
      <c r="AD119" s="483"/>
    </row>
    <row r="120" spans="1:30" s="107" customFormat="1" ht="15" thickBot="1">
      <c r="E120" s="495"/>
    </row>
    <row r="121" spans="1:30" s="107" customFormat="1" ht="30">
      <c r="A121" s="661" t="s">
        <v>31</v>
      </c>
      <c r="B121" s="662" t="s">
        <v>33</v>
      </c>
      <c r="C121" s="662" t="s">
        <v>247</v>
      </c>
      <c r="D121" s="662" t="s">
        <v>248</v>
      </c>
      <c r="E121" s="547" t="s">
        <v>249</v>
      </c>
      <c r="F121" s="662" t="s">
        <v>250</v>
      </c>
      <c r="G121" s="662" t="s">
        <v>251</v>
      </c>
      <c r="H121" s="662" t="s">
        <v>36</v>
      </c>
      <c r="I121" s="662" t="s">
        <v>252</v>
      </c>
      <c r="J121" s="548" t="s">
        <v>253</v>
      </c>
      <c r="K121" s="459" t="s">
        <v>20</v>
      </c>
    </row>
    <row r="122" spans="1:30" s="107" customFormat="1" ht="35.25" customHeight="1">
      <c r="A122" s="473" t="s">
        <v>1164</v>
      </c>
      <c r="B122" s="508" t="s">
        <v>566</v>
      </c>
      <c r="C122" s="474">
        <v>185</v>
      </c>
      <c r="D122" s="474" t="s">
        <v>902</v>
      </c>
      <c r="E122" s="507">
        <v>1035853069</v>
      </c>
      <c r="F122" s="508" t="s">
        <v>803</v>
      </c>
      <c r="G122" s="474">
        <v>74462</v>
      </c>
      <c r="H122" s="509" t="s">
        <v>305</v>
      </c>
      <c r="I122" s="474" t="s">
        <v>254</v>
      </c>
      <c r="J122" s="506">
        <v>6839542</v>
      </c>
      <c r="K122" s="475">
        <f t="shared" ref="K122:K129" si="35">+J122*0.004</f>
        <v>27358.168000000001</v>
      </c>
    </row>
    <row r="123" spans="1:30" s="107" customFormat="1" ht="35.25" customHeight="1">
      <c r="A123" s="473" t="s">
        <v>1164</v>
      </c>
      <c r="B123" s="508" t="s">
        <v>566</v>
      </c>
      <c r="C123" s="474">
        <v>185</v>
      </c>
      <c r="D123" s="474" t="s">
        <v>936</v>
      </c>
      <c r="E123" s="507">
        <v>1037504369</v>
      </c>
      <c r="F123" s="508" t="s">
        <v>937</v>
      </c>
      <c r="G123" s="474">
        <v>74476</v>
      </c>
      <c r="H123" s="509" t="s">
        <v>305</v>
      </c>
      <c r="I123" s="474" t="s">
        <v>254</v>
      </c>
      <c r="J123" s="506">
        <v>11688995</v>
      </c>
      <c r="K123" s="475">
        <f>+J123*0.004</f>
        <v>46755.98</v>
      </c>
    </row>
    <row r="124" spans="1:30" s="107" customFormat="1" ht="35.25" customHeight="1">
      <c r="A124" s="473" t="s">
        <v>1164</v>
      </c>
      <c r="B124" s="508" t="s">
        <v>566</v>
      </c>
      <c r="C124" s="474">
        <v>185</v>
      </c>
      <c r="D124" s="474" t="s">
        <v>1126</v>
      </c>
      <c r="E124" s="507">
        <v>1036621296</v>
      </c>
      <c r="F124" s="508" t="s">
        <v>1122</v>
      </c>
      <c r="G124" s="474">
        <v>72790</v>
      </c>
      <c r="H124" s="509" t="s">
        <v>305</v>
      </c>
      <c r="I124" s="474" t="s">
        <v>254</v>
      </c>
      <c r="J124" s="506">
        <v>2283730</v>
      </c>
      <c r="K124" s="475">
        <f>+J124*0.004</f>
        <v>9134.92</v>
      </c>
    </row>
    <row r="125" spans="1:30" s="107" customFormat="1" ht="35.25" customHeight="1">
      <c r="A125" s="473" t="s">
        <v>1164</v>
      </c>
      <c r="B125" s="508" t="s">
        <v>566</v>
      </c>
      <c r="C125" s="474">
        <v>185</v>
      </c>
      <c r="D125" s="474" t="s">
        <v>1017</v>
      </c>
      <c r="E125" s="507">
        <v>1037500575</v>
      </c>
      <c r="F125" s="508" t="s">
        <v>1018</v>
      </c>
      <c r="G125" s="474">
        <v>74413</v>
      </c>
      <c r="H125" s="509" t="s">
        <v>305</v>
      </c>
      <c r="I125" s="474" t="s">
        <v>254</v>
      </c>
      <c r="J125" s="506">
        <v>15845608</v>
      </c>
      <c r="K125" s="475">
        <f>+J125*0.004</f>
        <v>63382.432000000001</v>
      </c>
    </row>
    <row r="126" spans="1:30" s="107" customFormat="1" ht="35.25" customHeight="1">
      <c r="A126" s="473" t="s">
        <v>1164</v>
      </c>
      <c r="B126" s="508" t="s">
        <v>566</v>
      </c>
      <c r="C126" s="474">
        <v>185</v>
      </c>
      <c r="D126" s="474" t="s">
        <v>1127</v>
      </c>
      <c r="E126" s="507">
        <v>43571148</v>
      </c>
      <c r="F126" s="508" t="s">
        <v>1119</v>
      </c>
      <c r="G126" s="474">
        <v>74404</v>
      </c>
      <c r="H126" s="509" t="s">
        <v>305</v>
      </c>
      <c r="I126" s="474" t="s">
        <v>254</v>
      </c>
      <c r="J126" s="506">
        <v>1500000</v>
      </c>
      <c r="K126" s="475">
        <f>+J126*0.004</f>
        <v>6000</v>
      </c>
    </row>
    <row r="127" spans="1:30" s="107" customFormat="1" ht="35.25" customHeight="1">
      <c r="A127" s="473" t="s">
        <v>1164</v>
      </c>
      <c r="B127" s="508" t="s">
        <v>566</v>
      </c>
      <c r="C127" s="474">
        <v>185</v>
      </c>
      <c r="D127" s="474" t="s">
        <v>1128</v>
      </c>
      <c r="E127" s="507">
        <v>42992081</v>
      </c>
      <c r="F127" s="508" t="s">
        <v>1120</v>
      </c>
      <c r="G127" s="474">
        <v>74443</v>
      </c>
      <c r="H127" s="509" t="s">
        <v>305</v>
      </c>
      <c r="I127" s="474" t="s">
        <v>254</v>
      </c>
      <c r="J127" s="506">
        <v>2700000</v>
      </c>
      <c r="K127" s="475">
        <f t="shared" si="35"/>
        <v>10800</v>
      </c>
    </row>
    <row r="128" spans="1:30" s="107" customFormat="1" ht="35.25" customHeight="1">
      <c r="A128" s="473" t="s">
        <v>1164</v>
      </c>
      <c r="B128" s="508" t="s">
        <v>566</v>
      </c>
      <c r="C128" s="474">
        <v>185</v>
      </c>
      <c r="D128" s="474" t="s">
        <v>1335</v>
      </c>
      <c r="E128" s="507">
        <v>52184179</v>
      </c>
      <c r="F128" s="508" t="s">
        <v>1336</v>
      </c>
      <c r="G128" s="474">
        <v>72404</v>
      </c>
      <c r="H128" s="509" t="s">
        <v>305</v>
      </c>
      <c r="I128" s="474" t="s">
        <v>254</v>
      </c>
      <c r="J128" s="506">
        <v>4167007.14</v>
      </c>
      <c r="K128" s="475">
        <f t="shared" si="35"/>
        <v>16668.028560000002</v>
      </c>
    </row>
    <row r="129" spans="1:30" s="107" customFormat="1" ht="35.25" customHeight="1">
      <c r="A129" s="473" t="s">
        <v>1164</v>
      </c>
      <c r="B129" s="508" t="s">
        <v>702</v>
      </c>
      <c r="C129" s="474">
        <v>185</v>
      </c>
      <c r="D129" s="474" t="s">
        <v>903</v>
      </c>
      <c r="E129" s="507">
        <v>71193198</v>
      </c>
      <c r="F129" s="508" t="s">
        <v>703</v>
      </c>
      <c r="G129" s="474">
        <v>74484</v>
      </c>
      <c r="H129" s="509" t="s">
        <v>305</v>
      </c>
      <c r="I129" s="474" t="s">
        <v>254</v>
      </c>
      <c r="J129" s="506">
        <v>600000</v>
      </c>
      <c r="K129" s="475">
        <f t="shared" si="35"/>
        <v>2400</v>
      </c>
    </row>
    <row r="130" spans="1:30" s="412" customFormat="1" ht="22.5" customHeight="1" thickBot="1">
      <c r="A130" s="476"/>
      <c r="B130" s="477"/>
      <c r="C130" s="476"/>
      <c r="D130" s="478"/>
      <c r="E130" s="479"/>
      <c r="F130" s="480"/>
      <c r="G130" s="1235" t="s">
        <v>1165</v>
      </c>
      <c r="H130" s="1236"/>
      <c r="I130" s="1237"/>
      <c r="J130" s="481">
        <f>SUM(J122:J129)</f>
        <v>45624882.140000001</v>
      </c>
      <c r="K130" s="481">
        <f>SUM(K122:K129)</f>
        <v>182499.52856000001</v>
      </c>
      <c r="O130" s="413"/>
      <c r="P130" s="482"/>
      <c r="Q130" s="483"/>
      <c r="R130" s="483"/>
      <c r="S130" s="484"/>
      <c r="T130" s="483"/>
      <c r="U130" s="483"/>
      <c r="V130" s="483"/>
      <c r="W130" s="483"/>
      <c r="X130" s="483"/>
      <c r="Y130" s="483"/>
      <c r="Z130" s="483"/>
      <c r="AA130" s="483"/>
      <c r="AB130" s="483"/>
      <c r="AC130" s="483"/>
      <c r="AD130" s="483"/>
    </row>
    <row r="131" spans="1:30" s="414" customFormat="1">
      <c r="A131" s="496"/>
      <c r="E131" s="497"/>
      <c r="G131" s="413"/>
      <c r="I131" s="498"/>
      <c r="J131" s="498"/>
      <c r="K131" s="499"/>
      <c r="L131" s="498"/>
      <c r="M131" s="498"/>
      <c r="N131" s="415"/>
      <c r="O131" s="416"/>
      <c r="P131" s="416"/>
      <c r="Q131" s="416"/>
      <c r="R131" s="416"/>
      <c r="S131" s="416"/>
      <c r="T131" s="416"/>
      <c r="U131" s="416"/>
      <c r="V131" s="416"/>
      <c r="W131" s="416"/>
      <c r="X131" s="416"/>
      <c r="Y131" s="416"/>
      <c r="Z131" s="416"/>
      <c r="AA131" s="416"/>
      <c r="AB131" s="416"/>
      <c r="AC131" s="416"/>
      <c r="AD131" s="416"/>
    </row>
    <row r="132" spans="1:30" s="412" customFormat="1" ht="22.5" customHeight="1">
      <c r="A132" s="557" t="s">
        <v>438</v>
      </c>
      <c r="B132" s="477"/>
      <c r="C132" s="476"/>
      <c r="D132" s="478"/>
      <c r="E132" s="479"/>
      <c r="F132" s="480"/>
      <c r="G132" s="493"/>
      <c r="H132" s="493"/>
      <c r="I132" s="493"/>
      <c r="J132" s="494"/>
      <c r="K132" s="494"/>
      <c r="O132" s="413"/>
      <c r="P132" s="482"/>
      <c r="Q132" s="483"/>
      <c r="R132" s="483"/>
      <c r="S132" s="484"/>
      <c r="T132" s="483"/>
      <c r="U132" s="483"/>
      <c r="V132" s="483"/>
      <c r="W132" s="483"/>
      <c r="X132" s="483"/>
      <c r="Y132" s="483"/>
      <c r="Z132" s="483"/>
      <c r="AA132" s="483"/>
      <c r="AB132" s="483"/>
      <c r="AC132" s="483"/>
      <c r="AD132" s="483"/>
    </row>
    <row r="133" spans="1:30" s="107" customFormat="1" ht="15" thickBot="1">
      <c r="E133" s="495"/>
    </row>
    <row r="134" spans="1:30" s="107" customFormat="1" ht="30">
      <c r="A134" s="661" t="s">
        <v>31</v>
      </c>
      <c r="B134" s="662" t="s">
        <v>33</v>
      </c>
      <c r="C134" s="662" t="s">
        <v>247</v>
      </c>
      <c r="D134" s="662" t="s">
        <v>248</v>
      </c>
      <c r="E134" s="547" t="s">
        <v>249</v>
      </c>
      <c r="F134" s="662" t="s">
        <v>250</v>
      </c>
      <c r="G134" s="662" t="s">
        <v>251</v>
      </c>
      <c r="H134" s="662" t="s">
        <v>36</v>
      </c>
      <c r="I134" s="662" t="s">
        <v>252</v>
      </c>
      <c r="J134" s="548" t="s">
        <v>253</v>
      </c>
      <c r="K134" s="459" t="s">
        <v>20</v>
      </c>
    </row>
    <row r="135" spans="1:30" s="107" customFormat="1" ht="42.75">
      <c r="A135" s="473" t="s">
        <v>1164</v>
      </c>
      <c r="B135" s="508" t="s">
        <v>1337</v>
      </c>
      <c r="C135" s="474">
        <v>182</v>
      </c>
      <c r="D135" s="474" t="s">
        <v>1338</v>
      </c>
      <c r="E135" s="507">
        <v>1096211952</v>
      </c>
      <c r="F135" s="508" t="s">
        <v>1339</v>
      </c>
      <c r="G135" s="474">
        <v>74344</v>
      </c>
      <c r="H135" s="509" t="s">
        <v>305</v>
      </c>
      <c r="I135" s="474" t="s">
        <v>257</v>
      </c>
      <c r="J135" s="506">
        <v>2160274</v>
      </c>
      <c r="K135" s="475">
        <f>+J135*0.004</f>
        <v>8641.0959999999995</v>
      </c>
    </row>
    <row r="136" spans="1:30" s="107" customFormat="1" ht="35.25" customHeight="1">
      <c r="A136" s="473" t="s">
        <v>1164</v>
      </c>
      <c r="B136" s="508" t="s">
        <v>1337</v>
      </c>
      <c r="C136" s="474">
        <v>182</v>
      </c>
      <c r="D136" s="474" t="s">
        <v>1340</v>
      </c>
      <c r="E136" s="507">
        <v>28483858</v>
      </c>
      <c r="F136" s="508" t="s">
        <v>1341</v>
      </c>
      <c r="G136" s="474">
        <v>74360</v>
      </c>
      <c r="H136" s="509" t="s">
        <v>305</v>
      </c>
      <c r="I136" s="474" t="s">
        <v>257</v>
      </c>
      <c r="J136" s="506">
        <v>31314573</v>
      </c>
      <c r="K136" s="475">
        <f>+J136*0.004</f>
        <v>125258.292</v>
      </c>
    </row>
    <row r="137" spans="1:30" s="412" customFormat="1" ht="22.5" customHeight="1" thickBot="1">
      <c r="A137" s="476"/>
      <c r="B137" s="477"/>
      <c r="C137" s="476"/>
      <c r="D137" s="478"/>
      <c r="E137" s="479"/>
      <c r="F137" s="480"/>
      <c r="G137" s="1222" t="s">
        <v>1165</v>
      </c>
      <c r="H137" s="1223"/>
      <c r="I137" s="1223"/>
      <c r="J137" s="481">
        <f>+SUM(J135:J136)</f>
        <v>33474847</v>
      </c>
      <c r="K137" s="481">
        <f>+SUM(K135:K136)</f>
        <v>133899.38800000001</v>
      </c>
      <c r="O137" s="413"/>
      <c r="P137" s="482"/>
      <c r="Q137" s="483"/>
      <c r="R137" s="483"/>
      <c r="S137" s="484"/>
      <c r="T137" s="483"/>
      <c r="U137" s="483"/>
      <c r="V137" s="483"/>
      <c r="W137" s="483"/>
      <c r="X137" s="483"/>
      <c r="Y137" s="483"/>
      <c r="Z137" s="483"/>
      <c r="AA137" s="483"/>
      <c r="AB137" s="483"/>
      <c r="AC137" s="483"/>
      <c r="AD137" s="483"/>
    </row>
    <row r="138" spans="1:30" s="414" customFormat="1">
      <c r="A138" s="496"/>
      <c r="E138" s="497"/>
      <c r="G138" s="413"/>
      <c r="H138" s="497"/>
      <c r="I138" s="498"/>
      <c r="J138" s="498"/>
      <c r="K138" s="499"/>
      <c r="L138" s="498"/>
      <c r="M138" s="498"/>
      <c r="N138" s="415"/>
      <c r="O138" s="416"/>
      <c r="P138" s="416"/>
      <c r="Q138" s="416"/>
      <c r="R138" s="416"/>
      <c r="S138" s="416"/>
      <c r="T138" s="416"/>
      <c r="U138" s="416"/>
      <c r="V138" s="416"/>
      <c r="W138" s="416"/>
      <c r="X138" s="416"/>
      <c r="Y138" s="416"/>
      <c r="Z138" s="416"/>
      <c r="AA138" s="416"/>
      <c r="AB138" s="416"/>
      <c r="AC138" s="416"/>
      <c r="AD138" s="416"/>
    </row>
    <row r="139" spans="1:30" s="412" customFormat="1" ht="22.5" customHeight="1">
      <c r="A139" s="557" t="s">
        <v>439</v>
      </c>
      <c r="B139" s="477"/>
      <c r="C139" s="476"/>
      <c r="D139" s="478"/>
      <c r="E139" s="479"/>
      <c r="F139" s="480"/>
      <c r="G139" s="493"/>
      <c r="H139" s="493"/>
      <c r="I139" s="493"/>
      <c r="J139" s="494"/>
      <c r="K139" s="494"/>
      <c r="O139" s="413"/>
      <c r="P139" s="482"/>
      <c r="Q139" s="483"/>
      <c r="R139" s="483"/>
      <c r="S139" s="484"/>
      <c r="T139" s="483"/>
      <c r="U139" s="483"/>
      <c r="V139" s="483"/>
      <c r="W139" s="483"/>
      <c r="X139" s="483"/>
      <c r="Y139" s="483"/>
      <c r="Z139" s="483"/>
      <c r="AA139" s="483"/>
      <c r="AB139" s="483"/>
      <c r="AC139" s="483"/>
      <c r="AD139" s="483"/>
    </row>
    <row r="140" spans="1:30" s="107" customFormat="1" ht="15" thickBot="1">
      <c r="E140" s="495"/>
    </row>
    <row r="141" spans="1:30" s="107" customFormat="1" ht="30">
      <c r="A141" s="661" t="s">
        <v>31</v>
      </c>
      <c r="B141" s="662" t="s">
        <v>33</v>
      </c>
      <c r="C141" s="662" t="s">
        <v>247</v>
      </c>
      <c r="D141" s="662" t="s">
        <v>248</v>
      </c>
      <c r="E141" s="547" t="s">
        <v>249</v>
      </c>
      <c r="F141" s="662" t="s">
        <v>250</v>
      </c>
      <c r="G141" s="662" t="s">
        <v>251</v>
      </c>
      <c r="H141" s="662" t="s">
        <v>36</v>
      </c>
      <c r="I141" s="662" t="s">
        <v>252</v>
      </c>
      <c r="J141" s="548" t="s">
        <v>253</v>
      </c>
      <c r="K141" s="459" t="s">
        <v>20</v>
      </c>
    </row>
    <row r="142" spans="1:30" s="107" customFormat="1" ht="35.25" customHeight="1">
      <c r="A142" s="473" t="s">
        <v>1164</v>
      </c>
      <c r="B142" s="508" t="s">
        <v>1080</v>
      </c>
      <c r="C142" s="474">
        <v>172</v>
      </c>
      <c r="D142" s="474" t="s">
        <v>1129</v>
      </c>
      <c r="E142" s="507">
        <v>1001774016</v>
      </c>
      <c r="F142" s="508" t="s">
        <v>1115</v>
      </c>
      <c r="G142" s="474">
        <v>74136</v>
      </c>
      <c r="H142" s="509" t="s">
        <v>305</v>
      </c>
      <c r="I142" s="474" t="s">
        <v>254</v>
      </c>
      <c r="J142" s="506">
        <v>5665107</v>
      </c>
      <c r="K142" s="475">
        <f>+J142*0.004</f>
        <v>22660.428</v>
      </c>
    </row>
    <row r="143" spans="1:30" s="412" customFormat="1" ht="22.5" customHeight="1" thickBot="1">
      <c r="A143" s="476"/>
      <c r="B143" s="477"/>
      <c r="C143" s="476"/>
      <c r="D143" s="478"/>
      <c r="E143" s="479"/>
      <c r="F143" s="480"/>
      <c r="G143" s="1222" t="s">
        <v>1165</v>
      </c>
      <c r="H143" s="1223"/>
      <c r="I143" s="1223"/>
      <c r="J143" s="481">
        <f>SUM(J142:J142)</f>
        <v>5665107</v>
      </c>
      <c r="K143" s="481">
        <f>SUM(K142:K142)</f>
        <v>22660.428</v>
      </c>
      <c r="O143" s="413"/>
      <c r="P143" s="482"/>
      <c r="Q143" s="483"/>
      <c r="R143" s="483"/>
      <c r="S143" s="484"/>
      <c r="T143" s="483"/>
      <c r="U143" s="483"/>
      <c r="V143" s="483"/>
      <c r="W143" s="483"/>
      <c r="X143" s="483"/>
      <c r="Y143" s="483"/>
      <c r="Z143" s="483"/>
      <c r="AA143" s="483"/>
      <c r="AB143" s="483"/>
      <c r="AC143" s="483"/>
      <c r="AD143" s="483"/>
    </row>
    <row r="144" spans="1:30" s="414" customFormat="1">
      <c r="A144" s="496"/>
      <c r="E144" s="497"/>
      <c r="G144" s="413"/>
      <c r="H144" s="497"/>
      <c r="I144" s="498"/>
      <c r="J144" s="498"/>
      <c r="K144" s="499"/>
      <c r="L144" s="498"/>
      <c r="M144" s="498"/>
      <c r="N144" s="415"/>
      <c r="O144" s="416"/>
      <c r="P144" s="416"/>
      <c r="Q144" s="416"/>
      <c r="R144" s="416"/>
      <c r="S144" s="416"/>
      <c r="T144" s="416"/>
      <c r="U144" s="416"/>
      <c r="V144" s="416"/>
      <c r="W144" s="416"/>
      <c r="X144" s="416"/>
      <c r="Y144" s="416"/>
      <c r="Z144" s="416"/>
      <c r="AA144" s="416"/>
      <c r="AB144" s="416"/>
      <c r="AC144" s="416"/>
      <c r="AD144" s="416"/>
    </row>
    <row r="145" spans="1:30" s="412" customFormat="1" ht="22.5" customHeight="1">
      <c r="A145" s="557" t="s">
        <v>440</v>
      </c>
      <c r="B145" s="477"/>
      <c r="C145" s="476"/>
      <c r="D145" s="478"/>
      <c r="E145" s="479"/>
      <c r="F145" s="480"/>
      <c r="G145" s="493"/>
      <c r="H145" s="493"/>
      <c r="I145" s="493"/>
      <c r="J145" s="494"/>
      <c r="K145" s="494"/>
      <c r="O145" s="413"/>
      <c r="P145" s="482"/>
      <c r="Q145" s="483"/>
      <c r="R145" s="483"/>
      <c r="S145" s="484"/>
      <c r="T145" s="483"/>
      <c r="U145" s="483"/>
      <c r="V145" s="483"/>
      <c r="W145" s="483"/>
      <c r="X145" s="483"/>
      <c r="Y145" s="483"/>
      <c r="Z145" s="483"/>
      <c r="AA145" s="483"/>
      <c r="AB145" s="483"/>
      <c r="AC145" s="483"/>
      <c r="AD145" s="483"/>
    </row>
    <row r="146" spans="1:30" s="107" customFormat="1" ht="15" thickBot="1">
      <c r="E146" s="495"/>
    </row>
    <row r="147" spans="1:30" s="107" customFormat="1" ht="30">
      <c r="A147" s="661" t="s">
        <v>31</v>
      </c>
      <c r="B147" s="662" t="s">
        <v>33</v>
      </c>
      <c r="C147" s="662" t="s">
        <v>247</v>
      </c>
      <c r="D147" s="662" t="s">
        <v>248</v>
      </c>
      <c r="E147" s="547" t="s">
        <v>249</v>
      </c>
      <c r="F147" s="662" t="s">
        <v>250</v>
      </c>
      <c r="G147" s="662" t="s">
        <v>251</v>
      </c>
      <c r="H147" s="662" t="s">
        <v>36</v>
      </c>
      <c r="I147" s="662" t="s">
        <v>252</v>
      </c>
      <c r="J147" s="548" t="s">
        <v>253</v>
      </c>
      <c r="K147" s="459" t="s">
        <v>20</v>
      </c>
    </row>
    <row r="148" spans="1:30" s="107" customFormat="1" ht="28.5">
      <c r="A148" s="473" t="s">
        <v>1164</v>
      </c>
      <c r="B148" s="508" t="s">
        <v>567</v>
      </c>
      <c r="C148" s="474">
        <v>183</v>
      </c>
      <c r="D148" s="474"/>
      <c r="E148" s="507"/>
      <c r="F148" s="508"/>
      <c r="G148" s="474"/>
      <c r="H148" s="509"/>
      <c r="I148" s="474"/>
      <c r="J148" s="506"/>
      <c r="K148" s="475"/>
    </row>
    <row r="149" spans="1:30" s="412" customFormat="1" ht="22.5" customHeight="1" thickBot="1">
      <c r="A149" s="476"/>
      <c r="B149" s="477"/>
      <c r="C149" s="476"/>
      <c r="D149" s="478"/>
      <c r="E149" s="479"/>
      <c r="F149" s="480"/>
      <c r="G149" s="1222" t="s">
        <v>1165</v>
      </c>
      <c r="H149" s="1223"/>
      <c r="I149" s="1223"/>
      <c r="J149" s="481">
        <f>SUM(J148:J148)</f>
        <v>0</v>
      </c>
      <c r="K149" s="481">
        <f>SUM(K148:K148)</f>
        <v>0</v>
      </c>
      <c r="O149" s="413"/>
      <c r="P149" s="482"/>
      <c r="Q149" s="483"/>
      <c r="R149" s="483"/>
      <c r="S149" s="484"/>
      <c r="T149" s="483"/>
      <c r="U149" s="483"/>
      <c r="V149" s="483"/>
      <c r="W149" s="483"/>
      <c r="X149" s="483"/>
      <c r="Y149" s="483"/>
      <c r="Z149" s="483"/>
      <c r="AA149" s="483"/>
      <c r="AB149" s="483"/>
      <c r="AC149" s="483"/>
      <c r="AD149" s="483"/>
    </row>
    <row r="150" spans="1:30" s="414" customFormat="1" ht="15">
      <c r="A150" s="413"/>
      <c r="B150" s="413"/>
      <c r="C150" s="478"/>
      <c r="D150" s="500"/>
      <c r="E150" s="501"/>
      <c r="F150" s="411"/>
      <c r="G150" s="413"/>
      <c r="H150" s="497"/>
      <c r="I150" s="498"/>
      <c r="J150" s="498"/>
      <c r="K150" s="499"/>
      <c r="L150" s="498"/>
      <c r="M150" s="498"/>
      <c r="N150" s="415"/>
      <c r="O150" s="416"/>
      <c r="P150" s="416"/>
      <c r="Q150" s="416"/>
      <c r="R150" s="416"/>
      <c r="S150" s="416"/>
      <c r="T150" s="416"/>
      <c r="U150" s="416"/>
      <c r="V150" s="416"/>
      <c r="W150" s="416"/>
      <c r="X150" s="416"/>
      <c r="Y150" s="416"/>
      <c r="Z150" s="416"/>
      <c r="AA150" s="416"/>
      <c r="AB150" s="416"/>
      <c r="AC150" s="416"/>
      <c r="AD150" s="416"/>
    </row>
    <row r="151" spans="1:30" s="412" customFormat="1" ht="22.5" customHeight="1">
      <c r="A151" s="557" t="s">
        <v>441</v>
      </c>
      <c r="B151" s="477"/>
      <c r="C151" s="476"/>
      <c r="D151" s="478"/>
      <c r="E151" s="479"/>
      <c r="F151" s="480"/>
      <c r="G151" s="493"/>
      <c r="H151" s="493"/>
      <c r="I151" s="493"/>
      <c r="J151" s="494"/>
      <c r="K151" s="494"/>
      <c r="O151" s="413"/>
      <c r="P151" s="482"/>
      <c r="Q151" s="483"/>
      <c r="R151" s="483"/>
      <c r="S151" s="484"/>
      <c r="T151" s="483"/>
      <c r="U151" s="483"/>
      <c r="V151" s="483"/>
      <c r="W151" s="483"/>
      <c r="X151" s="483"/>
      <c r="Y151" s="483"/>
      <c r="Z151" s="483"/>
      <c r="AA151" s="483"/>
      <c r="AB151" s="483"/>
      <c r="AC151" s="483"/>
      <c r="AD151" s="483"/>
    </row>
    <row r="152" spans="1:30" s="107" customFormat="1" ht="15" thickBot="1">
      <c r="E152" s="495"/>
    </row>
    <row r="153" spans="1:30" s="107" customFormat="1" ht="30">
      <c r="A153" s="684" t="s">
        <v>31</v>
      </c>
      <c r="B153" s="685" t="s">
        <v>33</v>
      </c>
      <c r="C153" s="685" t="s">
        <v>247</v>
      </c>
      <c r="D153" s="685" t="s">
        <v>248</v>
      </c>
      <c r="E153" s="547" t="s">
        <v>249</v>
      </c>
      <c r="F153" s="685" t="s">
        <v>250</v>
      </c>
      <c r="G153" s="685" t="s">
        <v>251</v>
      </c>
      <c r="H153" s="685" t="s">
        <v>36</v>
      </c>
      <c r="I153" s="685" t="s">
        <v>252</v>
      </c>
      <c r="J153" s="548" t="s">
        <v>253</v>
      </c>
      <c r="K153" s="459" t="s">
        <v>20</v>
      </c>
    </row>
    <row r="154" spans="1:30" s="107" customFormat="1" ht="35.25" customHeight="1">
      <c r="A154" s="473" t="s">
        <v>1164</v>
      </c>
      <c r="B154" s="508" t="s">
        <v>521</v>
      </c>
      <c r="C154" s="474">
        <v>184</v>
      </c>
      <c r="D154" s="474" t="s">
        <v>1342</v>
      </c>
      <c r="E154" s="507">
        <v>43405913</v>
      </c>
      <c r="F154" s="508" t="s">
        <v>1343</v>
      </c>
      <c r="G154" s="474">
        <v>74414</v>
      </c>
      <c r="H154" s="509" t="s">
        <v>305</v>
      </c>
      <c r="I154" s="474" t="s">
        <v>254</v>
      </c>
      <c r="J154" s="506">
        <v>11683224</v>
      </c>
      <c r="K154" s="475">
        <f>+J154*0.004</f>
        <v>46732.896000000001</v>
      </c>
    </row>
    <row r="155" spans="1:30" s="107" customFormat="1" ht="35.25" customHeight="1">
      <c r="A155" s="473" t="s">
        <v>1164</v>
      </c>
      <c r="B155" s="508" t="s">
        <v>521</v>
      </c>
      <c r="C155" s="474">
        <v>184</v>
      </c>
      <c r="D155" s="474" t="s">
        <v>568</v>
      </c>
      <c r="E155" s="507">
        <v>71878512</v>
      </c>
      <c r="F155" s="508" t="s">
        <v>569</v>
      </c>
      <c r="G155" s="474">
        <v>74465</v>
      </c>
      <c r="H155" s="509" t="s">
        <v>305</v>
      </c>
      <c r="I155" s="474" t="s">
        <v>254</v>
      </c>
      <c r="J155" s="506">
        <v>3750516</v>
      </c>
      <c r="K155" s="475">
        <f>+J155*0.004</f>
        <v>15002.064</v>
      </c>
    </row>
    <row r="156" spans="1:30" s="107" customFormat="1" ht="35.25" customHeight="1">
      <c r="A156" s="473" t="s">
        <v>1164</v>
      </c>
      <c r="B156" s="508" t="s">
        <v>521</v>
      </c>
      <c r="C156" s="474">
        <v>184</v>
      </c>
      <c r="D156" s="474" t="s">
        <v>570</v>
      </c>
      <c r="E156" s="507">
        <v>70106221</v>
      </c>
      <c r="F156" s="508" t="s">
        <v>571</v>
      </c>
      <c r="G156" s="474">
        <v>74479</v>
      </c>
      <c r="H156" s="509" t="s">
        <v>305</v>
      </c>
      <c r="I156" s="474" t="s">
        <v>254</v>
      </c>
      <c r="J156" s="506">
        <v>11391376</v>
      </c>
      <c r="K156" s="475">
        <f>+J156*0.004</f>
        <v>45565.504000000001</v>
      </c>
    </row>
    <row r="157" spans="1:30" s="107" customFormat="1" ht="35.25" customHeight="1">
      <c r="A157" s="473" t="s">
        <v>1164</v>
      </c>
      <c r="B157" s="508" t="s">
        <v>521</v>
      </c>
      <c r="C157" s="474">
        <v>184</v>
      </c>
      <c r="D157" s="474" t="s">
        <v>877</v>
      </c>
      <c r="E157" s="507">
        <v>1037615185</v>
      </c>
      <c r="F157" s="508" t="s">
        <v>850</v>
      </c>
      <c r="G157" s="474">
        <v>74395</v>
      </c>
      <c r="H157" s="509" t="s">
        <v>305</v>
      </c>
      <c r="I157" s="474" t="s">
        <v>254</v>
      </c>
      <c r="J157" s="506">
        <v>6982519</v>
      </c>
      <c r="K157" s="475">
        <f>+J157*0.004</f>
        <v>27930.076000000001</v>
      </c>
    </row>
    <row r="158" spans="1:30" s="107" customFormat="1" ht="35.25" customHeight="1">
      <c r="A158" s="473" t="s">
        <v>1164</v>
      </c>
      <c r="B158" s="508" t="s">
        <v>521</v>
      </c>
      <c r="C158" s="474">
        <v>184</v>
      </c>
      <c r="D158" s="474" t="s">
        <v>884</v>
      </c>
      <c r="E158" s="507">
        <v>71763579</v>
      </c>
      <c r="F158" s="508" t="s">
        <v>885</v>
      </c>
      <c r="G158" s="474">
        <v>74482</v>
      </c>
      <c r="H158" s="509" t="s">
        <v>305</v>
      </c>
      <c r="I158" s="474" t="s">
        <v>254</v>
      </c>
      <c r="J158" s="506">
        <v>20379578</v>
      </c>
      <c r="K158" s="475">
        <f>+J158*0.004</f>
        <v>81518.312000000005</v>
      </c>
    </row>
    <row r="159" spans="1:30" s="412" customFormat="1" ht="22.5" customHeight="1" thickBot="1">
      <c r="A159" s="476"/>
      <c r="B159" s="477"/>
      <c r="C159" s="476"/>
      <c r="D159" s="478"/>
      <c r="E159" s="479"/>
      <c r="F159" s="480"/>
      <c r="G159" s="1222" t="s">
        <v>1165</v>
      </c>
      <c r="H159" s="1223"/>
      <c r="I159" s="1223"/>
      <c r="J159" s="481">
        <f>SUM(J154:J158)</f>
        <v>54187213</v>
      </c>
      <c r="K159" s="481">
        <f>SUM(K154:K158)</f>
        <v>216748.85200000001</v>
      </c>
      <c r="O159" s="413"/>
      <c r="P159" s="482"/>
      <c r="Q159" s="483"/>
      <c r="R159" s="483"/>
      <c r="S159" s="484"/>
      <c r="T159" s="483"/>
      <c r="U159" s="483"/>
      <c r="V159" s="483"/>
      <c r="W159" s="483"/>
      <c r="X159" s="483"/>
      <c r="Y159" s="483"/>
      <c r="Z159" s="483"/>
      <c r="AA159" s="483"/>
      <c r="AB159" s="483"/>
      <c r="AC159" s="483"/>
      <c r="AD159" s="483"/>
    </row>
    <row r="160" spans="1:30" s="412" customFormat="1" ht="22.5" customHeight="1">
      <c r="A160" s="476"/>
      <c r="B160" s="477"/>
      <c r="C160" s="476"/>
      <c r="D160" s="478"/>
      <c r="E160" s="479"/>
      <c r="F160" s="480"/>
      <c r="G160" s="493"/>
      <c r="H160" s="493"/>
      <c r="I160" s="493"/>
      <c r="J160" s="494"/>
      <c r="K160" s="494"/>
      <c r="O160" s="413"/>
      <c r="P160" s="482"/>
      <c r="Q160" s="483"/>
      <c r="R160" s="483"/>
      <c r="S160" s="484"/>
      <c r="T160" s="483"/>
      <c r="U160" s="483"/>
      <c r="V160" s="483"/>
      <c r="W160" s="483"/>
      <c r="X160" s="483"/>
      <c r="Y160" s="483"/>
      <c r="Z160" s="483"/>
      <c r="AA160" s="483"/>
      <c r="AB160" s="483"/>
      <c r="AC160" s="483"/>
      <c r="AD160" s="483"/>
    </row>
    <row r="161" spans="1:30" s="412" customFormat="1" ht="22.5" customHeight="1">
      <c r="A161" s="557" t="s">
        <v>472</v>
      </c>
      <c r="B161" s="477"/>
      <c r="C161" s="476"/>
      <c r="D161" s="478"/>
      <c r="E161" s="479"/>
      <c r="F161" s="480"/>
      <c r="G161" s="493"/>
      <c r="H161" s="493"/>
      <c r="I161" s="493"/>
      <c r="J161" s="494"/>
      <c r="K161" s="494"/>
      <c r="O161" s="413"/>
      <c r="P161" s="482"/>
      <c r="Q161" s="483"/>
      <c r="R161" s="483"/>
      <c r="S161" s="484"/>
      <c r="T161" s="483"/>
      <c r="U161" s="483"/>
      <c r="V161" s="483"/>
      <c r="W161" s="483"/>
      <c r="X161" s="483"/>
      <c r="Y161" s="483"/>
      <c r="Z161" s="483"/>
      <c r="AA161" s="483"/>
      <c r="AB161" s="483"/>
      <c r="AC161" s="483"/>
      <c r="AD161" s="483"/>
    </row>
    <row r="162" spans="1:30" s="107" customFormat="1" ht="15" thickBot="1">
      <c r="E162" s="495"/>
    </row>
    <row r="163" spans="1:30" s="107" customFormat="1" ht="30">
      <c r="A163" s="950" t="s">
        <v>31</v>
      </c>
      <c r="B163" s="951" t="s">
        <v>33</v>
      </c>
      <c r="C163" s="951" t="s">
        <v>247</v>
      </c>
      <c r="D163" s="951" t="s">
        <v>248</v>
      </c>
      <c r="E163" s="547" t="s">
        <v>249</v>
      </c>
      <c r="F163" s="951" t="s">
        <v>250</v>
      </c>
      <c r="G163" s="951" t="s">
        <v>251</v>
      </c>
      <c r="H163" s="951" t="s">
        <v>36</v>
      </c>
      <c r="I163" s="951" t="s">
        <v>252</v>
      </c>
      <c r="J163" s="548" t="s">
        <v>253</v>
      </c>
      <c r="K163" s="459" t="s">
        <v>20</v>
      </c>
    </row>
    <row r="164" spans="1:30" s="107" customFormat="1" ht="35.25" customHeight="1">
      <c r="A164" s="473" t="s">
        <v>1164</v>
      </c>
      <c r="B164" s="508" t="s">
        <v>572</v>
      </c>
      <c r="C164" s="474">
        <v>176</v>
      </c>
      <c r="D164" s="474" t="s">
        <v>1344</v>
      </c>
      <c r="E164" s="507">
        <v>1024543932</v>
      </c>
      <c r="F164" s="508" t="s">
        <v>1345</v>
      </c>
      <c r="G164" s="474">
        <v>74226</v>
      </c>
      <c r="H164" s="509" t="s">
        <v>305</v>
      </c>
      <c r="I164" s="474" t="s">
        <v>255</v>
      </c>
      <c r="J164" s="506">
        <v>27773957</v>
      </c>
      <c r="K164" s="475">
        <f>+J164*0.004</f>
        <v>111095.82800000001</v>
      </c>
    </row>
    <row r="165" spans="1:30" s="412" customFormat="1" ht="22.5" customHeight="1" thickBot="1">
      <c r="A165" s="665"/>
      <c r="B165" s="477"/>
      <c r="C165" s="476"/>
      <c r="D165" s="478"/>
      <c r="E165" s="479"/>
      <c r="F165" s="480"/>
      <c r="G165" s="1222" t="s">
        <v>1165</v>
      </c>
      <c r="H165" s="1223"/>
      <c r="I165" s="1223"/>
      <c r="J165" s="481">
        <f>SUM(J164:J164)</f>
        <v>27773957</v>
      </c>
      <c r="K165" s="481">
        <f>SUM(K164:K164)</f>
        <v>111095.82800000001</v>
      </c>
      <c r="O165" s="413"/>
      <c r="P165" s="482"/>
      <c r="Q165" s="483"/>
      <c r="R165" s="483"/>
      <c r="S165" s="484"/>
      <c r="T165" s="483"/>
      <c r="U165" s="483"/>
      <c r="V165" s="483"/>
      <c r="W165" s="483"/>
      <c r="X165" s="483"/>
      <c r="Y165" s="483"/>
      <c r="Z165" s="483"/>
      <c r="AA165" s="483"/>
      <c r="AB165" s="483"/>
      <c r="AC165" s="483"/>
      <c r="AD165" s="483"/>
    </row>
    <row r="166" spans="1:30" s="412" customFormat="1" ht="22.5" customHeight="1">
      <c r="A166" s="476"/>
      <c r="B166" s="477"/>
      <c r="C166" s="476"/>
      <c r="D166" s="478"/>
      <c r="E166" s="479"/>
      <c r="F166" s="480"/>
      <c r="G166" s="493"/>
      <c r="H166" s="493"/>
      <c r="I166" s="493"/>
      <c r="J166" s="494"/>
      <c r="K166" s="494"/>
      <c r="O166" s="413"/>
      <c r="P166" s="482"/>
      <c r="Q166" s="483"/>
      <c r="R166" s="483"/>
      <c r="S166" s="484"/>
      <c r="T166" s="483"/>
      <c r="U166" s="483"/>
      <c r="V166" s="483"/>
      <c r="W166" s="483"/>
      <c r="X166" s="483"/>
      <c r="Y166" s="483"/>
      <c r="Z166" s="483"/>
      <c r="AA166" s="483"/>
      <c r="AB166" s="483"/>
      <c r="AC166" s="483"/>
      <c r="AD166" s="483"/>
    </row>
    <row r="167" spans="1:30" s="412" customFormat="1" ht="22.5" customHeight="1">
      <c r="A167" s="557" t="s">
        <v>489</v>
      </c>
      <c r="B167" s="477"/>
      <c r="C167" s="476"/>
      <c r="D167" s="478"/>
      <c r="E167" s="479"/>
      <c r="F167" s="480"/>
      <c r="G167" s="493"/>
      <c r="H167" s="493"/>
      <c r="I167" s="493"/>
      <c r="J167" s="494"/>
      <c r="K167" s="494"/>
      <c r="O167" s="413"/>
      <c r="P167" s="482"/>
      <c r="Q167" s="483"/>
      <c r="R167" s="483"/>
      <c r="S167" s="484"/>
      <c r="T167" s="483"/>
      <c r="U167" s="483"/>
      <c r="V167" s="483"/>
      <c r="W167" s="483"/>
      <c r="X167" s="483"/>
      <c r="Y167" s="483"/>
      <c r="Z167" s="483"/>
      <c r="AA167" s="483"/>
      <c r="AB167" s="483"/>
      <c r="AC167" s="483"/>
      <c r="AD167" s="483"/>
    </row>
    <row r="168" spans="1:30" s="107" customFormat="1" ht="15" thickBot="1">
      <c r="E168" s="495"/>
    </row>
    <row r="169" spans="1:30" s="107" customFormat="1" ht="30">
      <c r="A169" s="726" t="s">
        <v>31</v>
      </c>
      <c r="B169" s="727" t="s">
        <v>33</v>
      </c>
      <c r="C169" s="727" t="s">
        <v>247</v>
      </c>
      <c r="D169" s="727" t="s">
        <v>248</v>
      </c>
      <c r="E169" s="547" t="s">
        <v>249</v>
      </c>
      <c r="F169" s="727" t="s">
        <v>250</v>
      </c>
      <c r="G169" s="727" t="s">
        <v>251</v>
      </c>
      <c r="H169" s="727" t="s">
        <v>36</v>
      </c>
      <c r="I169" s="727" t="s">
        <v>252</v>
      </c>
      <c r="J169" s="548" t="s">
        <v>253</v>
      </c>
      <c r="K169" s="459" t="s">
        <v>20</v>
      </c>
    </row>
    <row r="170" spans="1:30" s="107" customFormat="1" ht="35.25" customHeight="1">
      <c r="A170" s="473" t="s">
        <v>1164</v>
      </c>
      <c r="B170" s="508" t="s">
        <v>1098</v>
      </c>
      <c r="C170" s="474">
        <v>179</v>
      </c>
      <c r="D170" s="474"/>
      <c r="E170" s="507"/>
      <c r="F170" s="508"/>
      <c r="G170" s="474"/>
      <c r="H170" s="509"/>
      <c r="I170" s="474"/>
      <c r="J170" s="506"/>
      <c r="K170" s="475"/>
    </row>
    <row r="171" spans="1:30" s="412" customFormat="1" ht="22.5" customHeight="1" thickBot="1">
      <c r="A171" s="665"/>
      <c r="B171" s="477"/>
      <c r="C171" s="476"/>
      <c r="D171" s="478"/>
      <c r="E171" s="479"/>
      <c r="F171" s="480"/>
      <c r="G171" s="1222" t="s">
        <v>1165</v>
      </c>
      <c r="H171" s="1223"/>
      <c r="I171" s="1223"/>
      <c r="J171" s="481">
        <f>SUM(J170:J170)</f>
        <v>0</v>
      </c>
      <c r="K171" s="481">
        <f>SUM(K170:K170)</f>
        <v>0</v>
      </c>
      <c r="O171" s="413"/>
      <c r="P171" s="482"/>
      <c r="Q171" s="483"/>
      <c r="R171" s="483"/>
      <c r="S171" s="484"/>
      <c r="T171" s="483"/>
      <c r="U171" s="483"/>
      <c r="V171" s="483"/>
      <c r="W171" s="483"/>
      <c r="X171" s="483"/>
      <c r="Y171" s="483"/>
      <c r="Z171" s="483"/>
      <c r="AA171" s="483"/>
      <c r="AB171" s="483"/>
      <c r="AC171" s="483"/>
      <c r="AD171" s="483"/>
    </row>
    <row r="172" spans="1:30" s="412" customFormat="1" ht="22.5" customHeight="1">
      <c r="A172" s="476"/>
      <c r="B172" s="477"/>
      <c r="C172" s="476"/>
      <c r="D172" s="478"/>
      <c r="E172" s="479"/>
      <c r="F172" s="480"/>
      <c r="G172" s="493"/>
      <c r="H172" s="493"/>
      <c r="I172" s="493"/>
      <c r="J172" s="494"/>
      <c r="K172" s="494"/>
      <c r="O172" s="413"/>
      <c r="P172" s="482"/>
      <c r="Q172" s="483"/>
      <c r="R172" s="483"/>
      <c r="S172" s="484"/>
      <c r="T172" s="483"/>
      <c r="U172" s="483"/>
      <c r="V172" s="483"/>
      <c r="W172" s="483"/>
      <c r="X172" s="483"/>
      <c r="Y172" s="483"/>
      <c r="Z172" s="483"/>
      <c r="AA172" s="483"/>
      <c r="AB172" s="483"/>
      <c r="AC172" s="483"/>
      <c r="AD172" s="483"/>
    </row>
    <row r="173" spans="1:30" s="412" customFormat="1" ht="22.5" customHeight="1">
      <c r="A173" s="557" t="s">
        <v>490</v>
      </c>
      <c r="B173" s="477"/>
      <c r="C173" s="476"/>
      <c r="D173" s="478"/>
      <c r="E173" s="479"/>
      <c r="F173" s="480"/>
      <c r="G173" s="493"/>
      <c r="H173" s="493"/>
      <c r="I173" s="493"/>
      <c r="J173" s="494"/>
      <c r="K173" s="494"/>
      <c r="O173" s="413"/>
      <c r="P173" s="482"/>
      <c r="Q173" s="483"/>
      <c r="R173" s="483"/>
      <c r="S173" s="484"/>
      <c r="T173" s="483"/>
      <c r="U173" s="483"/>
      <c r="V173" s="483"/>
      <c r="W173" s="483"/>
      <c r="X173" s="483"/>
      <c r="Y173" s="483"/>
      <c r="Z173" s="483"/>
      <c r="AA173" s="483"/>
      <c r="AB173" s="483"/>
      <c r="AC173" s="483"/>
      <c r="AD173" s="483"/>
    </row>
    <row r="174" spans="1:30" s="107" customFormat="1" ht="15" thickBot="1">
      <c r="E174" s="495"/>
    </row>
    <row r="175" spans="1:30" s="107" customFormat="1" ht="30">
      <c r="A175" s="684" t="s">
        <v>31</v>
      </c>
      <c r="B175" s="685" t="s">
        <v>33</v>
      </c>
      <c r="C175" s="685" t="s">
        <v>247</v>
      </c>
      <c r="D175" s="685" t="s">
        <v>248</v>
      </c>
      <c r="E175" s="547" t="s">
        <v>249</v>
      </c>
      <c r="F175" s="685" t="s">
        <v>250</v>
      </c>
      <c r="G175" s="685" t="s">
        <v>251</v>
      </c>
      <c r="H175" s="685" t="s">
        <v>36</v>
      </c>
      <c r="I175" s="685" t="s">
        <v>252</v>
      </c>
      <c r="J175" s="548" t="s">
        <v>253</v>
      </c>
      <c r="K175" s="459" t="s">
        <v>20</v>
      </c>
    </row>
    <row r="176" spans="1:30" s="107" customFormat="1" ht="35.25" customHeight="1">
      <c r="A176" s="473" t="s">
        <v>1164</v>
      </c>
      <c r="B176" s="508" t="s">
        <v>573</v>
      </c>
      <c r="C176" s="474">
        <v>169</v>
      </c>
      <c r="D176" s="474" t="s">
        <v>574</v>
      </c>
      <c r="E176" s="507">
        <v>1048847144</v>
      </c>
      <c r="F176" s="508" t="s">
        <v>575</v>
      </c>
      <c r="G176" s="474">
        <v>75522</v>
      </c>
      <c r="H176" s="509" t="s">
        <v>305</v>
      </c>
      <c r="I176" s="474" t="s">
        <v>304</v>
      </c>
      <c r="J176" s="506">
        <v>8821000</v>
      </c>
      <c r="K176" s="475">
        <f t="shared" ref="K176:K181" si="36">+J176*0.004</f>
        <v>35284</v>
      </c>
    </row>
    <row r="177" spans="1:30" s="107" customFormat="1" ht="35.25" customHeight="1">
      <c r="A177" s="473" t="s">
        <v>1164</v>
      </c>
      <c r="B177" s="508" t="s">
        <v>573</v>
      </c>
      <c r="C177" s="474">
        <v>169</v>
      </c>
      <c r="D177" s="474" t="s">
        <v>606</v>
      </c>
      <c r="E177" s="507">
        <v>86047857</v>
      </c>
      <c r="F177" s="508" t="s">
        <v>607</v>
      </c>
      <c r="G177" s="474">
        <v>74412</v>
      </c>
      <c r="H177" s="509" t="s">
        <v>305</v>
      </c>
      <c r="I177" s="474" t="s">
        <v>304</v>
      </c>
      <c r="J177" s="506">
        <v>1267636</v>
      </c>
      <c r="K177" s="475">
        <f t="shared" si="36"/>
        <v>5070.5439999999999</v>
      </c>
    </row>
    <row r="178" spans="1:30" s="107" customFormat="1" ht="35.25" customHeight="1">
      <c r="A178" s="473" t="s">
        <v>1164</v>
      </c>
      <c r="B178" s="508" t="s">
        <v>573</v>
      </c>
      <c r="C178" s="474">
        <v>169</v>
      </c>
      <c r="D178" s="474" t="s">
        <v>704</v>
      </c>
      <c r="E178" s="507">
        <v>1088292582</v>
      </c>
      <c r="F178" s="508" t="s">
        <v>705</v>
      </c>
      <c r="G178" s="474">
        <v>75530</v>
      </c>
      <c r="H178" s="509" t="s">
        <v>305</v>
      </c>
      <c r="I178" s="474" t="s">
        <v>304</v>
      </c>
      <c r="J178" s="506">
        <v>16970945</v>
      </c>
      <c r="K178" s="475">
        <f t="shared" si="36"/>
        <v>67883.78</v>
      </c>
    </row>
    <row r="179" spans="1:30" s="107" customFormat="1" ht="35.25" customHeight="1">
      <c r="A179" s="473" t="s">
        <v>1164</v>
      </c>
      <c r="B179" s="508" t="s">
        <v>573</v>
      </c>
      <c r="C179" s="474">
        <v>169</v>
      </c>
      <c r="D179" s="474" t="s">
        <v>938</v>
      </c>
      <c r="E179" s="507">
        <v>1026582003</v>
      </c>
      <c r="F179" s="508" t="s">
        <v>939</v>
      </c>
      <c r="G179" s="474">
        <v>74338</v>
      </c>
      <c r="H179" s="509" t="s">
        <v>305</v>
      </c>
      <c r="I179" s="474" t="s">
        <v>304</v>
      </c>
      <c r="J179" s="506">
        <v>2277100</v>
      </c>
      <c r="K179" s="475">
        <f t="shared" si="36"/>
        <v>9108.4</v>
      </c>
    </row>
    <row r="180" spans="1:30" s="107" customFormat="1" ht="35.25" customHeight="1">
      <c r="A180" s="473" t="s">
        <v>1164</v>
      </c>
      <c r="B180" s="508" t="s">
        <v>573</v>
      </c>
      <c r="C180" s="474">
        <v>169</v>
      </c>
      <c r="D180" s="474" t="s">
        <v>706</v>
      </c>
      <c r="E180" s="507">
        <v>7063252</v>
      </c>
      <c r="F180" s="508" t="s">
        <v>707</v>
      </c>
      <c r="G180" s="474">
        <v>74426</v>
      </c>
      <c r="H180" s="509" t="s">
        <v>305</v>
      </c>
      <c r="I180" s="474" t="s">
        <v>304</v>
      </c>
      <c r="J180" s="506">
        <v>2285030</v>
      </c>
      <c r="K180" s="475">
        <f>+J180*0.004</f>
        <v>9140.1200000000008</v>
      </c>
    </row>
    <row r="181" spans="1:30" s="107" customFormat="1" ht="35.25" customHeight="1">
      <c r="A181" s="473" t="s">
        <v>1164</v>
      </c>
      <c r="B181" s="508" t="s">
        <v>651</v>
      </c>
      <c r="C181" s="474">
        <v>169</v>
      </c>
      <c r="D181" s="474" t="s">
        <v>683</v>
      </c>
      <c r="E181" s="507">
        <v>1118202275</v>
      </c>
      <c r="F181" s="508" t="s">
        <v>652</v>
      </c>
      <c r="G181" s="474">
        <v>74823</v>
      </c>
      <c r="H181" s="509" t="s">
        <v>305</v>
      </c>
      <c r="I181" s="474" t="s">
        <v>304</v>
      </c>
      <c r="J181" s="506">
        <v>2000000</v>
      </c>
      <c r="K181" s="475">
        <f t="shared" si="36"/>
        <v>8000</v>
      </c>
    </row>
    <row r="182" spans="1:30" s="412" customFormat="1" ht="22.5" customHeight="1" thickBot="1">
      <c r="A182" s="476"/>
      <c r="B182" s="477"/>
      <c r="C182" s="476"/>
      <c r="D182" s="478"/>
      <c r="E182" s="479"/>
      <c r="F182" s="480"/>
      <c r="G182" s="1222" t="s">
        <v>1165</v>
      </c>
      <c r="H182" s="1223"/>
      <c r="I182" s="1223"/>
      <c r="J182" s="481">
        <f>SUM(J176:J181)</f>
        <v>33621711</v>
      </c>
      <c r="K182" s="481">
        <f>SUM(K176:K181)</f>
        <v>134486.84399999998</v>
      </c>
      <c r="O182" s="413"/>
      <c r="P182" s="482"/>
      <c r="Q182" s="483"/>
      <c r="R182" s="483"/>
      <c r="S182" s="484"/>
      <c r="T182" s="483"/>
      <c r="U182" s="483"/>
      <c r="V182" s="483"/>
      <c r="W182" s="483"/>
      <c r="X182" s="483"/>
      <c r="Y182" s="483"/>
      <c r="Z182" s="483"/>
      <c r="AA182" s="483"/>
      <c r="AB182" s="483"/>
      <c r="AC182" s="483"/>
      <c r="AD182" s="483"/>
    </row>
    <row r="183" spans="1:30" s="412" customFormat="1" ht="22.5" customHeight="1">
      <c r="A183" s="476"/>
      <c r="B183" s="477"/>
      <c r="C183" s="476"/>
      <c r="D183" s="478"/>
      <c r="E183" s="479"/>
      <c r="F183" s="480"/>
      <c r="G183" s="493"/>
      <c r="H183" s="493"/>
      <c r="I183" s="493"/>
      <c r="J183" s="494"/>
      <c r="K183" s="494"/>
      <c r="O183" s="413"/>
      <c r="P183" s="482"/>
      <c r="Q183" s="483"/>
      <c r="R183" s="483"/>
      <c r="S183" s="484"/>
      <c r="T183" s="483"/>
      <c r="U183" s="483"/>
      <c r="V183" s="483"/>
      <c r="W183" s="483"/>
      <c r="X183" s="483"/>
      <c r="Y183" s="483"/>
      <c r="Z183" s="483"/>
      <c r="AA183" s="483"/>
      <c r="AB183" s="483"/>
      <c r="AC183" s="483"/>
      <c r="AD183" s="483"/>
    </row>
    <row r="184" spans="1:30" s="412" customFormat="1" ht="22.5" customHeight="1">
      <c r="A184" s="557" t="s">
        <v>491</v>
      </c>
      <c r="B184" s="477"/>
      <c r="C184" s="476"/>
      <c r="D184" s="478"/>
      <c r="E184" s="479"/>
      <c r="F184" s="480"/>
      <c r="G184" s="493"/>
      <c r="H184" s="493"/>
      <c r="I184" s="493"/>
      <c r="J184" s="494"/>
      <c r="K184" s="494"/>
      <c r="O184" s="413"/>
      <c r="P184" s="482"/>
      <c r="Q184" s="483"/>
      <c r="R184" s="483"/>
      <c r="S184" s="484"/>
      <c r="T184" s="483"/>
      <c r="U184" s="483"/>
      <c r="V184" s="483"/>
      <c r="W184" s="483"/>
      <c r="X184" s="483"/>
      <c r="Y184" s="483"/>
      <c r="Z184" s="483"/>
      <c r="AA184" s="483"/>
      <c r="AB184" s="483"/>
      <c r="AC184" s="483"/>
      <c r="AD184" s="483"/>
    </row>
    <row r="185" spans="1:30" s="107" customFormat="1" ht="15" thickBot="1">
      <c r="E185" s="495"/>
    </row>
    <row r="186" spans="1:30" s="107" customFormat="1" ht="30">
      <c r="A186" s="684" t="s">
        <v>31</v>
      </c>
      <c r="B186" s="685" t="s">
        <v>33</v>
      </c>
      <c r="C186" s="685" t="s">
        <v>247</v>
      </c>
      <c r="D186" s="685" t="s">
        <v>248</v>
      </c>
      <c r="E186" s="547" t="s">
        <v>249</v>
      </c>
      <c r="F186" s="685" t="s">
        <v>250</v>
      </c>
      <c r="G186" s="685" t="s">
        <v>251</v>
      </c>
      <c r="H186" s="685" t="s">
        <v>36</v>
      </c>
      <c r="I186" s="685" t="s">
        <v>252</v>
      </c>
      <c r="J186" s="548" t="s">
        <v>253</v>
      </c>
      <c r="K186" s="459" t="s">
        <v>20</v>
      </c>
    </row>
    <row r="187" spans="1:30" s="107" customFormat="1" ht="35.25" customHeight="1">
      <c r="A187" s="473" t="s">
        <v>1164</v>
      </c>
      <c r="B187" s="508" t="s">
        <v>492</v>
      </c>
      <c r="C187" s="474">
        <v>175</v>
      </c>
      <c r="D187" s="474" t="s">
        <v>512</v>
      </c>
      <c r="E187" s="507">
        <v>1100690595</v>
      </c>
      <c r="F187" s="508" t="s">
        <v>513</v>
      </c>
      <c r="G187" s="474">
        <v>74365</v>
      </c>
      <c r="H187" s="509" t="s">
        <v>305</v>
      </c>
      <c r="I187" s="474" t="s">
        <v>493</v>
      </c>
      <c r="J187" s="506">
        <v>3621096</v>
      </c>
      <c r="K187" s="475">
        <f>+J187*0.004</f>
        <v>14484.384</v>
      </c>
    </row>
    <row r="188" spans="1:30" s="107" customFormat="1" ht="35.25" customHeight="1">
      <c r="A188" s="473" t="s">
        <v>1164</v>
      </c>
      <c r="B188" s="508" t="s">
        <v>492</v>
      </c>
      <c r="C188" s="474">
        <v>175</v>
      </c>
      <c r="D188" s="474" t="s">
        <v>1346</v>
      </c>
      <c r="E188" s="507">
        <v>1102805541</v>
      </c>
      <c r="F188" s="508" t="s">
        <v>1347</v>
      </c>
      <c r="G188" s="474">
        <v>74369</v>
      </c>
      <c r="H188" s="509" t="s">
        <v>305</v>
      </c>
      <c r="I188" s="474" t="s">
        <v>493</v>
      </c>
      <c r="J188" s="506">
        <v>22627902</v>
      </c>
      <c r="K188" s="475">
        <f>+J188*0.004</f>
        <v>90511.608000000007</v>
      </c>
    </row>
    <row r="189" spans="1:30" s="412" customFormat="1" ht="22.5" customHeight="1" thickBot="1">
      <c r="A189" s="476"/>
      <c r="B189" s="477"/>
      <c r="C189" s="476"/>
      <c r="D189" s="478"/>
      <c r="E189" s="479"/>
      <c r="F189" s="480"/>
      <c r="G189" s="1222" t="s">
        <v>1165</v>
      </c>
      <c r="H189" s="1223"/>
      <c r="I189" s="1223"/>
      <c r="J189" s="481">
        <f>SUM(J187:J188)</f>
        <v>26248998</v>
      </c>
      <c r="K189" s="481">
        <f>SUM(K187:K188)</f>
        <v>104995.99200000001</v>
      </c>
      <c r="O189" s="413"/>
      <c r="P189" s="482"/>
      <c r="Q189" s="483"/>
      <c r="R189" s="483"/>
      <c r="S189" s="484"/>
      <c r="T189" s="483"/>
      <c r="U189" s="483"/>
      <c r="V189" s="483"/>
      <c r="W189" s="483"/>
      <c r="X189" s="483"/>
      <c r="Y189" s="483"/>
      <c r="Z189" s="483"/>
      <c r="AA189" s="483"/>
      <c r="AB189" s="483"/>
      <c r="AC189" s="483"/>
      <c r="AD189" s="483"/>
    </row>
    <row r="190" spans="1:30" s="412" customFormat="1" ht="22.5" customHeight="1">
      <c r="A190" s="476"/>
      <c r="B190" s="477"/>
      <c r="C190" s="476"/>
      <c r="D190" s="478"/>
      <c r="E190" s="479"/>
      <c r="F190" s="480"/>
      <c r="G190" s="480"/>
      <c r="H190" s="480"/>
      <c r="I190" s="480"/>
      <c r="J190" s="480"/>
      <c r="K190" s="480"/>
      <c r="O190" s="413"/>
      <c r="P190" s="482"/>
      <c r="Q190" s="483"/>
      <c r="R190" s="483"/>
      <c r="S190" s="484"/>
      <c r="T190" s="483"/>
      <c r="U190" s="483"/>
      <c r="V190" s="483"/>
      <c r="W190" s="483"/>
      <c r="X190" s="483"/>
      <c r="Y190" s="483"/>
      <c r="Z190" s="483"/>
      <c r="AA190" s="483"/>
      <c r="AB190" s="483"/>
      <c r="AC190" s="483"/>
      <c r="AD190" s="483"/>
    </row>
    <row r="191" spans="1:30" s="412" customFormat="1" ht="22.5" customHeight="1">
      <c r="A191" s="557" t="s">
        <v>528</v>
      </c>
      <c r="B191" s="477"/>
      <c r="C191" s="476"/>
      <c r="D191" s="478"/>
      <c r="E191" s="479"/>
      <c r="F191" s="480"/>
      <c r="G191" s="493"/>
      <c r="H191" s="493"/>
      <c r="I191" s="493"/>
      <c r="J191" s="494"/>
      <c r="K191" s="494"/>
      <c r="O191" s="413"/>
      <c r="P191" s="482"/>
      <c r="Q191" s="483"/>
      <c r="R191" s="483"/>
      <c r="S191" s="484"/>
      <c r="T191" s="483"/>
      <c r="U191" s="483"/>
      <c r="V191" s="483"/>
      <c r="W191" s="483"/>
      <c r="X191" s="483"/>
      <c r="Y191" s="483"/>
      <c r="Z191" s="483"/>
      <c r="AA191" s="483"/>
      <c r="AB191" s="483"/>
      <c r="AC191" s="483"/>
      <c r="AD191" s="483"/>
    </row>
    <row r="192" spans="1:30" s="107" customFormat="1" ht="15" thickBot="1">
      <c r="E192" s="495"/>
    </row>
    <row r="193" spans="1:30" s="107" customFormat="1" ht="30">
      <c r="A193" s="739" t="s">
        <v>31</v>
      </c>
      <c r="B193" s="740" t="s">
        <v>33</v>
      </c>
      <c r="C193" s="740" t="s">
        <v>247</v>
      </c>
      <c r="D193" s="740" t="s">
        <v>248</v>
      </c>
      <c r="E193" s="547" t="s">
        <v>249</v>
      </c>
      <c r="F193" s="740" t="s">
        <v>250</v>
      </c>
      <c r="G193" s="740" t="s">
        <v>251</v>
      </c>
      <c r="H193" s="740" t="s">
        <v>36</v>
      </c>
      <c r="I193" s="740" t="s">
        <v>252</v>
      </c>
      <c r="J193" s="548" t="s">
        <v>253</v>
      </c>
      <c r="K193" s="459" t="s">
        <v>20</v>
      </c>
    </row>
    <row r="194" spans="1:30" s="107" customFormat="1" ht="35.25" customHeight="1">
      <c r="A194" s="473" t="s">
        <v>1164</v>
      </c>
      <c r="B194" s="508" t="s">
        <v>545</v>
      </c>
      <c r="C194" s="474">
        <v>187</v>
      </c>
      <c r="D194" s="474" t="s">
        <v>576</v>
      </c>
      <c r="E194" s="507">
        <v>39175484</v>
      </c>
      <c r="F194" s="508" t="s">
        <v>577</v>
      </c>
      <c r="G194" s="474">
        <v>75364</v>
      </c>
      <c r="H194" s="509" t="s">
        <v>305</v>
      </c>
      <c r="I194" s="474" t="s">
        <v>284</v>
      </c>
      <c r="J194" s="506">
        <v>1981658.67</v>
      </c>
      <c r="K194" s="475">
        <f>+J194*0.004</f>
        <v>7926.6346800000001</v>
      </c>
    </row>
    <row r="195" spans="1:30" s="107" customFormat="1" ht="35.25" customHeight="1">
      <c r="A195" s="473" t="s">
        <v>1164</v>
      </c>
      <c r="B195" s="508" t="s">
        <v>545</v>
      </c>
      <c r="C195" s="474">
        <v>187</v>
      </c>
      <c r="D195" s="474" t="s">
        <v>578</v>
      </c>
      <c r="E195" s="507">
        <v>1026564344</v>
      </c>
      <c r="F195" s="508" t="s">
        <v>579</v>
      </c>
      <c r="G195" s="474">
        <v>76628</v>
      </c>
      <c r="H195" s="509" t="s">
        <v>305</v>
      </c>
      <c r="I195" s="474" t="s">
        <v>284</v>
      </c>
      <c r="J195" s="506">
        <v>7586390</v>
      </c>
      <c r="K195" s="475">
        <f t="shared" ref="K195:K203" si="37">+J195*0.004</f>
        <v>30345.56</v>
      </c>
    </row>
    <row r="196" spans="1:30" s="107" customFormat="1" ht="35.25" customHeight="1">
      <c r="A196" s="473" t="s">
        <v>1164</v>
      </c>
      <c r="B196" s="508" t="s">
        <v>545</v>
      </c>
      <c r="C196" s="474">
        <v>187</v>
      </c>
      <c r="D196" s="474" t="s">
        <v>580</v>
      </c>
      <c r="E196" s="507">
        <v>1123628908</v>
      </c>
      <c r="F196" s="508" t="s">
        <v>581</v>
      </c>
      <c r="G196" s="474">
        <v>76647</v>
      </c>
      <c r="H196" s="509" t="s">
        <v>305</v>
      </c>
      <c r="I196" s="474" t="s">
        <v>284</v>
      </c>
      <c r="J196" s="506">
        <v>2743563</v>
      </c>
      <c r="K196" s="475">
        <f>+J196*0.004</f>
        <v>10974.252</v>
      </c>
    </row>
    <row r="197" spans="1:30" s="107" customFormat="1" ht="35.25" customHeight="1">
      <c r="A197" s="473" t="s">
        <v>1164</v>
      </c>
      <c r="B197" s="508" t="s">
        <v>545</v>
      </c>
      <c r="C197" s="474">
        <v>187</v>
      </c>
      <c r="D197" s="474" t="s">
        <v>609</v>
      </c>
      <c r="E197" s="507">
        <v>1123633109</v>
      </c>
      <c r="F197" s="508" t="s">
        <v>610</v>
      </c>
      <c r="G197" s="474">
        <v>75563</v>
      </c>
      <c r="H197" s="509" t="s">
        <v>305</v>
      </c>
      <c r="I197" s="474" t="s">
        <v>284</v>
      </c>
      <c r="J197" s="506">
        <v>237038</v>
      </c>
      <c r="K197" s="475">
        <f>+J197*0.004</f>
        <v>948.15200000000004</v>
      </c>
    </row>
    <row r="198" spans="1:30" s="107" customFormat="1" ht="35.25" customHeight="1">
      <c r="A198" s="473" t="s">
        <v>1164</v>
      </c>
      <c r="B198" s="508" t="s">
        <v>545</v>
      </c>
      <c r="C198" s="474">
        <v>187</v>
      </c>
      <c r="D198" s="474" t="s">
        <v>684</v>
      </c>
      <c r="E198" s="507">
        <v>1140821049</v>
      </c>
      <c r="F198" s="508" t="s">
        <v>658</v>
      </c>
      <c r="G198" s="474">
        <v>76627</v>
      </c>
      <c r="H198" s="509" t="s">
        <v>305</v>
      </c>
      <c r="I198" s="474" t="s">
        <v>284</v>
      </c>
      <c r="J198" s="506">
        <v>5497481</v>
      </c>
      <c r="K198" s="475">
        <f>+J198*0.004</f>
        <v>21989.923999999999</v>
      </c>
    </row>
    <row r="199" spans="1:30" s="107" customFormat="1" ht="35.25" customHeight="1">
      <c r="A199" s="473" t="s">
        <v>1164</v>
      </c>
      <c r="B199" s="508" t="s">
        <v>545</v>
      </c>
      <c r="C199" s="474">
        <v>187</v>
      </c>
      <c r="D199" s="474" t="s">
        <v>708</v>
      </c>
      <c r="E199" s="507">
        <v>1123621240</v>
      </c>
      <c r="F199" s="508" t="s">
        <v>709</v>
      </c>
      <c r="G199" s="474">
        <v>75433</v>
      </c>
      <c r="H199" s="509" t="s">
        <v>305</v>
      </c>
      <c r="I199" s="474" t="s">
        <v>284</v>
      </c>
      <c r="J199" s="506">
        <v>1417720</v>
      </c>
      <c r="K199" s="475">
        <f t="shared" si="37"/>
        <v>5670.88</v>
      </c>
    </row>
    <row r="200" spans="1:30" s="107" customFormat="1" ht="35.25" customHeight="1">
      <c r="A200" s="473" t="s">
        <v>1164</v>
      </c>
      <c r="B200" s="508" t="s">
        <v>545</v>
      </c>
      <c r="C200" s="474">
        <v>187</v>
      </c>
      <c r="D200" s="474" t="s">
        <v>870</v>
      </c>
      <c r="E200" s="507">
        <v>53052104</v>
      </c>
      <c r="F200" s="508" t="s">
        <v>847</v>
      </c>
      <c r="G200" s="474">
        <v>72277</v>
      </c>
      <c r="H200" s="509" t="s">
        <v>305</v>
      </c>
      <c r="I200" s="474" t="s">
        <v>284</v>
      </c>
      <c r="J200" s="506">
        <v>7252516</v>
      </c>
      <c r="K200" s="475">
        <f t="shared" si="37"/>
        <v>29010.064000000002</v>
      </c>
    </row>
    <row r="201" spans="1:30" s="107" customFormat="1" ht="35.25" customHeight="1">
      <c r="A201" s="473" t="s">
        <v>1164</v>
      </c>
      <c r="B201" s="508" t="s">
        <v>608</v>
      </c>
      <c r="C201" s="474">
        <v>187</v>
      </c>
      <c r="D201" s="474" t="s">
        <v>1348</v>
      </c>
      <c r="E201" s="507">
        <v>40993611</v>
      </c>
      <c r="F201" s="508" t="s">
        <v>1349</v>
      </c>
      <c r="G201" s="474">
        <v>74879</v>
      </c>
      <c r="H201" s="509" t="s">
        <v>305</v>
      </c>
      <c r="I201" s="474" t="s">
        <v>284</v>
      </c>
      <c r="J201" s="506">
        <v>12550997</v>
      </c>
      <c r="K201" s="475">
        <f t="shared" si="37"/>
        <v>50203.987999999998</v>
      </c>
    </row>
    <row r="202" spans="1:30" s="107" customFormat="1" ht="35.25" customHeight="1">
      <c r="A202" s="473" t="s">
        <v>1164</v>
      </c>
      <c r="B202" s="508" t="s">
        <v>608</v>
      </c>
      <c r="C202" s="474">
        <v>187</v>
      </c>
      <c r="D202" s="474" t="s">
        <v>710</v>
      </c>
      <c r="E202" s="507">
        <v>40993930</v>
      </c>
      <c r="F202" s="508" t="s">
        <v>711</v>
      </c>
      <c r="G202" s="474">
        <v>74877</v>
      </c>
      <c r="H202" s="509" t="s">
        <v>305</v>
      </c>
      <c r="I202" s="474" t="s">
        <v>284</v>
      </c>
      <c r="J202" s="506">
        <v>7807488</v>
      </c>
      <c r="K202" s="475">
        <f t="shared" si="37"/>
        <v>31229.952000000001</v>
      </c>
    </row>
    <row r="203" spans="1:30" s="107" customFormat="1" ht="35.25" customHeight="1">
      <c r="A203" s="473" t="s">
        <v>1164</v>
      </c>
      <c r="B203" s="508" t="s">
        <v>608</v>
      </c>
      <c r="C203" s="474">
        <v>187</v>
      </c>
      <c r="D203" s="474" t="s">
        <v>712</v>
      </c>
      <c r="E203" s="507">
        <v>1128060680</v>
      </c>
      <c r="F203" s="508" t="s">
        <v>713</v>
      </c>
      <c r="G203" s="474">
        <v>73901</v>
      </c>
      <c r="H203" s="509" t="s">
        <v>305</v>
      </c>
      <c r="I203" s="474" t="s">
        <v>284</v>
      </c>
      <c r="J203" s="506">
        <v>4207416</v>
      </c>
      <c r="K203" s="475">
        <f t="shared" si="37"/>
        <v>16829.664000000001</v>
      </c>
    </row>
    <row r="204" spans="1:30" s="412" customFormat="1" ht="22.5" customHeight="1" thickBot="1">
      <c r="A204" s="476"/>
      <c r="B204" s="477"/>
      <c r="C204" s="476"/>
      <c r="D204" s="478"/>
      <c r="E204" s="479"/>
      <c r="F204" s="480"/>
      <c r="G204" s="1222" t="s">
        <v>1165</v>
      </c>
      <c r="H204" s="1223"/>
      <c r="I204" s="1223"/>
      <c r="J204" s="481">
        <f>+SUM(J194:J203)</f>
        <v>51282267.670000002</v>
      </c>
      <c r="K204" s="481">
        <f>+SUM(K194:K203)</f>
        <v>205129.07067999998</v>
      </c>
      <c r="O204" s="413"/>
      <c r="P204" s="482"/>
      <c r="Q204" s="483"/>
      <c r="R204" s="483"/>
      <c r="S204" s="484"/>
      <c r="T204" s="483"/>
      <c r="U204" s="483"/>
      <c r="V204" s="483"/>
      <c r="W204" s="483"/>
      <c r="X204" s="483"/>
      <c r="Y204" s="483"/>
      <c r="Z204" s="483"/>
      <c r="AA204" s="483"/>
      <c r="AB204" s="483"/>
      <c r="AC204" s="483"/>
      <c r="AD204" s="483"/>
    </row>
    <row r="205" spans="1:30" s="412" customFormat="1" ht="22.5" customHeight="1">
      <c r="A205" s="476"/>
      <c r="B205" s="477"/>
      <c r="C205" s="476"/>
      <c r="D205" s="478"/>
      <c r="E205" s="479"/>
      <c r="F205" s="480"/>
      <c r="G205" s="493"/>
      <c r="H205" s="493"/>
      <c r="I205" s="493"/>
      <c r="J205" s="494"/>
      <c r="K205" s="494"/>
      <c r="O205" s="413"/>
      <c r="P205" s="482"/>
      <c r="Q205" s="483"/>
      <c r="R205" s="483"/>
      <c r="S205" s="484"/>
      <c r="T205" s="483"/>
      <c r="U205" s="483"/>
      <c r="V205" s="483"/>
      <c r="W205" s="483"/>
      <c r="X205" s="483"/>
      <c r="Y205" s="483"/>
      <c r="Z205" s="483"/>
      <c r="AA205" s="483"/>
      <c r="AB205" s="483"/>
      <c r="AC205" s="483"/>
      <c r="AD205" s="483"/>
    </row>
    <row r="206" spans="1:30" s="412" customFormat="1" ht="22.5" customHeight="1">
      <c r="A206" s="557" t="s">
        <v>585</v>
      </c>
      <c r="B206" s="477"/>
      <c r="C206" s="476"/>
      <c r="D206" s="478"/>
      <c r="E206" s="479"/>
      <c r="F206" s="480"/>
      <c r="G206" s="493"/>
      <c r="H206" s="493"/>
      <c r="I206" s="493"/>
      <c r="J206" s="494"/>
      <c r="K206" s="494"/>
      <c r="O206" s="413"/>
      <c r="P206" s="482"/>
      <c r="Q206" s="483"/>
      <c r="R206" s="483"/>
      <c r="S206" s="484"/>
      <c r="T206" s="483"/>
      <c r="U206" s="483"/>
      <c r="V206" s="483"/>
      <c r="W206" s="483"/>
      <c r="X206" s="483"/>
      <c r="Y206" s="483"/>
      <c r="Z206" s="483"/>
      <c r="AA206" s="483"/>
      <c r="AB206" s="483"/>
      <c r="AC206" s="483"/>
      <c r="AD206" s="483"/>
    </row>
    <row r="207" spans="1:30" s="412" customFormat="1" ht="22.5" customHeight="1" thickBot="1">
      <c r="A207" s="476"/>
      <c r="B207" s="477"/>
      <c r="C207" s="476"/>
      <c r="D207" s="478"/>
      <c r="E207" s="479"/>
      <c r="F207" s="480"/>
      <c r="G207" s="480"/>
      <c r="H207" s="480"/>
      <c r="I207" s="480"/>
      <c r="J207" s="480"/>
      <c r="K207" s="480"/>
      <c r="O207" s="413"/>
      <c r="P207" s="482"/>
      <c r="Q207" s="483"/>
      <c r="R207" s="483"/>
      <c r="S207" s="484"/>
      <c r="T207" s="483"/>
      <c r="U207" s="483"/>
      <c r="V207" s="483"/>
      <c r="W207" s="483"/>
      <c r="X207" s="483"/>
      <c r="Y207" s="483"/>
      <c r="Z207" s="483"/>
      <c r="AA207" s="483"/>
      <c r="AB207" s="483"/>
      <c r="AC207" s="483"/>
      <c r="AD207" s="483"/>
    </row>
    <row r="208" spans="1:30" s="412" customFormat="1" ht="22.5" customHeight="1">
      <c r="A208" s="762" t="s">
        <v>31</v>
      </c>
      <c r="B208" s="763" t="s">
        <v>33</v>
      </c>
      <c r="C208" s="763" t="s">
        <v>247</v>
      </c>
      <c r="D208" s="763" t="s">
        <v>248</v>
      </c>
      <c r="E208" s="547" t="s">
        <v>249</v>
      </c>
      <c r="F208" s="763" t="s">
        <v>250</v>
      </c>
      <c r="G208" s="763" t="s">
        <v>251</v>
      </c>
      <c r="H208" s="763" t="s">
        <v>36</v>
      </c>
      <c r="I208" s="763" t="s">
        <v>252</v>
      </c>
      <c r="J208" s="548" t="s">
        <v>253</v>
      </c>
      <c r="K208" s="459" t="s">
        <v>20</v>
      </c>
      <c r="O208" s="413"/>
      <c r="P208" s="482"/>
      <c r="Q208" s="483"/>
      <c r="R208" s="483"/>
      <c r="S208" s="484"/>
      <c r="T208" s="483"/>
      <c r="U208" s="483"/>
      <c r="V208" s="483"/>
      <c r="W208" s="483"/>
      <c r="X208" s="483"/>
      <c r="Y208" s="483"/>
      <c r="Z208" s="483"/>
      <c r="AA208" s="483"/>
      <c r="AB208" s="483"/>
      <c r="AC208" s="483"/>
      <c r="AD208" s="483"/>
    </row>
    <row r="209" spans="1:30" s="107" customFormat="1" ht="35.25" customHeight="1">
      <c r="A209" s="473" t="s">
        <v>1164</v>
      </c>
      <c r="B209" s="508" t="s">
        <v>582</v>
      </c>
      <c r="C209" s="474">
        <v>188</v>
      </c>
      <c r="D209" s="474" t="s">
        <v>583</v>
      </c>
      <c r="E209" s="507">
        <v>1053799278</v>
      </c>
      <c r="F209" s="508" t="s">
        <v>584</v>
      </c>
      <c r="G209" s="474">
        <v>73824</v>
      </c>
      <c r="H209" s="509" t="s">
        <v>305</v>
      </c>
      <c r="I209" s="474" t="s">
        <v>256</v>
      </c>
      <c r="J209" s="506">
        <v>2108647</v>
      </c>
      <c r="K209" s="475">
        <f t="shared" ref="K209:K218" si="38">+J209*0.004</f>
        <v>8434.5879999999997</v>
      </c>
    </row>
    <row r="210" spans="1:30" s="107" customFormat="1" ht="35.25" customHeight="1">
      <c r="A210" s="473" t="s">
        <v>1164</v>
      </c>
      <c r="B210" s="508" t="s">
        <v>582</v>
      </c>
      <c r="C210" s="474">
        <v>188</v>
      </c>
      <c r="D210" s="474" t="s">
        <v>611</v>
      </c>
      <c r="E210" s="507">
        <v>30235946</v>
      </c>
      <c r="F210" s="508" t="s">
        <v>612</v>
      </c>
      <c r="G210" s="474">
        <v>76640</v>
      </c>
      <c r="H210" s="509" t="s">
        <v>305</v>
      </c>
      <c r="I210" s="474" t="s">
        <v>256</v>
      </c>
      <c r="J210" s="506">
        <v>1238158</v>
      </c>
      <c r="K210" s="475">
        <f t="shared" si="38"/>
        <v>4952.6320000000005</v>
      </c>
    </row>
    <row r="211" spans="1:30" s="107" customFormat="1" ht="35.25" customHeight="1">
      <c r="A211" s="473" t="s">
        <v>1164</v>
      </c>
      <c r="B211" s="508" t="s">
        <v>582</v>
      </c>
      <c r="C211" s="474">
        <v>188</v>
      </c>
      <c r="D211" s="474" t="s">
        <v>613</v>
      </c>
      <c r="E211" s="507">
        <v>75106768</v>
      </c>
      <c r="F211" s="508" t="s">
        <v>614</v>
      </c>
      <c r="G211" s="474">
        <v>72972</v>
      </c>
      <c r="H211" s="509" t="s">
        <v>305</v>
      </c>
      <c r="I211" s="474" t="s">
        <v>256</v>
      </c>
      <c r="J211" s="506">
        <v>3805406</v>
      </c>
      <c r="K211" s="475">
        <f t="shared" si="38"/>
        <v>15221.624</v>
      </c>
    </row>
    <row r="212" spans="1:30" s="107" customFormat="1" ht="35.25" customHeight="1">
      <c r="A212" s="473" t="s">
        <v>1164</v>
      </c>
      <c r="B212" s="508" t="s">
        <v>582</v>
      </c>
      <c r="C212" s="474">
        <v>188</v>
      </c>
      <c r="D212" s="474" t="s">
        <v>1350</v>
      </c>
      <c r="E212" s="507">
        <v>10247328</v>
      </c>
      <c r="F212" s="508" t="s">
        <v>1351</v>
      </c>
      <c r="G212" s="474">
        <v>73513</v>
      </c>
      <c r="H212" s="509" t="s">
        <v>305</v>
      </c>
      <c r="I212" s="474" t="s">
        <v>256</v>
      </c>
      <c r="J212" s="506">
        <v>4636449</v>
      </c>
      <c r="K212" s="475">
        <f t="shared" si="38"/>
        <v>18545.796000000002</v>
      </c>
    </row>
    <row r="213" spans="1:30" s="107" customFormat="1" ht="35.25" customHeight="1">
      <c r="A213" s="473" t="s">
        <v>1164</v>
      </c>
      <c r="B213" s="508" t="s">
        <v>582</v>
      </c>
      <c r="C213" s="474">
        <v>188</v>
      </c>
      <c r="D213" s="474" t="s">
        <v>685</v>
      </c>
      <c r="E213" s="507">
        <v>75094980</v>
      </c>
      <c r="F213" s="508" t="s">
        <v>663</v>
      </c>
      <c r="G213" s="474">
        <v>73268</v>
      </c>
      <c r="H213" s="509" t="s">
        <v>305</v>
      </c>
      <c r="I213" s="474" t="s">
        <v>256</v>
      </c>
      <c r="J213" s="506">
        <v>2360103</v>
      </c>
      <c r="K213" s="475">
        <f t="shared" si="38"/>
        <v>9440.4120000000003</v>
      </c>
    </row>
    <row r="214" spans="1:30" s="107" customFormat="1" ht="35.25" customHeight="1">
      <c r="A214" s="473" t="s">
        <v>1164</v>
      </c>
      <c r="B214" s="508" t="s">
        <v>582</v>
      </c>
      <c r="C214" s="474">
        <v>188</v>
      </c>
      <c r="D214" s="474" t="s">
        <v>1019</v>
      </c>
      <c r="E214" s="507">
        <v>1152206566</v>
      </c>
      <c r="F214" s="508" t="s">
        <v>1020</v>
      </c>
      <c r="G214" s="474">
        <v>76937</v>
      </c>
      <c r="H214" s="509" t="s">
        <v>305</v>
      </c>
      <c r="I214" s="474" t="s">
        <v>256</v>
      </c>
      <c r="J214" s="506">
        <v>13213060</v>
      </c>
      <c r="K214" s="475">
        <f t="shared" si="38"/>
        <v>52852.24</v>
      </c>
    </row>
    <row r="215" spans="1:30" s="107" customFormat="1" ht="35.25" customHeight="1">
      <c r="A215" s="473" t="s">
        <v>1164</v>
      </c>
      <c r="B215" s="508" t="s">
        <v>659</v>
      </c>
      <c r="C215" s="474">
        <v>188</v>
      </c>
      <c r="D215" s="474" t="s">
        <v>686</v>
      </c>
      <c r="E215" s="507">
        <v>30392599</v>
      </c>
      <c r="F215" s="508" t="s">
        <v>660</v>
      </c>
      <c r="G215" s="474">
        <v>78010</v>
      </c>
      <c r="H215" s="509" t="s">
        <v>305</v>
      </c>
      <c r="I215" s="474" t="s">
        <v>256</v>
      </c>
      <c r="J215" s="506">
        <v>2256838</v>
      </c>
      <c r="K215" s="475">
        <f t="shared" si="38"/>
        <v>9027.3520000000008</v>
      </c>
    </row>
    <row r="216" spans="1:30" s="107" customFormat="1" ht="35.25" customHeight="1">
      <c r="A216" s="473" t="s">
        <v>1164</v>
      </c>
      <c r="B216" s="508" t="s">
        <v>659</v>
      </c>
      <c r="C216" s="474">
        <v>188</v>
      </c>
      <c r="D216" s="474" t="s">
        <v>940</v>
      </c>
      <c r="E216" s="507">
        <v>9923568</v>
      </c>
      <c r="F216" s="508" t="s">
        <v>941</v>
      </c>
      <c r="G216" s="474">
        <v>78678</v>
      </c>
      <c r="H216" s="509" t="s">
        <v>305</v>
      </c>
      <c r="I216" s="474" t="s">
        <v>256</v>
      </c>
      <c r="J216" s="506">
        <v>3000000</v>
      </c>
      <c r="K216" s="475">
        <f t="shared" si="38"/>
        <v>12000</v>
      </c>
    </row>
    <row r="217" spans="1:30" s="107" customFormat="1" ht="35.25" customHeight="1">
      <c r="A217" s="473" t="s">
        <v>1164</v>
      </c>
      <c r="B217" s="508" t="s">
        <v>714</v>
      </c>
      <c r="C217" s="474">
        <v>188</v>
      </c>
      <c r="D217" s="474" t="s">
        <v>715</v>
      </c>
      <c r="E217" s="507">
        <v>66972504</v>
      </c>
      <c r="F217" s="508" t="s">
        <v>716</v>
      </c>
      <c r="G217" s="474">
        <v>73451</v>
      </c>
      <c r="H217" s="509" t="s">
        <v>305</v>
      </c>
      <c r="I217" s="474" t="s">
        <v>256</v>
      </c>
      <c r="J217" s="506">
        <v>6362516.1600000001</v>
      </c>
      <c r="K217" s="475">
        <f t="shared" si="38"/>
        <v>25450.064640000001</v>
      </c>
    </row>
    <row r="218" spans="1:30" s="107" customFormat="1" ht="35.25" customHeight="1">
      <c r="A218" s="473" t="s">
        <v>1164</v>
      </c>
      <c r="B218" s="508" t="s">
        <v>714</v>
      </c>
      <c r="C218" s="474">
        <v>188</v>
      </c>
      <c r="D218" s="474" t="s">
        <v>886</v>
      </c>
      <c r="E218" s="507">
        <v>30383832</v>
      </c>
      <c r="F218" s="508" t="s">
        <v>887</v>
      </c>
      <c r="G218" s="474">
        <v>77085</v>
      </c>
      <c r="H218" s="509" t="s">
        <v>305</v>
      </c>
      <c r="I218" s="474" t="s">
        <v>256</v>
      </c>
      <c r="J218" s="506">
        <v>6208297</v>
      </c>
      <c r="K218" s="475">
        <f t="shared" si="38"/>
        <v>24833.188000000002</v>
      </c>
    </row>
    <row r="219" spans="1:30" s="412" customFormat="1" ht="22.5" customHeight="1" thickBot="1">
      <c r="A219" s="476"/>
      <c r="B219" s="477"/>
      <c r="C219" s="476"/>
      <c r="D219" s="478"/>
      <c r="E219" s="479"/>
      <c r="F219" s="480"/>
      <c r="G219" s="1222" t="s">
        <v>1165</v>
      </c>
      <c r="H219" s="1223"/>
      <c r="I219" s="1223"/>
      <c r="J219" s="481">
        <f>+SUM(J209:J218)</f>
        <v>45189474.159999996</v>
      </c>
      <c r="K219" s="481">
        <f>+SUM(K209:K218)</f>
        <v>180757.89663999999</v>
      </c>
      <c r="O219" s="413"/>
      <c r="P219" s="482"/>
      <c r="Q219" s="483"/>
      <c r="R219" s="483"/>
      <c r="S219" s="484"/>
      <c r="T219" s="483"/>
      <c r="U219" s="483"/>
      <c r="V219" s="483"/>
      <c r="W219" s="483"/>
      <c r="X219" s="483"/>
      <c r="Y219" s="483"/>
      <c r="Z219" s="483"/>
      <c r="AA219" s="483"/>
      <c r="AB219" s="483"/>
      <c r="AC219" s="483"/>
      <c r="AD219" s="483"/>
    </row>
    <row r="220" spans="1:30" s="412" customFormat="1" ht="22.5" customHeight="1">
      <c r="A220" s="476"/>
      <c r="B220" s="477"/>
      <c r="C220" s="476"/>
      <c r="D220" s="478"/>
      <c r="E220" s="479"/>
      <c r="F220" s="480"/>
      <c r="G220" s="480"/>
      <c r="H220" s="480"/>
      <c r="I220" s="480"/>
      <c r="J220" s="480"/>
      <c r="K220" s="480"/>
      <c r="O220" s="413"/>
      <c r="P220" s="482"/>
      <c r="Q220" s="483"/>
      <c r="R220" s="483"/>
      <c r="S220" s="484"/>
      <c r="T220" s="483"/>
      <c r="U220" s="483"/>
      <c r="V220" s="483"/>
      <c r="W220" s="483"/>
      <c r="X220" s="483"/>
      <c r="Y220" s="483"/>
      <c r="Z220" s="483"/>
      <c r="AA220" s="483"/>
      <c r="AB220" s="483"/>
      <c r="AC220" s="483"/>
      <c r="AD220" s="483"/>
    </row>
    <row r="221" spans="1:30" s="412" customFormat="1" ht="22.5" customHeight="1">
      <c r="A221" s="557" t="s">
        <v>615</v>
      </c>
      <c r="B221" s="477"/>
      <c r="C221" s="476"/>
      <c r="D221" s="478"/>
      <c r="E221" s="479"/>
      <c r="F221" s="480"/>
      <c r="G221" s="493"/>
      <c r="H221" s="493"/>
      <c r="I221" s="493"/>
      <c r="J221" s="494"/>
      <c r="K221" s="494"/>
      <c r="O221" s="413"/>
      <c r="P221" s="482"/>
      <c r="Q221" s="483"/>
      <c r="R221" s="483"/>
      <c r="S221" s="484"/>
      <c r="T221" s="483"/>
      <c r="U221" s="483"/>
      <c r="V221" s="483"/>
      <c r="W221" s="483"/>
      <c r="X221" s="483"/>
      <c r="Y221" s="483"/>
      <c r="Z221" s="483"/>
      <c r="AA221" s="483"/>
      <c r="AB221" s="483"/>
      <c r="AC221" s="483"/>
      <c r="AD221" s="483"/>
    </row>
    <row r="222" spans="1:30" s="412" customFormat="1" ht="22.5" customHeight="1" thickBot="1">
      <c r="A222" s="476"/>
      <c r="B222" s="477"/>
      <c r="C222" s="476"/>
      <c r="D222" s="478"/>
      <c r="E222" s="479"/>
      <c r="F222" s="480"/>
      <c r="G222" s="480"/>
      <c r="H222" s="480"/>
      <c r="I222" s="480"/>
      <c r="J222" s="480"/>
      <c r="K222" s="480"/>
      <c r="O222" s="413"/>
      <c r="P222" s="482"/>
      <c r="Q222" s="483"/>
      <c r="R222" s="483"/>
      <c r="S222" s="484"/>
      <c r="T222" s="483"/>
      <c r="U222" s="483"/>
      <c r="V222" s="483"/>
      <c r="W222" s="483"/>
      <c r="X222" s="483"/>
      <c r="Y222" s="483"/>
      <c r="Z222" s="483"/>
      <c r="AA222" s="483"/>
      <c r="AB222" s="483"/>
      <c r="AC222" s="483"/>
      <c r="AD222" s="483"/>
    </row>
    <row r="223" spans="1:30" s="412" customFormat="1" ht="22.5" customHeight="1">
      <c r="A223" s="791" t="s">
        <v>31</v>
      </c>
      <c r="B223" s="792" t="s">
        <v>33</v>
      </c>
      <c r="C223" s="792" t="s">
        <v>247</v>
      </c>
      <c r="D223" s="792" t="s">
        <v>248</v>
      </c>
      <c r="E223" s="547" t="s">
        <v>249</v>
      </c>
      <c r="F223" s="792" t="s">
        <v>250</v>
      </c>
      <c r="G223" s="792" t="s">
        <v>251</v>
      </c>
      <c r="H223" s="792" t="s">
        <v>36</v>
      </c>
      <c r="I223" s="792" t="s">
        <v>252</v>
      </c>
      <c r="J223" s="548" t="s">
        <v>253</v>
      </c>
      <c r="K223" s="459" t="s">
        <v>20</v>
      </c>
      <c r="O223" s="413"/>
      <c r="P223" s="482"/>
      <c r="Q223" s="483"/>
      <c r="R223" s="483"/>
      <c r="S223" s="484"/>
      <c r="T223" s="483"/>
      <c r="U223" s="483"/>
      <c r="V223" s="483"/>
      <c r="W223" s="483"/>
      <c r="X223" s="483"/>
      <c r="Y223" s="483"/>
      <c r="Z223" s="483"/>
      <c r="AA223" s="483"/>
      <c r="AB223" s="483"/>
      <c r="AC223" s="483"/>
      <c r="AD223" s="483"/>
    </row>
    <row r="224" spans="1:30" s="107" customFormat="1" ht="35.25" customHeight="1">
      <c r="A224" s="473" t="s">
        <v>1164</v>
      </c>
      <c r="B224" s="508" t="s">
        <v>616</v>
      </c>
      <c r="C224" s="474">
        <v>171</v>
      </c>
      <c r="D224" s="474" t="s">
        <v>617</v>
      </c>
      <c r="E224" s="507">
        <v>1001504545</v>
      </c>
      <c r="F224" s="508" t="s">
        <v>618</v>
      </c>
      <c r="G224" s="474">
        <v>74670</v>
      </c>
      <c r="H224" s="509" t="s">
        <v>305</v>
      </c>
      <c r="I224" s="474" t="s">
        <v>254</v>
      </c>
      <c r="J224" s="506">
        <v>12137108</v>
      </c>
      <c r="K224" s="475">
        <f t="shared" ref="K224:K230" si="39">+J224*0.004</f>
        <v>48548.432000000001</v>
      </c>
    </row>
    <row r="225" spans="1:30" s="107" customFormat="1" ht="35.25" customHeight="1">
      <c r="A225" s="473" t="s">
        <v>1164</v>
      </c>
      <c r="B225" s="508" t="s">
        <v>616</v>
      </c>
      <c r="C225" s="474">
        <v>171</v>
      </c>
      <c r="D225" s="474" t="s">
        <v>822</v>
      </c>
      <c r="E225" s="507">
        <v>1037481780</v>
      </c>
      <c r="F225" s="508" t="s">
        <v>814</v>
      </c>
      <c r="G225" s="474">
        <v>74655</v>
      </c>
      <c r="H225" s="509" t="s">
        <v>305</v>
      </c>
      <c r="I225" s="474" t="s">
        <v>254</v>
      </c>
      <c r="J225" s="506">
        <v>17595586</v>
      </c>
      <c r="K225" s="475">
        <f t="shared" si="39"/>
        <v>70382.343999999997</v>
      </c>
    </row>
    <row r="226" spans="1:30" s="107" customFormat="1" ht="35.25" customHeight="1">
      <c r="A226" s="473" t="s">
        <v>1164</v>
      </c>
      <c r="B226" s="508" t="s">
        <v>616</v>
      </c>
      <c r="C226" s="474">
        <v>171</v>
      </c>
      <c r="D226" s="474" t="s">
        <v>942</v>
      </c>
      <c r="E226" s="507">
        <v>1037486381</v>
      </c>
      <c r="F226" s="508" t="s">
        <v>943</v>
      </c>
      <c r="G226" s="474">
        <v>74696</v>
      </c>
      <c r="H226" s="509" t="s">
        <v>305</v>
      </c>
      <c r="I226" s="474" t="s">
        <v>254</v>
      </c>
      <c r="J226" s="506">
        <v>5210488</v>
      </c>
      <c r="K226" s="475">
        <f t="shared" si="39"/>
        <v>20841.952000000001</v>
      </c>
    </row>
    <row r="227" spans="1:30" s="107" customFormat="1" ht="35.25" customHeight="1">
      <c r="A227" s="473" t="s">
        <v>1164</v>
      </c>
      <c r="B227" s="508" t="s">
        <v>619</v>
      </c>
      <c r="C227" s="474">
        <v>171</v>
      </c>
      <c r="D227" s="474" t="s">
        <v>620</v>
      </c>
      <c r="E227" s="507">
        <v>1028003470</v>
      </c>
      <c r="F227" s="508" t="s">
        <v>621</v>
      </c>
      <c r="G227" s="474">
        <v>75457</v>
      </c>
      <c r="H227" s="509" t="s">
        <v>305</v>
      </c>
      <c r="I227" s="474" t="s">
        <v>254</v>
      </c>
      <c r="J227" s="506">
        <v>5913288</v>
      </c>
      <c r="K227" s="475">
        <f>+J227*0.004</f>
        <v>23653.152000000002</v>
      </c>
    </row>
    <row r="228" spans="1:30" s="107" customFormat="1" ht="35.25" customHeight="1">
      <c r="A228" s="473" t="s">
        <v>1164</v>
      </c>
      <c r="B228" s="508" t="s">
        <v>619</v>
      </c>
      <c r="C228" s="474">
        <v>171</v>
      </c>
      <c r="D228" s="474" t="s">
        <v>687</v>
      </c>
      <c r="E228" s="507">
        <v>39303595</v>
      </c>
      <c r="F228" s="508" t="s">
        <v>654</v>
      </c>
      <c r="G228" s="474">
        <v>74645</v>
      </c>
      <c r="H228" s="509" t="s">
        <v>305</v>
      </c>
      <c r="I228" s="474" t="s">
        <v>254</v>
      </c>
      <c r="J228" s="506">
        <v>3324400</v>
      </c>
      <c r="K228" s="475">
        <f t="shared" si="39"/>
        <v>13297.6</v>
      </c>
    </row>
    <row r="229" spans="1:30" s="107" customFormat="1" ht="35.25" customHeight="1">
      <c r="A229" s="473" t="s">
        <v>1164</v>
      </c>
      <c r="B229" s="508" t="s">
        <v>619</v>
      </c>
      <c r="C229" s="474">
        <v>171</v>
      </c>
      <c r="D229" s="474" t="s">
        <v>871</v>
      </c>
      <c r="E229" s="507">
        <v>42655076</v>
      </c>
      <c r="F229" s="508" t="s">
        <v>851</v>
      </c>
      <c r="G229" s="474">
        <v>74646</v>
      </c>
      <c r="H229" s="509" t="s">
        <v>305</v>
      </c>
      <c r="I229" s="474" t="s">
        <v>254</v>
      </c>
      <c r="J229" s="506">
        <v>13706365</v>
      </c>
      <c r="K229" s="475">
        <f t="shared" si="39"/>
        <v>54825.46</v>
      </c>
    </row>
    <row r="230" spans="1:30" s="107" customFormat="1" ht="35.25" customHeight="1">
      <c r="A230" s="473" t="s">
        <v>1164</v>
      </c>
      <c r="B230" s="508" t="s">
        <v>1085</v>
      </c>
      <c r="C230" s="474">
        <v>171</v>
      </c>
      <c r="D230" s="474" t="s">
        <v>1130</v>
      </c>
      <c r="E230" s="507">
        <v>7487993</v>
      </c>
      <c r="F230" s="508" t="s">
        <v>1086</v>
      </c>
      <c r="G230" s="988">
        <v>78137</v>
      </c>
      <c r="H230" s="989" t="s">
        <v>305</v>
      </c>
      <c r="I230" s="988" t="s">
        <v>254</v>
      </c>
      <c r="J230" s="990">
        <v>1360672</v>
      </c>
      <c r="K230" s="475">
        <f t="shared" si="39"/>
        <v>5442.6880000000001</v>
      </c>
    </row>
    <row r="231" spans="1:30" s="107" customFormat="1" ht="35.25" customHeight="1">
      <c r="A231" s="1105" t="s">
        <v>1164</v>
      </c>
      <c r="B231" s="1106" t="s">
        <v>1085</v>
      </c>
      <c r="C231" s="1107">
        <v>171</v>
      </c>
      <c r="D231" s="1107" t="s">
        <v>620</v>
      </c>
      <c r="E231" s="1108">
        <v>1028003470</v>
      </c>
      <c r="F231" s="1106" t="s">
        <v>621</v>
      </c>
      <c r="G231" s="1107">
        <v>75457</v>
      </c>
      <c r="H231" s="1109" t="s">
        <v>1775</v>
      </c>
      <c r="I231" s="1107" t="s">
        <v>254</v>
      </c>
      <c r="J231" s="1110">
        <v>-440000</v>
      </c>
      <c r="K231" s="1111">
        <f>+J231*0.004</f>
        <v>-1760</v>
      </c>
    </row>
    <row r="232" spans="1:30" s="107" customFormat="1" ht="35.25" customHeight="1">
      <c r="A232" s="1105" t="s">
        <v>1164</v>
      </c>
      <c r="B232" s="1106" t="s">
        <v>1085</v>
      </c>
      <c r="C232" s="1107">
        <v>171</v>
      </c>
      <c r="D232" s="1107" t="s">
        <v>1130</v>
      </c>
      <c r="E232" s="1108">
        <v>7487993</v>
      </c>
      <c r="F232" s="1106" t="s">
        <v>1086</v>
      </c>
      <c r="G232" s="1107">
        <v>78137</v>
      </c>
      <c r="H232" s="1109" t="s">
        <v>1775</v>
      </c>
      <c r="I232" s="1107" t="s">
        <v>254</v>
      </c>
      <c r="J232" s="1110">
        <v>-4500000</v>
      </c>
      <c r="K232" s="1111">
        <f>+J232*0.004</f>
        <v>-18000</v>
      </c>
    </row>
    <row r="233" spans="1:30" s="107" customFormat="1" ht="35.25" customHeight="1">
      <c r="A233" s="1105" t="s">
        <v>1164</v>
      </c>
      <c r="B233" s="1106" t="s">
        <v>1085</v>
      </c>
      <c r="C233" s="1107">
        <v>171</v>
      </c>
      <c r="D233" s="1107" t="s">
        <v>1130</v>
      </c>
      <c r="E233" s="1108">
        <v>7487993</v>
      </c>
      <c r="F233" s="1106" t="s">
        <v>1086</v>
      </c>
      <c r="G233" s="1107">
        <v>78137</v>
      </c>
      <c r="H233" s="1109" t="s">
        <v>1775</v>
      </c>
      <c r="I233" s="1107" t="s">
        <v>254</v>
      </c>
      <c r="J233" s="1110">
        <v>-4750000</v>
      </c>
      <c r="K233" s="1111">
        <f>+J233*0.004</f>
        <v>-19000</v>
      </c>
    </row>
    <row r="234" spans="1:30" s="107" customFormat="1" ht="35.25" customHeight="1">
      <c r="A234" s="1105" t="s">
        <v>1164</v>
      </c>
      <c r="B234" s="1106" t="s">
        <v>1085</v>
      </c>
      <c r="C234" s="1107">
        <v>171</v>
      </c>
      <c r="D234" s="1107" t="s">
        <v>1130</v>
      </c>
      <c r="E234" s="1108">
        <v>7487993</v>
      </c>
      <c r="F234" s="1106" t="s">
        <v>1086</v>
      </c>
      <c r="G234" s="1107">
        <v>78137</v>
      </c>
      <c r="H234" s="1109" t="s">
        <v>1775</v>
      </c>
      <c r="I234" s="1107" t="s">
        <v>254</v>
      </c>
      <c r="J234" s="1110">
        <v>-1111715</v>
      </c>
      <c r="K234" s="1111">
        <f>+J234*0.004</f>
        <v>-4446.8599999999997</v>
      </c>
    </row>
    <row r="235" spans="1:30" s="412" customFormat="1" ht="22.5" customHeight="1" thickBot="1">
      <c r="A235" s="476"/>
      <c r="B235" s="477"/>
      <c r="C235" s="476"/>
      <c r="D235" s="478"/>
      <c r="E235" s="479"/>
      <c r="F235" s="480"/>
      <c r="G235" s="1222" t="s">
        <v>1165</v>
      </c>
      <c r="H235" s="1223"/>
      <c r="I235" s="1223"/>
      <c r="J235" s="481">
        <f>+SUM(J224:J234)</f>
        <v>48446192</v>
      </c>
      <c r="K235" s="481">
        <f>+SUM(K224:K234)</f>
        <v>193784.76800000001</v>
      </c>
      <c r="O235" s="413"/>
      <c r="P235" s="482"/>
      <c r="Q235" s="483"/>
      <c r="R235" s="483"/>
      <c r="S235" s="484"/>
      <c r="T235" s="483"/>
      <c r="U235" s="483"/>
      <c r="V235" s="483"/>
      <c r="W235" s="483"/>
      <c r="X235" s="483"/>
      <c r="Y235" s="483"/>
      <c r="Z235" s="483"/>
      <c r="AA235" s="483"/>
      <c r="AB235" s="483"/>
      <c r="AC235" s="483"/>
      <c r="AD235" s="483"/>
    </row>
    <row r="236" spans="1:30" s="412" customFormat="1" ht="22.5" customHeight="1">
      <c r="A236" s="476"/>
      <c r="B236" s="477"/>
      <c r="C236" s="476"/>
      <c r="D236" s="478"/>
      <c r="E236" s="479"/>
      <c r="F236" s="480"/>
      <c r="G236" s="480"/>
      <c r="H236" s="480"/>
      <c r="I236" s="480"/>
      <c r="J236" s="480"/>
      <c r="K236" s="480"/>
      <c r="O236" s="413"/>
      <c r="P236" s="482"/>
      <c r="Q236" s="483"/>
      <c r="R236" s="483"/>
      <c r="S236" s="484"/>
      <c r="T236" s="483"/>
      <c r="U236" s="483"/>
      <c r="V236" s="483"/>
      <c r="W236" s="483"/>
      <c r="X236" s="483"/>
      <c r="Y236" s="483"/>
      <c r="Z236" s="483"/>
      <c r="AA236" s="483"/>
      <c r="AB236" s="483"/>
      <c r="AC236" s="483"/>
      <c r="AD236" s="483"/>
    </row>
    <row r="237" spans="1:30" s="412" customFormat="1" ht="22.5" customHeight="1">
      <c r="A237" s="557" t="s">
        <v>688</v>
      </c>
      <c r="B237" s="477"/>
      <c r="C237" s="476"/>
      <c r="D237" s="478"/>
      <c r="E237" s="479"/>
      <c r="F237" s="480"/>
      <c r="G237" s="493"/>
      <c r="H237" s="493"/>
      <c r="I237" s="493"/>
      <c r="J237" s="494"/>
      <c r="K237" s="494"/>
      <c r="O237" s="413"/>
      <c r="P237" s="482"/>
      <c r="Q237" s="483"/>
      <c r="R237" s="483"/>
      <c r="S237" s="484"/>
      <c r="T237" s="483"/>
      <c r="U237" s="483"/>
      <c r="V237" s="483"/>
      <c r="W237" s="483"/>
      <c r="X237" s="483"/>
      <c r="Y237" s="483"/>
      <c r="Z237" s="483"/>
      <c r="AA237" s="483"/>
      <c r="AB237" s="483"/>
      <c r="AC237" s="483"/>
      <c r="AD237" s="483"/>
    </row>
    <row r="238" spans="1:30" s="412" customFormat="1" ht="22.5" customHeight="1" thickBot="1">
      <c r="A238" s="476"/>
      <c r="B238" s="477"/>
      <c r="C238" s="476"/>
      <c r="D238" s="478"/>
      <c r="E238" s="479"/>
      <c r="F238" s="480"/>
      <c r="G238" s="480"/>
      <c r="H238" s="480"/>
      <c r="I238" s="480"/>
      <c r="J238" s="480"/>
      <c r="K238" s="480"/>
      <c r="O238" s="413"/>
      <c r="P238" s="482"/>
      <c r="Q238" s="483"/>
      <c r="R238" s="483"/>
      <c r="S238" s="484"/>
      <c r="T238" s="483"/>
      <c r="U238" s="483"/>
      <c r="V238" s="483"/>
      <c r="W238" s="483"/>
      <c r="X238" s="483"/>
      <c r="Y238" s="483"/>
      <c r="Z238" s="483"/>
      <c r="AA238" s="483"/>
      <c r="AB238" s="483"/>
      <c r="AC238" s="483"/>
      <c r="AD238" s="483"/>
    </row>
    <row r="239" spans="1:30" s="412" customFormat="1" ht="22.5" customHeight="1">
      <c r="A239" s="814" t="s">
        <v>31</v>
      </c>
      <c r="B239" s="815" t="s">
        <v>33</v>
      </c>
      <c r="C239" s="815" t="s">
        <v>247</v>
      </c>
      <c r="D239" s="815" t="s">
        <v>248</v>
      </c>
      <c r="E239" s="547" t="s">
        <v>249</v>
      </c>
      <c r="F239" s="815" t="s">
        <v>250</v>
      </c>
      <c r="G239" s="815" t="s">
        <v>251</v>
      </c>
      <c r="H239" s="815" t="s">
        <v>36</v>
      </c>
      <c r="I239" s="815" t="s">
        <v>252</v>
      </c>
      <c r="J239" s="548" t="s">
        <v>253</v>
      </c>
      <c r="K239" s="459" t="s">
        <v>20</v>
      </c>
      <c r="O239" s="413"/>
      <c r="P239" s="482"/>
      <c r="Q239" s="483"/>
      <c r="R239" s="483"/>
      <c r="S239" s="484"/>
      <c r="T239" s="483"/>
      <c r="U239" s="483"/>
      <c r="V239" s="483"/>
      <c r="W239" s="483"/>
      <c r="X239" s="483"/>
      <c r="Y239" s="483"/>
      <c r="Z239" s="483"/>
      <c r="AA239" s="483"/>
      <c r="AB239" s="483"/>
      <c r="AC239" s="483"/>
      <c r="AD239" s="483"/>
    </row>
    <row r="240" spans="1:30" s="107" customFormat="1" ht="35.25" customHeight="1">
      <c r="A240" s="473" t="s">
        <v>1164</v>
      </c>
      <c r="B240" s="508" t="s">
        <v>664</v>
      </c>
      <c r="C240" s="474">
        <v>189</v>
      </c>
      <c r="D240" s="474" t="s">
        <v>692</v>
      </c>
      <c r="E240" s="507">
        <v>42032286</v>
      </c>
      <c r="F240" s="508" t="s">
        <v>665</v>
      </c>
      <c r="G240" s="474">
        <v>74874</v>
      </c>
      <c r="H240" s="509" t="s">
        <v>305</v>
      </c>
      <c r="I240" s="474" t="s">
        <v>258</v>
      </c>
      <c r="J240" s="506">
        <v>10100007</v>
      </c>
      <c r="K240" s="475">
        <f t="shared" ref="K240:K246" si="40">+J240*0.004</f>
        <v>40400.027999999998</v>
      </c>
    </row>
    <row r="241" spans="1:30" s="107" customFormat="1" ht="35.25" customHeight="1">
      <c r="A241" s="473" t="s">
        <v>1164</v>
      </c>
      <c r="B241" s="508" t="s">
        <v>664</v>
      </c>
      <c r="C241" s="474">
        <v>189</v>
      </c>
      <c r="D241" s="474" t="s">
        <v>689</v>
      </c>
      <c r="E241" s="507">
        <v>1089718912</v>
      </c>
      <c r="F241" s="508" t="s">
        <v>671</v>
      </c>
      <c r="G241" s="474">
        <v>76716</v>
      </c>
      <c r="H241" s="509" t="s">
        <v>305</v>
      </c>
      <c r="I241" s="474" t="s">
        <v>258</v>
      </c>
      <c r="J241" s="506">
        <v>1077247</v>
      </c>
      <c r="K241" s="475">
        <f t="shared" si="40"/>
        <v>4308.9880000000003</v>
      </c>
    </row>
    <row r="242" spans="1:30" s="107" customFormat="1" ht="35.25" customHeight="1">
      <c r="A242" s="473" t="s">
        <v>1164</v>
      </c>
      <c r="B242" s="508" t="s">
        <v>664</v>
      </c>
      <c r="C242" s="474">
        <v>189</v>
      </c>
      <c r="D242" s="474" t="s">
        <v>690</v>
      </c>
      <c r="E242" s="507">
        <v>1087558417</v>
      </c>
      <c r="F242" s="508" t="s">
        <v>666</v>
      </c>
      <c r="G242" s="474">
        <v>77909</v>
      </c>
      <c r="H242" s="509" t="s">
        <v>305</v>
      </c>
      <c r="I242" s="474" t="s">
        <v>258</v>
      </c>
      <c r="J242" s="506">
        <v>4824596</v>
      </c>
      <c r="K242" s="475">
        <f t="shared" si="40"/>
        <v>19298.384000000002</v>
      </c>
    </row>
    <row r="243" spans="1:30" s="107" customFormat="1" ht="35.25" customHeight="1">
      <c r="A243" s="473" t="s">
        <v>1164</v>
      </c>
      <c r="B243" s="508" t="s">
        <v>664</v>
      </c>
      <c r="C243" s="474">
        <v>189</v>
      </c>
      <c r="D243" s="474" t="s">
        <v>691</v>
      </c>
      <c r="E243" s="507">
        <v>10026880</v>
      </c>
      <c r="F243" s="508" t="s">
        <v>669</v>
      </c>
      <c r="G243" s="474">
        <v>75385</v>
      </c>
      <c r="H243" s="509" t="s">
        <v>305</v>
      </c>
      <c r="I243" s="474" t="s">
        <v>258</v>
      </c>
      <c r="J243" s="506">
        <v>4202047</v>
      </c>
      <c r="K243" s="475">
        <f t="shared" si="40"/>
        <v>16808.188000000002</v>
      </c>
    </row>
    <row r="244" spans="1:30" s="107" customFormat="1" ht="35.25" customHeight="1">
      <c r="A244" s="473" t="s">
        <v>1164</v>
      </c>
      <c r="B244" s="508" t="s">
        <v>664</v>
      </c>
      <c r="C244" s="474">
        <v>189</v>
      </c>
      <c r="D244" s="474" t="s">
        <v>872</v>
      </c>
      <c r="E244" s="507">
        <v>1088011872</v>
      </c>
      <c r="F244" s="508" t="s">
        <v>840</v>
      </c>
      <c r="G244" s="474">
        <v>74904</v>
      </c>
      <c r="H244" s="509" t="s">
        <v>305</v>
      </c>
      <c r="I244" s="474" t="s">
        <v>258</v>
      </c>
      <c r="J244" s="506">
        <v>7784339</v>
      </c>
      <c r="K244" s="475">
        <f t="shared" si="40"/>
        <v>31137.356</v>
      </c>
    </row>
    <row r="245" spans="1:30" s="107" customFormat="1" ht="35.25" customHeight="1">
      <c r="A245" s="473" t="s">
        <v>1164</v>
      </c>
      <c r="B245" s="508" t="s">
        <v>817</v>
      </c>
      <c r="C245" s="474">
        <v>189</v>
      </c>
      <c r="D245" s="474" t="s">
        <v>823</v>
      </c>
      <c r="E245" s="507">
        <v>1087548798</v>
      </c>
      <c r="F245" s="508" t="s">
        <v>818</v>
      </c>
      <c r="G245" s="474">
        <v>77390</v>
      </c>
      <c r="H245" s="509" t="s">
        <v>305</v>
      </c>
      <c r="I245" s="474" t="s">
        <v>258</v>
      </c>
      <c r="J245" s="506">
        <v>5007684</v>
      </c>
      <c r="K245" s="475">
        <f t="shared" si="40"/>
        <v>20030.736000000001</v>
      </c>
    </row>
    <row r="246" spans="1:30" s="107" customFormat="1" ht="35.25" customHeight="1">
      <c r="A246" s="473" t="s">
        <v>1164</v>
      </c>
      <c r="B246" s="508" t="s">
        <v>817</v>
      </c>
      <c r="C246" s="474">
        <v>189</v>
      </c>
      <c r="D246" s="474" t="s">
        <v>1021</v>
      </c>
      <c r="E246" s="507">
        <v>1087560478</v>
      </c>
      <c r="F246" s="508" t="s">
        <v>1022</v>
      </c>
      <c r="G246" s="474">
        <v>75400</v>
      </c>
      <c r="H246" s="509" t="s">
        <v>305</v>
      </c>
      <c r="I246" s="474" t="s">
        <v>258</v>
      </c>
      <c r="J246" s="506">
        <v>12112738</v>
      </c>
      <c r="K246" s="475">
        <f t="shared" si="40"/>
        <v>48450.951999999997</v>
      </c>
    </row>
    <row r="247" spans="1:30" s="412" customFormat="1" ht="22.5" customHeight="1" thickBot="1">
      <c r="A247" s="476"/>
      <c r="B247" s="477"/>
      <c r="C247" s="476"/>
      <c r="D247" s="478"/>
      <c r="E247" s="479"/>
      <c r="F247" s="480"/>
      <c r="G247" s="1222" t="s">
        <v>1165</v>
      </c>
      <c r="H247" s="1223"/>
      <c r="I247" s="1223"/>
      <c r="J247" s="481">
        <f>+SUM(J240:J246)</f>
        <v>45108658</v>
      </c>
      <c r="K247" s="481">
        <f>+SUM(K240:K246)</f>
        <v>180434.63199999998</v>
      </c>
      <c r="O247" s="413"/>
      <c r="P247" s="482"/>
      <c r="Q247" s="483"/>
      <c r="R247" s="483"/>
      <c r="S247" s="484"/>
      <c r="T247" s="483"/>
      <c r="U247" s="483"/>
      <c r="V247" s="483"/>
      <c r="W247" s="483"/>
      <c r="X247" s="483"/>
      <c r="Y247" s="483"/>
      <c r="Z247" s="483"/>
      <c r="AA247" s="483"/>
      <c r="AB247" s="483"/>
      <c r="AC247" s="483"/>
      <c r="AD247" s="483"/>
    </row>
    <row r="248" spans="1:30" s="412" customFormat="1" ht="22.5" customHeight="1">
      <c r="A248" s="476"/>
      <c r="B248" s="477"/>
      <c r="C248" s="476"/>
      <c r="D248" s="478"/>
      <c r="E248" s="479"/>
      <c r="F248" s="480"/>
      <c r="G248" s="480"/>
      <c r="H248" s="480"/>
      <c r="I248" s="480"/>
      <c r="J248" s="480"/>
      <c r="K248" s="480"/>
      <c r="O248" s="413"/>
      <c r="P248" s="482"/>
      <c r="Q248" s="483"/>
      <c r="R248" s="483"/>
      <c r="S248" s="484"/>
      <c r="T248" s="483"/>
      <c r="U248" s="483"/>
      <c r="V248" s="483"/>
      <c r="W248" s="483"/>
      <c r="X248" s="483"/>
      <c r="Y248" s="483"/>
      <c r="Z248" s="483"/>
      <c r="AA248" s="483"/>
      <c r="AB248" s="483"/>
      <c r="AC248" s="483"/>
      <c r="AD248" s="483"/>
    </row>
    <row r="249" spans="1:30" s="412" customFormat="1" ht="22.5" customHeight="1">
      <c r="A249" s="557" t="s">
        <v>693</v>
      </c>
      <c r="B249" s="477"/>
      <c r="C249" s="476"/>
      <c r="D249" s="478"/>
      <c r="E249" s="479"/>
      <c r="F249" s="480"/>
      <c r="G249" s="493"/>
      <c r="H249" s="493"/>
      <c r="I249" s="493"/>
      <c r="J249" s="494"/>
      <c r="K249" s="494"/>
      <c r="O249" s="413"/>
      <c r="P249" s="482"/>
      <c r="Q249" s="483"/>
      <c r="R249" s="483"/>
      <c r="S249" s="484"/>
      <c r="T249" s="483"/>
      <c r="U249" s="483"/>
      <c r="V249" s="483"/>
      <c r="W249" s="483"/>
      <c r="X249" s="483"/>
      <c r="Y249" s="483"/>
      <c r="Z249" s="483"/>
      <c r="AA249" s="483"/>
      <c r="AB249" s="483"/>
      <c r="AC249" s="483"/>
      <c r="AD249" s="483"/>
    </row>
    <row r="250" spans="1:30" s="412" customFormat="1" ht="22.5" customHeight="1" thickBot="1">
      <c r="A250" s="476"/>
      <c r="B250" s="477"/>
      <c r="C250" s="476"/>
      <c r="D250" s="478"/>
      <c r="E250" s="479"/>
      <c r="F250" s="480"/>
      <c r="G250" s="480"/>
      <c r="H250" s="480"/>
      <c r="I250" s="480"/>
      <c r="J250" s="480"/>
      <c r="K250" s="480"/>
      <c r="O250" s="413"/>
      <c r="P250" s="482"/>
      <c r="Q250" s="483"/>
      <c r="R250" s="483"/>
      <c r="S250" s="484"/>
      <c r="T250" s="483"/>
      <c r="U250" s="483"/>
      <c r="V250" s="483"/>
      <c r="W250" s="483"/>
      <c r="X250" s="483"/>
      <c r="Y250" s="483"/>
      <c r="Z250" s="483"/>
      <c r="AA250" s="483"/>
      <c r="AB250" s="483"/>
      <c r="AC250" s="483"/>
      <c r="AD250" s="483"/>
    </row>
    <row r="251" spans="1:30" s="412" customFormat="1" ht="30">
      <c r="A251" s="814" t="s">
        <v>31</v>
      </c>
      <c r="B251" s="815" t="s">
        <v>33</v>
      </c>
      <c r="C251" s="815" t="s">
        <v>247</v>
      </c>
      <c r="D251" s="815" t="s">
        <v>248</v>
      </c>
      <c r="E251" s="547" t="s">
        <v>249</v>
      </c>
      <c r="F251" s="815" t="s">
        <v>250</v>
      </c>
      <c r="G251" s="815" t="s">
        <v>251</v>
      </c>
      <c r="H251" s="815" t="s">
        <v>36</v>
      </c>
      <c r="I251" s="815" t="s">
        <v>252</v>
      </c>
      <c r="J251" s="548" t="s">
        <v>253</v>
      </c>
      <c r="K251" s="459" t="s">
        <v>20</v>
      </c>
      <c r="O251" s="413"/>
      <c r="P251" s="482"/>
      <c r="Q251" s="483"/>
      <c r="R251" s="483"/>
      <c r="S251" s="484"/>
      <c r="T251" s="483"/>
      <c r="U251" s="483"/>
      <c r="V251" s="483"/>
      <c r="W251" s="483"/>
      <c r="X251" s="483"/>
      <c r="Y251" s="483"/>
      <c r="Z251" s="483"/>
      <c r="AA251" s="483"/>
      <c r="AB251" s="483"/>
      <c r="AC251" s="483"/>
      <c r="AD251" s="483"/>
    </row>
    <row r="252" spans="1:30" s="107" customFormat="1" ht="35.25" customHeight="1">
      <c r="A252" s="473" t="s">
        <v>1164</v>
      </c>
      <c r="B252" s="508" t="s">
        <v>673</v>
      </c>
      <c r="C252" s="474">
        <v>190</v>
      </c>
      <c r="D252" s="474" t="s">
        <v>695</v>
      </c>
      <c r="E252" s="507">
        <v>1093761552</v>
      </c>
      <c r="F252" s="508" t="s">
        <v>677</v>
      </c>
      <c r="G252" s="474">
        <v>75306</v>
      </c>
      <c r="H252" s="509" t="s">
        <v>305</v>
      </c>
      <c r="I252" s="474" t="s">
        <v>259</v>
      </c>
      <c r="J252" s="506">
        <v>2100737</v>
      </c>
      <c r="K252" s="475">
        <f>+J252*0.004</f>
        <v>8402.9480000000003</v>
      </c>
    </row>
    <row r="253" spans="1:30" s="107" customFormat="1" ht="35.25" customHeight="1">
      <c r="A253" s="473" t="s">
        <v>1164</v>
      </c>
      <c r="B253" s="508" t="s">
        <v>673</v>
      </c>
      <c r="C253" s="474">
        <v>190</v>
      </c>
      <c r="D253" s="474" t="s">
        <v>694</v>
      </c>
      <c r="E253" s="507">
        <v>1090485745</v>
      </c>
      <c r="F253" s="508" t="s">
        <v>676</v>
      </c>
      <c r="G253" s="474">
        <v>78059</v>
      </c>
      <c r="H253" s="509" t="s">
        <v>305</v>
      </c>
      <c r="I253" s="474" t="s">
        <v>259</v>
      </c>
      <c r="J253" s="506">
        <v>4242836</v>
      </c>
      <c r="K253" s="475">
        <f t="shared" ref="K253:K262" si="41">+J253*0.004</f>
        <v>16971.344000000001</v>
      </c>
    </row>
    <row r="254" spans="1:30" s="107" customFormat="1" ht="35.25" customHeight="1">
      <c r="A254" s="473" t="s">
        <v>1164</v>
      </c>
      <c r="B254" s="508" t="s">
        <v>673</v>
      </c>
      <c r="C254" s="474">
        <v>190</v>
      </c>
      <c r="D254" s="474" t="s">
        <v>696</v>
      </c>
      <c r="E254" s="507">
        <v>1090375759</v>
      </c>
      <c r="F254" s="508" t="s">
        <v>674</v>
      </c>
      <c r="G254" s="474">
        <v>71536</v>
      </c>
      <c r="H254" s="509" t="s">
        <v>305</v>
      </c>
      <c r="I254" s="474" t="s">
        <v>259</v>
      </c>
      <c r="J254" s="506">
        <v>6684527</v>
      </c>
      <c r="K254" s="475">
        <f t="shared" si="41"/>
        <v>26738.108</v>
      </c>
    </row>
    <row r="255" spans="1:30" s="107" customFormat="1" ht="35.25" customHeight="1">
      <c r="A255" s="473" t="s">
        <v>1164</v>
      </c>
      <c r="B255" s="508" t="s">
        <v>673</v>
      </c>
      <c r="C255" s="474">
        <v>190</v>
      </c>
      <c r="D255" s="474" t="s">
        <v>1352</v>
      </c>
      <c r="E255" s="507">
        <v>1090438850</v>
      </c>
      <c r="F255" s="508" t="s">
        <v>1353</v>
      </c>
      <c r="G255" s="474">
        <v>72494</v>
      </c>
      <c r="H255" s="509" t="s">
        <v>305</v>
      </c>
      <c r="I255" s="474" t="s">
        <v>259</v>
      </c>
      <c r="J255" s="506">
        <v>800000</v>
      </c>
      <c r="K255" s="475">
        <f>+J255*0.004</f>
        <v>3200</v>
      </c>
    </row>
    <row r="256" spans="1:30" s="107" customFormat="1" ht="35.25" customHeight="1">
      <c r="A256" s="473" t="s">
        <v>1164</v>
      </c>
      <c r="B256" s="508" t="s">
        <v>673</v>
      </c>
      <c r="C256" s="474">
        <v>190</v>
      </c>
      <c r="D256" s="474" t="s">
        <v>717</v>
      </c>
      <c r="E256" s="507">
        <v>68292558</v>
      </c>
      <c r="F256" s="508" t="s">
        <v>718</v>
      </c>
      <c r="G256" s="474">
        <v>75210</v>
      </c>
      <c r="H256" s="509" t="s">
        <v>305</v>
      </c>
      <c r="I256" s="474" t="s">
        <v>259</v>
      </c>
      <c r="J256" s="506">
        <v>12554596</v>
      </c>
      <c r="K256" s="475">
        <f>+J256*0.004</f>
        <v>50218.383999999998</v>
      </c>
    </row>
    <row r="257" spans="1:30" s="107" customFormat="1" ht="35.25" customHeight="1">
      <c r="A257" s="473" t="s">
        <v>1164</v>
      </c>
      <c r="B257" s="508" t="s">
        <v>673</v>
      </c>
      <c r="C257" s="474">
        <v>190</v>
      </c>
      <c r="D257" s="474" t="s">
        <v>719</v>
      </c>
      <c r="E257" s="507">
        <v>1090458185</v>
      </c>
      <c r="F257" s="508" t="s">
        <v>720</v>
      </c>
      <c r="G257" s="474">
        <v>78358</v>
      </c>
      <c r="H257" s="509" t="s">
        <v>305</v>
      </c>
      <c r="I257" s="474" t="s">
        <v>259</v>
      </c>
      <c r="J257" s="506">
        <v>4858906</v>
      </c>
      <c r="K257" s="475">
        <f>+J257*0.004</f>
        <v>19435.624</v>
      </c>
    </row>
    <row r="258" spans="1:30" s="107" customFormat="1" ht="35.25" customHeight="1">
      <c r="A258" s="473" t="s">
        <v>1164</v>
      </c>
      <c r="B258" s="508" t="s">
        <v>673</v>
      </c>
      <c r="C258" s="474">
        <v>190</v>
      </c>
      <c r="D258" s="474" t="s">
        <v>824</v>
      </c>
      <c r="E258" s="507">
        <v>1091678857</v>
      </c>
      <c r="F258" s="508" t="s">
        <v>790</v>
      </c>
      <c r="G258" s="474">
        <v>75029</v>
      </c>
      <c r="H258" s="509" t="s">
        <v>305</v>
      </c>
      <c r="I258" s="474" t="s">
        <v>259</v>
      </c>
      <c r="J258" s="506">
        <v>9197836</v>
      </c>
      <c r="K258" s="475">
        <f t="shared" si="41"/>
        <v>36791.343999999997</v>
      </c>
    </row>
    <row r="259" spans="1:30" s="107" customFormat="1" ht="35.25" customHeight="1">
      <c r="A259" s="473" t="s">
        <v>1164</v>
      </c>
      <c r="B259" s="508" t="s">
        <v>673</v>
      </c>
      <c r="C259" s="474">
        <v>190</v>
      </c>
      <c r="D259" s="474" t="s">
        <v>873</v>
      </c>
      <c r="E259" s="507">
        <v>1090410519</v>
      </c>
      <c r="F259" s="508" t="s">
        <v>843</v>
      </c>
      <c r="G259" s="474">
        <v>75154</v>
      </c>
      <c r="H259" s="509" t="s">
        <v>305</v>
      </c>
      <c r="I259" s="474" t="s">
        <v>259</v>
      </c>
      <c r="J259" s="506">
        <v>9186532</v>
      </c>
      <c r="K259" s="475">
        <f t="shared" si="41"/>
        <v>36746.128000000004</v>
      </c>
    </row>
    <row r="260" spans="1:30" s="107" customFormat="1" ht="35.25" customHeight="1">
      <c r="A260" s="473" t="s">
        <v>1164</v>
      </c>
      <c r="B260" s="508" t="s">
        <v>673</v>
      </c>
      <c r="C260" s="474">
        <v>190</v>
      </c>
      <c r="D260" s="474" t="s">
        <v>888</v>
      </c>
      <c r="E260" s="507">
        <v>1094321454</v>
      </c>
      <c r="F260" s="508" t="s">
        <v>889</v>
      </c>
      <c r="G260" s="474">
        <v>79223</v>
      </c>
      <c r="H260" s="509" t="s">
        <v>305</v>
      </c>
      <c r="I260" s="474" t="s">
        <v>259</v>
      </c>
      <c r="J260" s="506">
        <v>21872908.280000001</v>
      </c>
      <c r="K260" s="475">
        <f t="shared" si="41"/>
        <v>87491.633120000013</v>
      </c>
    </row>
    <row r="261" spans="1:30" s="107" customFormat="1" ht="35.25" customHeight="1">
      <c r="A261" s="473" t="s">
        <v>1164</v>
      </c>
      <c r="B261" s="508" t="s">
        <v>673</v>
      </c>
      <c r="C261" s="474">
        <v>190</v>
      </c>
      <c r="D261" s="474" t="s">
        <v>890</v>
      </c>
      <c r="E261" s="507">
        <v>1093140438</v>
      </c>
      <c r="F261" s="508" t="s">
        <v>891</v>
      </c>
      <c r="G261" s="474">
        <v>75169</v>
      </c>
      <c r="H261" s="509" t="s">
        <v>305</v>
      </c>
      <c r="I261" s="474" t="s">
        <v>259</v>
      </c>
      <c r="J261" s="506">
        <v>7447248</v>
      </c>
      <c r="K261" s="475">
        <f t="shared" si="41"/>
        <v>29788.992000000002</v>
      </c>
    </row>
    <row r="262" spans="1:30" s="107" customFormat="1" ht="35.25" customHeight="1">
      <c r="A262" s="473" t="s">
        <v>1164</v>
      </c>
      <c r="B262" s="508" t="s">
        <v>673</v>
      </c>
      <c r="C262" s="474">
        <v>190</v>
      </c>
      <c r="D262" s="474" t="s">
        <v>1023</v>
      </c>
      <c r="E262" s="507">
        <v>1140862972</v>
      </c>
      <c r="F262" s="508" t="s">
        <v>1024</v>
      </c>
      <c r="G262" s="474">
        <v>71473</v>
      </c>
      <c r="H262" s="509" t="s">
        <v>305</v>
      </c>
      <c r="I262" s="474" t="s">
        <v>259</v>
      </c>
      <c r="J262" s="506">
        <v>3042155</v>
      </c>
      <c r="K262" s="475">
        <f t="shared" si="41"/>
        <v>12168.62</v>
      </c>
    </row>
    <row r="263" spans="1:30" s="412" customFormat="1" ht="22.5" customHeight="1" thickBot="1">
      <c r="A263" s="476"/>
      <c r="B263" s="477"/>
      <c r="C263" s="476"/>
      <c r="D263" s="478"/>
      <c r="E263" s="479"/>
      <c r="F263" s="480"/>
      <c r="G263" s="1222" t="s">
        <v>1165</v>
      </c>
      <c r="H263" s="1223"/>
      <c r="I263" s="1223"/>
      <c r="J263" s="481">
        <f>+SUM(J252:J262)</f>
        <v>81988281.280000001</v>
      </c>
      <c r="K263" s="481">
        <f>+SUM(K252:K262)</f>
        <v>327953.12512000004</v>
      </c>
      <c r="O263" s="413"/>
      <c r="P263" s="482"/>
      <c r="Q263" s="483"/>
      <c r="R263" s="483"/>
      <c r="S263" s="484"/>
      <c r="T263" s="483"/>
      <c r="U263" s="483"/>
      <c r="V263" s="483"/>
      <c r="W263" s="483"/>
      <c r="X263" s="483"/>
      <c r="Y263" s="483"/>
      <c r="Z263" s="483"/>
      <c r="AA263" s="483"/>
      <c r="AB263" s="483"/>
      <c r="AC263" s="483"/>
      <c r="AD263" s="483"/>
    </row>
    <row r="264" spans="1:30" s="412" customFormat="1" ht="22.5" customHeight="1">
      <c r="A264" s="476"/>
      <c r="B264" s="477"/>
      <c r="C264" s="476"/>
      <c r="D264" s="478"/>
      <c r="E264" s="479"/>
      <c r="F264" s="480"/>
      <c r="G264" s="493"/>
      <c r="H264" s="493"/>
      <c r="I264" s="493"/>
      <c r="J264" s="494"/>
      <c r="K264" s="494"/>
      <c r="O264" s="413"/>
      <c r="P264" s="482"/>
      <c r="Q264" s="483"/>
      <c r="R264" s="483"/>
      <c r="S264" s="484"/>
      <c r="T264" s="483"/>
      <c r="U264" s="483"/>
      <c r="V264" s="483"/>
      <c r="W264" s="483"/>
      <c r="X264" s="483"/>
      <c r="Y264" s="483"/>
      <c r="Z264" s="483"/>
      <c r="AA264" s="483"/>
      <c r="AB264" s="483"/>
      <c r="AC264" s="483"/>
      <c r="AD264" s="483"/>
    </row>
    <row r="265" spans="1:30" s="412" customFormat="1" ht="22.5" customHeight="1">
      <c r="A265" s="557"/>
      <c r="B265" s="477"/>
      <c r="C265" s="476"/>
      <c r="D265" s="478"/>
      <c r="E265" s="479"/>
      <c r="F265" s="480"/>
      <c r="G265" s="493"/>
      <c r="H265" s="493"/>
      <c r="I265" s="493"/>
      <c r="J265" s="494"/>
      <c r="K265" s="494"/>
      <c r="O265" s="413"/>
      <c r="P265" s="482"/>
      <c r="Q265" s="483"/>
      <c r="R265" s="483"/>
      <c r="S265" s="484"/>
      <c r="T265" s="483"/>
      <c r="U265" s="483"/>
      <c r="V265" s="483"/>
      <c r="W265" s="483"/>
      <c r="X265" s="483"/>
      <c r="Y265" s="483"/>
      <c r="Z265" s="483"/>
      <c r="AA265" s="483"/>
      <c r="AB265" s="483"/>
      <c r="AC265" s="483"/>
      <c r="AD265" s="483"/>
    </row>
    <row r="266" spans="1:30" s="412" customFormat="1" ht="22.5" customHeight="1" thickBot="1">
      <c r="A266" s="557" t="s">
        <v>721</v>
      </c>
      <c r="B266" s="477"/>
      <c r="C266" s="476"/>
      <c r="D266" s="478"/>
      <c r="E266" s="479"/>
      <c r="F266" s="480"/>
      <c r="G266" s="480"/>
      <c r="H266" s="480"/>
      <c r="I266" s="480"/>
      <c r="J266" s="480"/>
      <c r="K266" s="480"/>
      <c r="O266" s="413"/>
      <c r="P266" s="482"/>
      <c r="Q266" s="483"/>
      <c r="R266" s="483"/>
      <c r="S266" s="484"/>
      <c r="T266" s="483"/>
      <c r="U266" s="483"/>
      <c r="V266" s="483"/>
      <c r="W266" s="483"/>
      <c r="X266" s="483"/>
      <c r="Y266" s="483"/>
      <c r="Z266" s="483"/>
      <c r="AA266" s="483"/>
      <c r="AB266" s="483"/>
      <c r="AC266" s="483"/>
      <c r="AD266" s="483"/>
    </row>
    <row r="267" spans="1:30" s="412" customFormat="1" ht="30">
      <c r="A267" s="829" t="s">
        <v>31</v>
      </c>
      <c r="B267" s="830" t="s">
        <v>33</v>
      </c>
      <c r="C267" s="830" t="s">
        <v>247</v>
      </c>
      <c r="D267" s="830" t="s">
        <v>248</v>
      </c>
      <c r="E267" s="547" t="s">
        <v>249</v>
      </c>
      <c r="F267" s="830" t="s">
        <v>250</v>
      </c>
      <c r="G267" s="830" t="s">
        <v>251</v>
      </c>
      <c r="H267" s="830" t="s">
        <v>36</v>
      </c>
      <c r="I267" s="830" t="s">
        <v>252</v>
      </c>
      <c r="J267" s="548" t="s">
        <v>253</v>
      </c>
      <c r="K267" s="459" t="s">
        <v>20</v>
      </c>
      <c r="O267" s="413"/>
      <c r="P267" s="482"/>
      <c r="Q267" s="483"/>
      <c r="R267" s="483"/>
      <c r="S267" s="484"/>
      <c r="T267" s="483"/>
      <c r="U267" s="483"/>
      <c r="V267" s="483"/>
      <c r="W267" s="483"/>
      <c r="X267" s="483"/>
      <c r="Y267" s="483"/>
      <c r="Z267" s="483"/>
      <c r="AA267" s="483"/>
      <c r="AB267" s="483"/>
      <c r="AC267" s="483"/>
      <c r="AD267" s="483"/>
    </row>
    <row r="268" spans="1:30" s="412" customFormat="1" ht="26.25" customHeight="1">
      <c r="A268" s="473" t="s">
        <v>1164</v>
      </c>
      <c r="B268" s="508" t="s">
        <v>722</v>
      </c>
      <c r="C268" s="508">
        <v>191</v>
      </c>
      <c r="D268" s="508" t="s">
        <v>723</v>
      </c>
      <c r="E268" s="1029">
        <v>1122143354</v>
      </c>
      <c r="F268" s="508" t="s">
        <v>724</v>
      </c>
      <c r="G268" s="508">
        <v>78407</v>
      </c>
      <c r="H268" s="509" t="s">
        <v>305</v>
      </c>
      <c r="I268" s="508" t="s">
        <v>725</v>
      </c>
      <c r="J268" s="1030">
        <v>10593777</v>
      </c>
      <c r="K268" s="475">
        <f>+J268*0.004</f>
        <v>42375.108</v>
      </c>
      <c r="O268" s="413"/>
      <c r="P268" s="482"/>
      <c r="Q268" s="483"/>
      <c r="R268" s="483"/>
      <c r="S268" s="484"/>
      <c r="T268" s="483"/>
      <c r="U268" s="483"/>
      <c r="V268" s="483"/>
      <c r="W268" s="483"/>
      <c r="X268" s="483"/>
      <c r="Y268" s="483"/>
      <c r="Z268" s="483"/>
      <c r="AA268" s="483"/>
      <c r="AB268" s="483"/>
      <c r="AC268" s="483"/>
      <c r="AD268" s="483"/>
    </row>
    <row r="269" spans="1:30" s="412" customFormat="1" ht="26.25" customHeight="1">
      <c r="A269" s="473" t="s">
        <v>1164</v>
      </c>
      <c r="B269" s="508" t="s">
        <v>722</v>
      </c>
      <c r="C269" s="508">
        <v>191</v>
      </c>
      <c r="D269" s="508" t="s">
        <v>726</v>
      </c>
      <c r="E269" s="1029">
        <v>1121879218</v>
      </c>
      <c r="F269" s="508" t="s">
        <v>727</v>
      </c>
      <c r="G269" s="508">
        <v>78376</v>
      </c>
      <c r="H269" s="509" t="s">
        <v>305</v>
      </c>
      <c r="I269" s="508" t="s">
        <v>725</v>
      </c>
      <c r="J269" s="1030">
        <v>8936329</v>
      </c>
      <c r="K269" s="475">
        <f>+J269*0.004</f>
        <v>35745.315999999999</v>
      </c>
      <c r="O269" s="413"/>
      <c r="P269" s="482"/>
      <c r="Q269" s="483"/>
      <c r="R269" s="483"/>
      <c r="S269" s="484"/>
      <c r="T269" s="483"/>
      <c r="U269" s="483"/>
      <c r="V269" s="483"/>
      <c r="W269" s="483"/>
      <c r="X269" s="483"/>
      <c r="Y269" s="483"/>
      <c r="Z269" s="483"/>
      <c r="AA269" s="483"/>
      <c r="AB269" s="483"/>
      <c r="AC269" s="483"/>
      <c r="AD269" s="483"/>
    </row>
    <row r="270" spans="1:30" s="412" customFormat="1" ht="26.25" customHeight="1">
      <c r="A270" s="473" t="s">
        <v>1164</v>
      </c>
      <c r="B270" s="508" t="s">
        <v>722</v>
      </c>
      <c r="C270" s="508">
        <v>191</v>
      </c>
      <c r="D270" s="508" t="s">
        <v>825</v>
      </c>
      <c r="E270" s="1029">
        <v>1018492717</v>
      </c>
      <c r="F270" s="508" t="s">
        <v>796</v>
      </c>
      <c r="G270" s="508">
        <v>78454</v>
      </c>
      <c r="H270" s="509" t="s">
        <v>305</v>
      </c>
      <c r="I270" s="508" t="s">
        <v>725</v>
      </c>
      <c r="J270" s="1030">
        <v>440000</v>
      </c>
      <c r="K270" s="475">
        <f t="shared" ref="K270:K281" si="42">+J270*0.004</f>
        <v>1760</v>
      </c>
      <c r="O270" s="413"/>
      <c r="P270" s="482"/>
      <c r="Q270" s="483"/>
      <c r="R270" s="483"/>
      <c r="S270" s="484"/>
      <c r="T270" s="483"/>
      <c r="U270" s="483"/>
      <c r="V270" s="483"/>
      <c r="W270" s="483"/>
      <c r="X270" s="483"/>
      <c r="Y270" s="483"/>
      <c r="Z270" s="483"/>
      <c r="AA270" s="483"/>
      <c r="AB270" s="483"/>
      <c r="AC270" s="483"/>
      <c r="AD270" s="483"/>
    </row>
    <row r="271" spans="1:30" s="412" customFormat="1" ht="26.25" customHeight="1">
      <c r="A271" s="473" t="s">
        <v>1164</v>
      </c>
      <c r="B271" s="508" t="s">
        <v>722</v>
      </c>
      <c r="C271" s="508">
        <v>191</v>
      </c>
      <c r="D271" s="508" t="s">
        <v>892</v>
      </c>
      <c r="E271" s="1029">
        <v>86062832</v>
      </c>
      <c r="F271" s="508" t="s">
        <v>893</v>
      </c>
      <c r="G271" s="508">
        <v>76836</v>
      </c>
      <c r="H271" s="509" t="s">
        <v>305</v>
      </c>
      <c r="I271" s="508" t="s">
        <v>725</v>
      </c>
      <c r="J271" s="1030">
        <v>7231103</v>
      </c>
      <c r="K271" s="475">
        <f t="shared" si="42"/>
        <v>28924.412</v>
      </c>
      <c r="O271" s="413"/>
      <c r="P271" s="482"/>
      <c r="Q271" s="483"/>
      <c r="R271" s="483"/>
      <c r="S271" s="484"/>
      <c r="T271" s="483"/>
      <c r="U271" s="483"/>
      <c r="V271" s="483"/>
      <c r="W271" s="483"/>
      <c r="X271" s="483"/>
      <c r="Y271" s="483"/>
      <c r="Z271" s="483"/>
      <c r="AA271" s="483"/>
      <c r="AB271" s="483"/>
      <c r="AC271" s="483"/>
      <c r="AD271" s="483"/>
    </row>
    <row r="272" spans="1:30" s="412" customFormat="1" ht="26.25" customHeight="1">
      <c r="A272" s="473" t="s">
        <v>1164</v>
      </c>
      <c r="B272" s="508" t="s">
        <v>722</v>
      </c>
      <c r="C272" s="508">
        <v>191</v>
      </c>
      <c r="D272" s="508" t="s">
        <v>1025</v>
      </c>
      <c r="E272" s="1029">
        <v>1010112091</v>
      </c>
      <c r="F272" s="508" t="s">
        <v>1026</v>
      </c>
      <c r="G272" s="508">
        <v>77931</v>
      </c>
      <c r="H272" s="509" t="s">
        <v>305</v>
      </c>
      <c r="I272" s="508" t="s">
        <v>725</v>
      </c>
      <c r="J272" s="1030">
        <v>2995224</v>
      </c>
      <c r="K272" s="475">
        <f t="shared" si="42"/>
        <v>11980.896000000001</v>
      </c>
      <c r="O272" s="413"/>
      <c r="P272" s="482"/>
      <c r="Q272" s="483"/>
      <c r="R272" s="483"/>
      <c r="S272" s="484"/>
      <c r="T272" s="483"/>
      <c r="U272" s="483"/>
      <c r="V272" s="483"/>
      <c r="W272" s="483"/>
      <c r="X272" s="483"/>
      <c r="Y272" s="483"/>
      <c r="Z272" s="483"/>
      <c r="AA272" s="483"/>
      <c r="AB272" s="483"/>
      <c r="AC272" s="483"/>
      <c r="AD272" s="483"/>
    </row>
    <row r="273" spans="1:30" s="412" customFormat="1" ht="26.25" customHeight="1">
      <c r="A273" s="473" t="s">
        <v>1164</v>
      </c>
      <c r="B273" s="508" t="s">
        <v>805</v>
      </c>
      <c r="C273" s="508">
        <v>191</v>
      </c>
      <c r="D273" s="508" t="s">
        <v>1131</v>
      </c>
      <c r="E273" s="1029">
        <v>1022326486</v>
      </c>
      <c r="F273" s="508" t="s">
        <v>1071</v>
      </c>
      <c r="G273" s="508">
        <v>79846</v>
      </c>
      <c r="H273" s="509" t="s">
        <v>305</v>
      </c>
      <c r="I273" s="508" t="s">
        <v>725</v>
      </c>
      <c r="J273" s="1030">
        <v>4874387</v>
      </c>
      <c r="K273" s="475">
        <f t="shared" si="42"/>
        <v>19497.547999999999</v>
      </c>
      <c r="O273" s="413"/>
      <c r="P273" s="482"/>
      <c r="Q273" s="483"/>
      <c r="R273" s="483"/>
      <c r="S273" s="484"/>
      <c r="T273" s="483"/>
      <c r="U273" s="483"/>
      <c r="V273" s="483"/>
      <c r="W273" s="483"/>
      <c r="X273" s="483"/>
      <c r="Y273" s="483"/>
      <c r="Z273" s="483"/>
      <c r="AA273" s="483"/>
      <c r="AB273" s="483"/>
      <c r="AC273" s="483"/>
      <c r="AD273" s="483"/>
    </row>
    <row r="274" spans="1:30" s="412" customFormat="1" ht="26.25" customHeight="1">
      <c r="A274" s="473" t="s">
        <v>1164</v>
      </c>
      <c r="B274" s="508" t="s">
        <v>805</v>
      </c>
      <c r="C274" s="508">
        <v>191</v>
      </c>
      <c r="D274" s="508" t="s">
        <v>944</v>
      </c>
      <c r="E274" s="1029">
        <v>21177362</v>
      </c>
      <c r="F274" s="508" t="s">
        <v>945</v>
      </c>
      <c r="G274" s="508">
        <v>78460</v>
      </c>
      <c r="H274" s="509" t="s">
        <v>305</v>
      </c>
      <c r="I274" s="508" t="s">
        <v>725</v>
      </c>
      <c r="J274" s="1030">
        <v>7798967</v>
      </c>
      <c r="K274" s="475">
        <f>+J274*0.004</f>
        <v>31195.868000000002</v>
      </c>
      <c r="O274" s="413"/>
      <c r="P274" s="482"/>
      <c r="Q274" s="483"/>
      <c r="R274" s="483"/>
      <c r="S274" s="484"/>
      <c r="T274" s="483"/>
      <c r="U274" s="483"/>
      <c r="V274" s="483"/>
      <c r="W274" s="483"/>
      <c r="X274" s="483"/>
      <c r="Y274" s="483"/>
      <c r="Z274" s="483"/>
      <c r="AA274" s="483"/>
      <c r="AB274" s="483"/>
      <c r="AC274" s="483"/>
      <c r="AD274" s="483"/>
    </row>
    <row r="275" spans="1:30" s="412" customFormat="1" ht="26.25" customHeight="1">
      <c r="A275" s="473" t="s">
        <v>1164</v>
      </c>
      <c r="B275" s="508" t="s">
        <v>805</v>
      </c>
      <c r="C275" s="508">
        <v>191</v>
      </c>
      <c r="D275" s="508" t="s">
        <v>826</v>
      </c>
      <c r="E275" s="1029">
        <v>1122122277</v>
      </c>
      <c r="F275" s="508" t="s">
        <v>813</v>
      </c>
      <c r="G275" s="508">
        <v>78400</v>
      </c>
      <c r="H275" s="509" t="s">
        <v>305</v>
      </c>
      <c r="I275" s="508" t="s">
        <v>725</v>
      </c>
      <c r="J275" s="1030">
        <v>10458215</v>
      </c>
      <c r="K275" s="475">
        <f>+J275*0.004</f>
        <v>41832.86</v>
      </c>
      <c r="O275" s="413"/>
      <c r="P275" s="482"/>
      <c r="Q275" s="483"/>
      <c r="R275" s="483"/>
      <c r="S275" s="484"/>
      <c r="T275" s="483"/>
      <c r="U275" s="483"/>
      <c r="V275" s="483"/>
      <c r="W275" s="483"/>
      <c r="X275" s="483"/>
      <c r="Y275" s="483"/>
      <c r="Z275" s="483"/>
      <c r="AA275" s="483"/>
      <c r="AB275" s="483"/>
      <c r="AC275" s="483"/>
      <c r="AD275" s="483"/>
    </row>
    <row r="276" spans="1:30" s="412" customFormat="1" ht="26.25" customHeight="1">
      <c r="A276" s="473" t="s">
        <v>1164</v>
      </c>
      <c r="B276" s="508" t="s">
        <v>805</v>
      </c>
      <c r="C276" s="508">
        <v>191</v>
      </c>
      <c r="D276" s="508" t="s">
        <v>874</v>
      </c>
      <c r="E276" s="1029">
        <v>1122129530</v>
      </c>
      <c r="F276" s="508" t="s">
        <v>862</v>
      </c>
      <c r="G276" s="508">
        <v>78876</v>
      </c>
      <c r="H276" s="509" t="s">
        <v>305</v>
      </c>
      <c r="I276" s="508" t="s">
        <v>725</v>
      </c>
      <c r="J276" s="1030">
        <v>23628386.02</v>
      </c>
      <c r="K276" s="475">
        <f>+J276*0.004</f>
        <v>94513.544080000007</v>
      </c>
      <c r="O276" s="413"/>
      <c r="P276" s="482"/>
      <c r="Q276" s="483"/>
      <c r="R276" s="483"/>
      <c r="S276" s="484"/>
      <c r="T276" s="483"/>
      <c r="U276" s="483"/>
      <c r="V276" s="483"/>
      <c r="W276" s="483"/>
      <c r="X276" s="483"/>
      <c r="Y276" s="483"/>
      <c r="Z276" s="483"/>
      <c r="AA276" s="483"/>
      <c r="AB276" s="483"/>
      <c r="AC276" s="483"/>
      <c r="AD276" s="483"/>
    </row>
    <row r="277" spans="1:30" s="412" customFormat="1" ht="26.25" customHeight="1">
      <c r="A277" s="473" t="s">
        <v>1164</v>
      </c>
      <c r="B277" s="508" t="s">
        <v>805</v>
      </c>
      <c r="C277" s="508">
        <v>191</v>
      </c>
      <c r="D277" s="508" t="s">
        <v>1132</v>
      </c>
      <c r="E277" s="1029">
        <v>47432770</v>
      </c>
      <c r="F277" s="508" t="s">
        <v>1103</v>
      </c>
      <c r="G277" s="508">
        <v>78446</v>
      </c>
      <c r="H277" s="509" t="s">
        <v>305</v>
      </c>
      <c r="I277" s="508" t="s">
        <v>725</v>
      </c>
      <c r="J277" s="1030">
        <v>500000</v>
      </c>
      <c r="K277" s="475">
        <f t="shared" si="42"/>
        <v>2000</v>
      </c>
      <c r="O277" s="413"/>
      <c r="P277" s="482"/>
      <c r="Q277" s="483"/>
      <c r="R277" s="483"/>
      <c r="S277" s="484"/>
      <c r="T277" s="483"/>
      <c r="U277" s="483"/>
      <c r="V277" s="483"/>
      <c r="W277" s="483"/>
      <c r="X277" s="483"/>
      <c r="Y277" s="483"/>
      <c r="Z277" s="483"/>
      <c r="AA277" s="483"/>
      <c r="AB277" s="483"/>
      <c r="AC277" s="483"/>
      <c r="AD277" s="483"/>
    </row>
    <row r="278" spans="1:30" s="412" customFormat="1" ht="26.25" customHeight="1">
      <c r="A278" s="473" t="s">
        <v>1164</v>
      </c>
      <c r="B278" s="508" t="s">
        <v>805</v>
      </c>
      <c r="C278" s="508">
        <v>191</v>
      </c>
      <c r="D278" s="508" t="s">
        <v>894</v>
      </c>
      <c r="E278" s="1029">
        <v>1122143476</v>
      </c>
      <c r="F278" s="508" t="s">
        <v>895</v>
      </c>
      <c r="G278" s="508">
        <v>79405</v>
      </c>
      <c r="H278" s="509" t="s">
        <v>305</v>
      </c>
      <c r="I278" s="508" t="s">
        <v>725</v>
      </c>
      <c r="J278" s="1030">
        <v>500000</v>
      </c>
      <c r="K278" s="475">
        <f t="shared" si="42"/>
        <v>2000</v>
      </c>
      <c r="O278" s="413"/>
      <c r="P278" s="482"/>
      <c r="Q278" s="483"/>
      <c r="R278" s="483"/>
      <c r="S278" s="484"/>
      <c r="T278" s="483"/>
      <c r="U278" s="483"/>
      <c r="V278" s="483"/>
      <c r="W278" s="483"/>
      <c r="X278" s="483"/>
      <c r="Y278" s="483"/>
      <c r="Z278" s="483"/>
      <c r="AA278" s="483"/>
      <c r="AB278" s="483"/>
      <c r="AC278" s="483"/>
      <c r="AD278" s="483"/>
    </row>
    <row r="279" spans="1:30" s="412" customFormat="1" ht="26.25" customHeight="1">
      <c r="A279" s="473" t="s">
        <v>1164</v>
      </c>
      <c r="B279" s="508" t="s">
        <v>805</v>
      </c>
      <c r="C279" s="508">
        <v>191</v>
      </c>
      <c r="D279" s="508" t="s">
        <v>946</v>
      </c>
      <c r="E279" s="1029">
        <v>1099203023</v>
      </c>
      <c r="F279" s="508" t="s">
        <v>947</v>
      </c>
      <c r="G279" s="508">
        <v>78105</v>
      </c>
      <c r="H279" s="509" t="s">
        <v>305</v>
      </c>
      <c r="I279" s="508" t="s">
        <v>725</v>
      </c>
      <c r="J279" s="1030">
        <v>10093586</v>
      </c>
      <c r="K279" s="475">
        <f t="shared" si="42"/>
        <v>40374.343999999997</v>
      </c>
      <c r="O279" s="413"/>
      <c r="P279" s="482"/>
      <c r="Q279" s="483"/>
      <c r="R279" s="483"/>
      <c r="S279" s="484"/>
      <c r="T279" s="483"/>
      <c r="U279" s="483"/>
      <c r="V279" s="483"/>
      <c r="W279" s="483"/>
      <c r="X279" s="483"/>
      <c r="Y279" s="483"/>
      <c r="Z279" s="483"/>
      <c r="AA279" s="483"/>
      <c r="AB279" s="483"/>
      <c r="AC279" s="483"/>
      <c r="AD279" s="483"/>
    </row>
    <row r="280" spans="1:30" s="412" customFormat="1" ht="26.25" customHeight="1">
      <c r="A280" s="473" t="s">
        <v>1164</v>
      </c>
      <c r="B280" s="508" t="s">
        <v>805</v>
      </c>
      <c r="C280" s="508">
        <v>191</v>
      </c>
      <c r="D280" s="508" t="s">
        <v>948</v>
      </c>
      <c r="E280" s="1029">
        <v>1123510152</v>
      </c>
      <c r="F280" s="508" t="s">
        <v>949</v>
      </c>
      <c r="G280" s="508">
        <v>78257</v>
      </c>
      <c r="H280" s="509" t="s">
        <v>305</v>
      </c>
      <c r="I280" s="508" t="s">
        <v>725</v>
      </c>
      <c r="J280" s="1030">
        <v>4307774</v>
      </c>
      <c r="K280" s="475">
        <f t="shared" si="42"/>
        <v>17231.096000000001</v>
      </c>
      <c r="O280" s="413"/>
      <c r="P280" s="482"/>
      <c r="Q280" s="483"/>
      <c r="R280" s="483"/>
      <c r="S280" s="484"/>
      <c r="T280" s="483"/>
      <c r="U280" s="483"/>
      <c r="V280" s="483"/>
      <c r="W280" s="483"/>
      <c r="X280" s="483"/>
      <c r="Y280" s="483"/>
      <c r="Z280" s="483"/>
      <c r="AA280" s="483"/>
      <c r="AB280" s="483"/>
      <c r="AC280" s="483"/>
      <c r="AD280" s="483"/>
    </row>
    <row r="281" spans="1:30" s="412" customFormat="1" ht="26.25" customHeight="1">
      <c r="A281" s="473" t="s">
        <v>1164</v>
      </c>
      <c r="B281" s="508" t="s">
        <v>805</v>
      </c>
      <c r="C281" s="508">
        <v>191</v>
      </c>
      <c r="D281" s="508" t="s">
        <v>1133</v>
      </c>
      <c r="E281" s="1029">
        <v>1020714001</v>
      </c>
      <c r="F281" s="508" t="s">
        <v>1106</v>
      </c>
      <c r="G281" s="508">
        <v>79777</v>
      </c>
      <c r="H281" s="509" t="s">
        <v>305</v>
      </c>
      <c r="I281" s="508" t="s">
        <v>725</v>
      </c>
      <c r="J281" s="1030">
        <v>14850000</v>
      </c>
      <c r="K281" s="475">
        <f t="shared" si="42"/>
        <v>59400</v>
      </c>
      <c r="O281" s="413"/>
      <c r="P281" s="482"/>
      <c r="Q281" s="483"/>
      <c r="R281" s="483"/>
      <c r="S281" s="484"/>
      <c r="T281" s="483"/>
      <c r="U281" s="483"/>
      <c r="V281" s="483"/>
      <c r="W281" s="483"/>
      <c r="X281" s="483"/>
      <c r="Y281" s="483"/>
      <c r="Z281" s="483"/>
      <c r="AA281" s="483"/>
      <c r="AB281" s="483"/>
      <c r="AC281" s="483"/>
      <c r="AD281" s="483"/>
    </row>
    <row r="282" spans="1:30" s="412" customFormat="1" ht="22.5" customHeight="1" thickBot="1">
      <c r="A282" s="831"/>
      <c r="B282" s="832"/>
      <c r="C282" s="487"/>
      <c r="D282" s="487"/>
      <c r="E282" s="489"/>
      <c r="F282" s="832"/>
      <c r="G282" s="1222" t="s">
        <v>1165</v>
      </c>
      <c r="H282" s="1223"/>
      <c r="I282" s="1223"/>
      <c r="J282" s="481">
        <f>+SUM(J268:J281)</f>
        <v>107207748.02</v>
      </c>
      <c r="K282" s="481">
        <f>+SUM(K268:K281)</f>
        <v>428830.99208</v>
      </c>
      <c r="O282" s="413"/>
      <c r="P282" s="482"/>
      <c r="Q282" s="483"/>
      <c r="R282" s="483"/>
      <c r="S282" s="484"/>
      <c r="T282" s="483"/>
      <c r="U282" s="483"/>
      <c r="V282" s="483"/>
      <c r="W282" s="483"/>
      <c r="X282" s="483"/>
      <c r="Y282" s="483"/>
      <c r="Z282" s="483"/>
      <c r="AA282" s="483"/>
      <c r="AB282" s="483"/>
      <c r="AC282" s="483"/>
      <c r="AD282" s="483"/>
    </row>
    <row r="283" spans="1:30" s="412" customFormat="1" ht="22.5" customHeight="1">
      <c r="A283" s="831"/>
      <c r="B283" s="832"/>
      <c r="C283" s="487"/>
      <c r="D283" s="487"/>
      <c r="E283" s="489"/>
      <c r="F283" s="832"/>
      <c r="G283" s="487"/>
      <c r="H283" s="833"/>
      <c r="I283" s="487"/>
      <c r="O283" s="413"/>
      <c r="P283" s="482"/>
      <c r="Q283" s="483"/>
      <c r="R283" s="483"/>
      <c r="S283" s="484"/>
      <c r="T283" s="483"/>
      <c r="U283" s="483"/>
      <c r="V283" s="483"/>
      <c r="W283" s="483"/>
      <c r="X283" s="483"/>
      <c r="Y283" s="483"/>
      <c r="Z283" s="483"/>
      <c r="AA283" s="483"/>
      <c r="AB283" s="483"/>
      <c r="AC283" s="483"/>
      <c r="AD283" s="483"/>
    </row>
    <row r="284" spans="1:30" s="412" customFormat="1" ht="22.5" customHeight="1" thickBot="1">
      <c r="A284" s="557" t="s">
        <v>1036</v>
      </c>
      <c r="B284" s="477"/>
      <c r="C284" s="476"/>
      <c r="D284" s="478"/>
      <c r="E284" s="479"/>
      <c r="F284" s="480"/>
      <c r="O284" s="413"/>
      <c r="P284" s="482"/>
      <c r="Q284" s="483"/>
      <c r="R284" s="483"/>
      <c r="S284" s="484"/>
      <c r="T284" s="483"/>
      <c r="U284" s="483"/>
      <c r="V284" s="483"/>
      <c r="W284" s="483"/>
      <c r="X284" s="483"/>
      <c r="Y284" s="483"/>
      <c r="Z284" s="483"/>
      <c r="AA284" s="483"/>
      <c r="AB284" s="483"/>
      <c r="AC284" s="483"/>
      <c r="AD284" s="483"/>
    </row>
    <row r="285" spans="1:30" s="412" customFormat="1" ht="30">
      <c r="A285" s="814" t="s">
        <v>31</v>
      </c>
      <c r="B285" s="815" t="s">
        <v>33</v>
      </c>
      <c r="C285" s="815" t="s">
        <v>247</v>
      </c>
      <c r="D285" s="815" t="s">
        <v>248</v>
      </c>
      <c r="E285" s="547" t="s">
        <v>249</v>
      </c>
      <c r="F285" s="815" t="s">
        <v>250</v>
      </c>
      <c r="G285" s="815" t="s">
        <v>251</v>
      </c>
      <c r="H285" s="815" t="s">
        <v>36</v>
      </c>
      <c r="I285" s="815" t="s">
        <v>252</v>
      </c>
      <c r="J285" s="548" t="s">
        <v>253</v>
      </c>
      <c r="K285" s="459" t="s">
        <v>20</v>
      </c>
      <c r="O285" s="413"/>
      <c r="P285" s="482"/>
      <c r="Q285" s="483"/>
      <c r="R285" s="483"/>
      <c r="S285" s="484"/>
      <c r="T285" s="483"/>
      <c r="U285" s="483"/>
      <c r="V285" s="483"/>
      <c r="W285" s="483"/>
      <c r="X285" s="483"/>
      <c r="Y285" s="483"/>
      <c r="Z285" s="483"/>
      <c r="AA285" s="483"/>
      <c r="AB285" s="483"/>
      <c r="AC285" s="483"/>
      <c r="AD285" s="483"/>
    </row>
    <row r="286" spans="1:30" s="107" customFormat="1" ht="35.25" customHeight="1">
      <c r="A286" s="473" t="s">
        <v>1164</v>
      </c>
      <c r="B286" s="508" t="s">
        <v>681</v>
      </c>
      <c r="C286" s="474">
        <v>192</v>
      </c>
      <c r="D286" s="474" t="s">
        <v>1354</v>
      </c>
      <c r="E286" s="507">
        <v>1118821758</v>
      </c>
      <c r="F286" s="508" t="s">
        <v>1355</v>
      </c>
      <c r="G286" s="474">
        <v>72042</v>
      </c>
      <c r="H286" s="509" t="s">
        <v>305</v>
      </c>
      <c r="I286" s="474" t="s">
        <v>260</v>
      </c>
      <c r="J286" s="506">
        <v>13750000</v>
      </c>
      <c r="K286" s="475">
        <f t="shared" ref="K286:K292" si="43">+J286*0.004</f>
        <v>55000</v>
      </c>
    </row>
    <row r="287" spans="1:30" s="107" customFormat="1" ht="35.25" customHeight="1">
      <c r="A287" s="473" t="s">
        <v>1164</v>
      </c>
      <c r="B287" s="508" t="s">
        <v>681</v>
      </c>
      <c r="C287" s="474">
        <v>192</v>
      </c>
      <c r="D287" s="474" t="s">
        <v>950</v>
      </c>
      <c r="E287" s="507">
        <v>15174229</v>
      </c>
      <c r="F287" s="508" t="s">
        <v>951</v>
      </c>
      <c r="G287" s="474">
        <v>75127</v>
      </c>
      <c r="H287" s="509" t="s">
        <v>305</v>
      </c>
      <c r="I287" s="474" t="s">
        <v>260</v>
      </c>
      <c r="J287" s="506">
        <v>7156909</v>
      </c>
      <c r="K287" s="475">
        <f t="shared" si="43"/>
        <v>28627.636000000002</v>
      </c>
    </row>
    <row r="288" spans="1:30" s="107" customFormat="1" ht="35.25" customHeight="1">
      <c r="A288" s="473" t="s">
        <v>1164</v>
      </c>
      <c r="B288" s="508" t="s">
        <v>681</v>
      </c>
      <c r="C288" s="474">
        <v>192</v>
      </c>
      <c r="D288" s="474" t="s">
        <v>1356</v>
      </c>
      <c r="E288" s="507">
        <v>56097888</v>
      </c>
      <c r="F288" s="508" t="s">
        <v>1357</v>
      </c>
      <c r="G288" s="474">
        <v>74677</v>
      </c>
      <c r="H288" s="509" t="s">
        <v>305</v>
      </c>
      <c r="I288" s="474" t="s">
        <v>260</v>
      </c>
      <c r="J288" s="506">
        <v>2523064</v>
      </c>
      <c r="K288" s="475">
        <f t="shared" si="43"/>
        <v>10092.255999999999</v>
      </c>
    </row>
    <row r="289" spans="1:30" s="107" customFormat="1" ht="35.25" customHeight="1">
      <c r="A289" s="473" t="s">
        <v>1164</v>
      </c>
      <c r="B289" s="508" t="s">
        <v>681</v>
      </c>
      <c r="C289" s="474">
        <v>192</v>
      </c>
      <c r="D289" s="474" t="s">
        <v>896</v>
      </c>
      <c r="E289" s="507">
        <v>84034428</v>
      </c>
      <c r="F289" s="508" t="s">
        <v>897</v>
      </c>
      <c r="G289" s="474">
        <v>79207</v>
      </c>
      <c r="H289" s="509" t="s">
        <v>305</v>
      </c>
      <c r="I289" s="474" t="s">
        <v>260</v>
      </c>
      <c r="J289" s="506">
        <v>17274711</v>
      </c>
      <c r="K289" s="475">
        <f t="shared" si="43"/>
        <v>69098.843999999997</v>
      </c>
    </row>
    <row r="290" spans="1:30" s="107" customFormat="1" ht="35.25" customHeight="1">
      <c r="A290" s="473" t="s">
        <v>1164</v>
      </c>
      <c r="B290" s="508" t="s">
        <v>681</v>
      </c>
      <c r="C290" s="474">
        <v>192</v>
      </c>
      <c r="D290" s="474" t="s">
        <v>827</v>
      </c>
      <c r="E290" s="507">
        <v>1113654247</v>
      </c>
      <c r="F290" s="508" t="s">
        <v>809</v>
      </c>
      <c r="G290" s="474">
        <v>79033</v>
      </c>
      <c r="H290" s="509" t="s">
        <v>305</v>
      </c>
      <c r="I290" s="474" t="s">
        <v>260</v>
      </c>
      <c r="J290" s="506">
        <v>4284596</v>
      </c>
      <c r="K290" s="475">
        <f t="shared" si="43"/>
        <v>17138.384000000002</v>
      </c>
    </row>
    <row r="291" spans="1:30" s="107" customFormat="1" ht="35.25" customHeight="1">
      <c r="A291" s="473" t="s">
        <v>1164</v>
      </c>
      <c r="B291" s="508" t="s">
        <v>681</v>
      </c>
      <c r="C291" s="474">
        <v>192</v>
      </c>
      <c r="D291" s="474" t="s">
        <v>875</v>
      </c>
      <c r="E291" s="507">
        <v>79553968</v>
      </c>
      <c r="F291" s="508" t="s">
        <v>856</v>
      </c>
      <c r="G291" s="474">
        <v>72092</v>
      </c>
      <c r="H291" s="509" t="s">
        <v>305</v>
      </c>
      <c r="I291" s="474" t="s">
        <v>260</v>
      </c>
      <c r="J291" s="506">
        <v>5535284.7800000003</v>
      </c>
      <c r="K291" s="475">
        <f t="shared" si="43"/>
        <v>22141.13912</v>
      </c>
    </row>
    <row r="292" spans="1:30" s="107" customFormat="1" ht="35.25" customHeight="1">
      <c r="A292" s="473" t="s">
        <v>1164</v>
      </c>
      <c r="B292" s="508" t="s">
        <v>681</v>
      </c>
      <c r="C292" s="474">
        <v>192</v>
      </c>
      <c r="D292" s="474" t="s">
        <v>876</v>
      </c>
      <c r="E292" s="507">
        <v>84082416</v>
      </c>
      <c r="F292" s="508" t="s">
        <v>863</v>
      </c>
      <c r="G292" s="474">
        <v>79110</v>
      </c>
      <c r="H292" s="509" t="s">
        <v>305</v>
      </c>
      <c r="I292" s="474" t="s">
        <v>260</v>
      </c>
      <c r="J292" s="506">
        <v>3968924</v>
      </c>
      <c r="K292" s="475">
        <f t="shared" si="43"/>
        <v>15875.696</v>
      </c>
    </row>
    <row r="293" spans="1:30" s="412" customFormat="1" ht="22.5" customHeight="1" thickBot="1">
      <c r="A293" s="476"/>
      <c r="B293" s="477"/>
      <c r="C293" s="476"/>
      <c r="D293" s="478"/>
      <c r="E293" s="479"/>
      <c r="F293" s="480"/>
      <c r="G293" s="1222" t="s">
        <v>1165</v>
      </c>
      <c r="H293" s="1223"/>
      <c r="I293" s="1223"/>
      <c r="J293" s="481">
        <f>+SUM(J286:J292)</f>
        <v>54493488.780000001</v>
      </c>
      <c r="K293" s="481">
        <f>+SUM(K286:K292)</f>
        <v>217973.95511999997</v>
      </c>
      <c r="O293" s="413"/>
      <c r="P293" s="482"/>
      <c r="Q293" s="483"/>
      <c r="R293" s="483"/>
      <c r="S293" s="484"/>
      <c r="T293" s="483"/>
      <c r="U293" s="483"/>
      <c r="V293" s="483"/>
      <c r="W293" s="483"/>
      <c r="X293" s="483"/>
      <c r="Y293" s="483"/>
      <c r="Z293" s="483"/>
      <c r="AA293" s="483"/>
      <c r="AB293" s="483"/>
      <c r="AC293" s="483"/>
      <c r="AD293" s="483"/>
    </row>
    <row r="294" spans="1:30" s="412" customFormat="1" ht="22.5" customHeight="1">
      <c r="A294" s="476"/>
      <c r="B294" s="477"/>
      <c r="C294" s="476"/>
      <c r="D294" s="478"/>
      <c r="E294" s="479"/>
      <c r="F294" s="480"/>
      <c r="G294" s="480"/>
      <c r="H294" s="480"/>
      <c r="I294" s="480"/>
      <c r="J294" s="960"/>
      <c r="K294" s="480"/>
      <c r="O294" s="413"/>
      <c r="P294" s="482"/>
      <c r="Q294" s="483"/>
      <c r="R294" s="483"/>
      <c r="S294" s="484"/>
      <c r="T294" s="483"/>
      <c r="U294" s="483"/>
      <c r="V294" s="483"/>
      <c r="W294" s="483"/>
      <c r="X294" s="483"/>
      <c r="Y294" s="483"/>
      <c r="Z294" s="483"/>
      <c r="AA294" s="483"/>
      <c r="AB294" s="483"/>
      <c r="AC294" s="483"/>
      <c r="AD294" s="483"/>
    </row>
    <row r="295" spans="1:30" s="412" customFormat="1" ht="22.5" customHeight="1">
      <c r="A295" s="476"/>
      <c r="B295" s="477"/>
      <c r="C295" s="476"/>
      <c r="D295" s="478"/>
      <c r="E295" s="479"/>
      <c r="F295" s="480"/>
      <c r="G295" s="480"/>
      <c r="H295" s="480"/>
      <c r="I295" s="480"/>
      <c r="J295" s="960"/>
      <c r="K295" s="480"/>
      <c r="O295" s="413"/>
      <c r="P295" s="482"/>
      <c r="Q295" s="483"/>
      <c r="R295" s="483"/>
      <c r="S295" s="484"/>
      <c r="T295" s="483"/>
      <c r="U295" s="483"/>
      <c r="V295" s="483"/>
      <c r="W295" s="483"/>
      <c r="X295" s="483"/>
      <c r="Y295" s="483"/>
      <c r="Z295" s="483"/>
      <c r="AA295" s="483"/>
      <c r="AB295" s="483"/>
      <c r="AC295" s="483"/>
      <c r="AD295" s="483"/>
    </row>
    <row r="296" spans="1:30" s="412" customFormat="1" ht="22.5" customHeight="1">
      <c r="A296" s="476"/>
      <c r="B296" s="477"/>
      <c r="C296" s="476"/>
      <c r="D296" s="478"/>
      <c r="E296" s="479"/>
      <c r="F296" s="480"/>
      <c r="G296" s="480"/>
      <c r="H296" s="480"/>
      <c r="I296" s="480"/>
      <c r="J296" s="480"/>
      <c r="K296" s="480"/>
      <c r="O296" s="413"/>
      <c r="P296" s="482"/>
      <c r="Q296" s="483"/>
      <c r="R296" s="483"/>
      <c r="S296" s="484"/>
      <c r="T296" s="483"/>
      <c r="U296" s="483"/>
      <c r="V296" s="483"/>
      <c r="W296" s="483"/>
      <c r="X296" s="483"/>
      <c r="Y296" s="483"/>
      <c r="Z296" s="483"/>
      <c r="AA296" s="483"/>
      <c r="AB296" s="483"/>
      <c r="AC296" s="483"/>
      <c r="AD296" s="483"/>
    </row>
    <row r="297" spans="1:30" s="416" customFormat="1" ht="15" thickBot="1">
      <c r="A297" s="502"/>
      <c r="B297" s="534"/>
      <c r="C297" s="503"/>
      <c r="D297" s="503"/>
      <c r="E297" s="535"/>
      <c r="G297" s="741"/>
      <c r="H297" s="741"/>
      <c r="L297" s="498"/>
      <c r="M297" s="498"/>
      <c r="P297" s="482"/>
    </row>
    <row r="298" spans="1:30" s="416" customFormat="1" ht="15" customHeight="1">
      <c r="A298" s="725" t="s">
        <v>522</v>
      </c>
      <c r="B298" s="533"/>
      <c r="C298" s="536" t="s">
        <v>135</v>
      </c>
      <c r="D298" s="533"/>
      <c r="E298" s="533"/>
      <c r="G298" s="404" t="s">
        <v>554</v>
      </c>
      <c r="H298" s="497"/>
      <c r="I298" s="498"/>
      <c r="J298" s="498"/>
      <c r="K298" s="499"/>
      <c r="L298" s="498"/>
      <c r="M298" s="498"/>
    </row>
    <row r="299" spans="1:30" s="416" customFormat="1" ht="14.45" customHeight="1">
      <c r="A299" s="223" t="s">
        <v>728</v>
      </c>
      <c r="B299" s="137"/>
      <c r="C299" s="207" t="s">
        <v>145</v>
      </c>
      <c r="D299" s="137"/>
      <c r="E299" s="137"/>
      <c r="G299" s="129" t="s">
        <v>556</v>
      </c>
      <c r="H299" s="497"/>
      <c r="I299" s="498"/>
      <c r="J299" s="498"/>
      <c r="K299" s="499"/>
      <c r="L299" s="498"/>
      <c r="M299" s="498"/>
    </row>
    <row r="300" spans="1:30" s="416" customFormat="1" ht="15.75" customHeight="1">
      <c r="A300" s="223" t="s">
        <v>47</v>
      </c>
      <c r="B300" s="137"/>
      <c r="C300" s="223" t="s">
        <v>48</v>
      </c>
      <c r="D300" s="137"/>
      <c r="E300" s="137"/>
      <c r="G300" s="549" t="s">
        <v>48</v>
      </c>
      <c r="H300" s="414"/>
      <c r="I300" s="498"/>
      <c r="J300" s="498"/>
      <c r="K300" s="499"/>
      <c r="L300" s="498"/>
      <c r="M300" s="498"/>
    </row>
    <row r="301" spans="1:30" s="416" customFormat="1" ht="14.45" customHeight="1">
      <c r="A301" s="223" t="s">
        <v>523</v>
      </c>
      <c r="B301" s="137"/>
      <c r="C301" s="137"/>
      <c r="D301" s="137"/>
      <c r="E301" s="137"/>
      <c r="G301" s="131" t="s">
        <v>555</v>
      </c>
      <c r="H301" s="444"/>
      <c r="I301" s="498"/>
      <c r="J301" s="498"/>
      <c r="K301" s="499"/>
      <c r="L301" s="498"/>
      <c r="M301" s="498"/>
    </row>
    <row r="302" spans="1:30" s="416" customFormat="1" ht="18.75" customHeight="1">
      <c r="A302" s="411"/>
      <c r="B302" s="411"/>
      <c r="C302" s="411"/>
      <c r="D302" s="411"/>
      <c r="E302" s="411"/>
      <c r="G302" s="407"/>
      <c r="H302" s="444"/>
      <c r="I302" s="498"/>
      <c r="J302" s="498"/>
      <c r="K302" s="499"/>
      <c r="L302" s="498"/>
      <c r="M302" s="498"/>
    </row>
    <row r="303" spans="1:30" s="416" customFormat="1" ht="18.75" customHeight="1">
      <c r="A303" s="403"/>
      <c r="B303" s="403"/>
      <c r="C303" s="403"/>
      <c r="D303" s="403"/>
      <c r="E303" s="403"/>
      <c r="G303" s="407"/>
      <c r="H303" s="444"/>
      <c r="I303" s="498"/>
      <c r="J303" s="498"/>
      <c r="K303" s="498"/>
      <c r="L303" s="498"/>
      <c r="M303" s="498"/>
    </row>
    <row r="304" spans="1:30" s="416" customFormat="1" ht="18.75" customHeight="1">
      <c r="A304" s="403"/>
      <c r="B304" s="403"/>
      <c r="C304" s="403"/>
      <c r="D304" s="403"/>
      <c r="E304" s="403"/>
      <c r="G304" s="407"/>
      <c r="H304" s="444"/>
      <c r="I304" s="498"/>
      <c r="J304" s="498"/>
      <c r="K304" s="498"/>
      <c r="L304" s="498"/>
      <c r="M304" s="498"/>
    </row>
    <row r="305" spans="1:30" s="416" customFormat="1" ht="15">
      <c r="A305" s="504"/>
      <c r="B305" s="413"/>
      <c r="C305" s="505"/>
      <c r="D305" s="505"/>
      <c r="E305" s="412"/>
      <c r="G305" s="407"/>
      <c r="H305" s="444"/>
      <c r="I305" s="498"/>
      <c r="J305" s="498"/>
      <c r="K305" s="498"/>
      <c r="L305" s="498"/>
      <c r="M305" s="498"/>
    </row>
    <row r="306" spans="1:30" s="539" customFormat="1">
      <c r="A306" s="538"/>
      <c r="B306" s="538"/>
      <c r="C306" s="538"/>
      <c r="D306" s="538"/>
      <c r="E306" s="538"/>
      <c r="G306" s="540"/>
      <c r="H306" s="541"/>
      <c r="I306" s="542"/>
      <c r="J306" s="542"/>
      <c r="K306" s="542"/>
      <c r="L306" s="542"/>
      <c r="M306" s="542"/>
    </row>
    <row r="307" spans="1:30" s="539" customFormat="1" ht="15" customHeight="1">
      <c r="B307" s="138"/>
      <c r="C307" s="138"/>
      <c r="D307" s="543"/>
      <c r="E307" s="543"/>
      <c r="H307" s="338"/>
      <c r="I307" s="128"/>
      <c r="J307" s="543"/>
      <c r="K307" s="543"/>
      <c r="L307" s="543"/>
      <c r="M307" s="542"/>
    </row>
    <row r="308" spans="1:30" s="539" customFormat="1" ht="14.45" customHeight="1">
      <c r="B308" s="544"/>
      <c r="C308" s="544"/>
      <c r="D308" s="538"/>
      <c r="E308" s="538"/>
      <c r="H308" s="545"/>
      <c r="I308" s="545"/>
      <c r="J308" s="540"/>
      <c r="K308" s="540"/>
      <c r="L308" s="546"/>
      <c r="M308" s="546"/>
    </row>
    <row r="309" spans="1:30" s="416" customFormat="1" ht="14.45" customHeight="1">
      <c r="B309" s="129"/>
      <c r="C309" s="129"/>
      <c r="D309" s="411"/>
      <c r="E309" s="411"/>
      <c r="H309" s="537"/>
      <c r="I309" s="537"/>
      <c r="J309" s="413"/>
      <c r="K309" s="413"/>
      <c r="L309" s="498"/>
      <c r="M309" s="498"/>
    </row>
    <row r="310" spans="1:30" s="414" customFormat="1" ht="15">
      <c r="A310" s="413"/>
      <c r="B310" s="413"/>
      <c r="C310" s="478"/>
      <c r="D310" s="500"/>
      <c r="E310" s="412"/>
      <c r="F310" s="411"/>
      <c r="H310" s="339"/>
      <c r="I310" s="131"/>
      <c r="N310" s="415"/>
      <c r="O310" s="416"/>
      <c r="P310" s="416"/>
      <c r="Q310" s="416"/>
      <c r="R310" s="416"/>
      <c r="S310" s="416"/>
      <c r="T310" s="416"/>
      <c r="U310" s="416"/>
      <c r="V310" s="416"/>
      <c r="W310" s="416"/>
      <c r="X310" s="416"/>
      <c r="Y310" s="416"/>
      <c r="Z310" s="416"/>
      <c r="AA310" s="416"/>
      <c r="AB310" s="416"/>
      <c r="AC310" s="416"/>
      <c r="AD310" s="416"/>
    </row>
    <row r="311" spans="1:30" s="414" customFormat="1">
      <c r="A311" s="413"/>
      <c r="B311" s="413"/>
      <c r="C311" s="478"/>
      <c r="D311" s="500"/>
      <c r="E311" s="412"/>
      <c r="F311" s="411"/>
      <c r="G311" s="412"/>
      <c r="H311" s="413"/>
      <c r="N311" s="415"/>
      <c r="O311" s="416"/>
      <c r="P311" s="416"/>
      <c r="Q311" s="416"/>
      <c r="R311" s="416"/>
      <c r="S311" s="416"/>
      <c r="T311" s="416"/>
      <c r="U311" s="416"/>
      <c r="V311" s="416"/>
      <c r="W311" s="416"/>
      <c r="X311" s="416"/>
      <c r="Y311" s="416"/>
      <c r="Z311" s="416"/>
      <c r="AA311" s="416"/>
      <c r="AB311" s="416"/>
      <c r="AC311" s="416"/>
      <c r="AD311" s="416"/>
    </row>
    <row r="312" spans="1:30" s="414" customFormat="1">
      <c r="A312" s="413"/>
      <c r="B312" s="413"/>
      <c r="C312" s="478"/>
      <c r="D312" s="500"/>
      <c r="E312" s="412"/>
      <c r="F312" s="411"/>
      <c r="G312" s="412"/>
      <c r="H312" s="413"/>
      <c r="N312" s="415"/>
      <c r="O312" s="416"/>
      <c r="P312" s="416"/>
      <c r="Q312" s="416"/>
      <c r="R312" s="416"/>
      <c r="S312" s="416"/>
      <c r="T312" s="416"/>
      <c r="U312" s="416"/>
      <c r="V312" s="416"/>
      <c r="W312" s="416"/>
      <c r="X312" s="416"/>
      <c r="Y312" s="416"/>
      <c r="Z312" s="416"/>
      <c r="AA312" s="416"/>
      <c r="AB312" s="416"/>
      <c r="AC312" s="416"/>
      <c r="AD312" s="416"/>
    </row>
    <row r="313" spans="1:30" s="414" customFormat="1">
      <c r="A313" s="413"/>
      <c r="B313" s="413"/>
      <c r="C313" s="478"/>
      <c r="D313" s="500"/>
      <c r="E313" s="412"/>
      <c r="F313" s="411"/>
      <c r="G313" s="412"/>
      <c r="H313" s="413"/>
      <c r="N313" s="415"/>
      <c r="O313" s="416"/>
      <c r="P313" s="416"/>
      <c r="Q313" s="416"/>
      <c r="R313" s="416"/>
      <c r="S313" s="416"/>
      <c r="T313" s="416"/>
      <c r="U313" s="416"/>
      <c r="V313" s="416"/>
      <c r="W313" s="416"/>
      <c r="X313" s="416"/>
      <c r="Y313" s="416"/>
      <c r="Z313" s="416"/>
      <c r="AA313" s="416"/>
      <c r="AB313" s="416"/>
      <c r="AC313" s="416"/>
      <c r="AD313" s="416"/>
    </row>
    <row r="314" spans="1:30" s="414" customFormat="1">
      <c r="A314" s="413"/>
      <c r="B314" s="413"/>
      <c r="C314" s="478"/>
      <c r="D314" s="500"/>
      <c r="E314" s="412"/>
      <c r="F314" s="411"/>
      <c r="G314" s="412"/>
      <c r="H314" s="413"/>
      <c r="N314" s="415"/>
      <c r="O314" s="416"/>
      <c r="P314" s="416"/>
      <c r="Q314" s="416"/>
      <c r="R314" s="416"/>
      <c r="S314" s="416"/>
      <c r="T314" s="416"/>
      <c r="U314" s="416"/>
      <c r="V314" s="416"/>
      <c r="W314" s="416"/>
      <c r="X314" s="416"/>
      <c r="Y314" s="416"/>
      <c r="Z314" s="416"/>
      <c r="AA314" s="416"/>
      <c r="AB314" s="416"/>
      <c r="AC314" s="416"/>
      <c r="AD314" s="416"/>
    </row>
    <row r="315" spans="1:30" s="414" customFormat="1">
      <c r="A315" s="413"/>
      <c r="B315" s="413"/>
      <c r="C315" s="478"/>
      <c r="D315" s="500"/>
      <c r="E315" s="412"/>
      <c r="F315" s="411"/>
      <c r="G315" s="412"/>
      <c r="H315" s="413"/>
      <c r="N315" s="415"/>
      <c r="O315" s="416"/>
      <c r="P315" s="416"/>
      <c r="Q315" s="416"/>
      <c r="R315" s="416"/>
      <c r="S315" s="416"/>
      <c r="T315" s="416"/>
      <c r="U315" s="416"/>
      <c r="V315" s="416"/>
      <c r="W315" s="416"/>
      <c r="X315" s="416"/>
      <c r="Y315" s="416"/>
      <c r="Z315" s="416"/>
      <c r="AA315" s="416"/>
      <c r="AB315" s="416"/>
      <c r="AC315" s="416"/>
      <c r="AD315" s="416"/>
    </row>
    <row r="316" spans="1:30" s="414" customFormat="1">
      <c r="A316" s="413"/>
      <c r="B316" s="413"/>
      <c r="C316" s="478"/>
      <c r="D316" s="500"/>
      <c r="E316" s="412"/>
      <c r="F316" s="411"/>
      <c r="G316" s="412"/>
      <c r="H316" s="413"/>
      <c r="N316" s="415"/>
      <c r="O316" s="416"/>
      <c r="P316" s="416"/>
      <c r="Q316" s="416"/>
      <c r="R316" s="416"/>
      <c r="S316" s="416"/>
      <c r="T316" s="416"/>
      <c r="U316" s="416"/>
      <c r="V316" s="416"/>
      <c r="W316" s="416"/>
      <c r="X316" s="416"/>
      <c r="Y316" s="416"/>
      <c r="Z316" s="416"/>
      <c r="AA316" s="416"/>
      <c r="AB316" s="416"/>
      <c r="AC316" s="416"/>
      <c r="AD316" s="416"/>
    </row>
    <row r="317" spans="1:30" s="414" customFormat="1">
      <c r="A317" s="413"/>
      <c r="B317" s="413"/>
      <c r="C317" s="478"/>
      <c r="D317" s="500"/>
      <c r="E317" s="412"/>
      <c r="F317" s="411"/>
      <c r="G317" s="412"/>
      <c r="H317" s="413"/>
      <c r="N317" s="415"/>
      <c r="O317" s="416"/>
      <c r="P317" s="416"/>
      <c r="Q317" s="416"/>
      <c r="R317" s="416"/>
      <c r="S317" s="416"/>
      <c r="T317" s="416"/>
      <c r="U317" s="416"/>
      <c r="V317" s="416"/>
      <c r="W317" s="416"/>
      <c r="X317" s="416"/>
      <c r="Y317" s="416"/>
      <c r="Z317" s="416"/>
      <c r="AA317" s="416"/>
      <c r="AB317" s="416"/>
      <c r="AC317" s="416"/>
      <c r="AD317" s="416"/>
    </row>
    <row r="318" spans="1:30" s="414" customFormat="1">
      <c r="A318" s="413"/>
      <c r="B318" s="413"/>
      <c r="C318" s="478"/>
      <c r="D318" s="500"/>
      <c r="E318" s="412"/>
      <c r="F318" s="411"/>
      <c r="G318" s="412"/>
      <c r="H318" s="413"/>
      <c r="N318" s="415"/>
      <c r="O318" s="416"/>
      <c r="P318" s="416"/>
      <c r="Q318" s="416"/>
      <c r="R318" s="416"/>
      <c r="S318" s="416"/>
      <c r="T318" s="416"/>
      <c r="U318" s="416"/>
      <c r="V318" s="416"/>
      <c r="W318" s="416"/>
      <c r="X318" s="416"/>
      <c r="Y318" s="416"/>
      <c r="Z318" s="416"/>
      <c r="AA318" s="416"/>
      <c r="AB318" s="416"/>
      <c r="AC318" s="416"/>
      <c r="AD318" s="416"/>
    </row>
    <row r="319" spans="1:30" s="414" customFormat="1">
      <c r="A319" s="413"/>
      <c r="B319" s="413"/>
      <c r="C319" s="478"/>
      <c r="D319" s="500"/>
      <c r="E319" s="412"/>
      <c r="F319" s="411"/>
      <c r="G319" s="412"/>
      <c r="H319" s="413"/>
      <c r="N319" s="415"/>
      <c r="O319" s="416"/>
      <c r="P319" s="416"/>
      <c r="Q319" s="416"/>
      <c r="R319" s="416"/>
      <c r="S319" s="416"/>
      <c r="T319" s="416"/>
      <c r="U319" s="416"/>
      <c r="V319" s="416"/>
      <c r="W319" s="416"/>
      <c r="X319" s="416"/>
      <c r="Y319" s="416"/>
      <c r="Z319" s="416"/>
      <c r="AA319" s="416"/>
      <c r="AB319" s="416"/>
      <c r="AC319" s="416"/>
      <c r="AD319" s="416"/>
    </row>
    <row r="320" spans="1:30" s="414" customFormat="1">
      <c r="A320" s="413"/>
      <c r="B320" s="413"/>
      <c r="C320" s="478"/>
      <c r="D320" s="500"/>
      <c r="E320" s="412"/>
      <c r="F320" s="411"/>
      <c r="G320" s="412"/>
      <c r="H320" s="413"/>
      <c r="N320" s="415"/>
      <c r="O320" s="416"/>
      <c r="P320" s="416"/>
      <c r="Q320" s="416"/>
      <c r="R320" s="416"/>
      <c r="S320" s="416"/>
      <c r="T320" s="416"/>
      <c r="U320" s="416"/>
      <c r="V320" s="416"/>
      <c r="W320" s="416"/>
      <c r="X320" s="416"/>
      <c r="Y320" s="416"/>
      <c r="Z320" s="416"/>
      <c r="AA320" s="416"/>
      <c r="AB320" s="416"/>
      <c r="AC320" s="416"/>
      <c r="AD320" s="416"/>
    </row>
    <row r="321" spans="1:30" s="414" customFormat="1">
      <c r="A321" s="413"/>
      <c r="B321" s="413"/>
      <c r="C321" s="478"/>
      <c r="D321" s="500"/>
      <c r="E321" s="412"/>
      <c r="F321" s="411"/>
      <c r="G321" s="412"/>
      <c r="H321" s="413"/>
      <c r="N321" s="415"/>
      <c r="O321" s="416"/>
      <c r="P321" s="416"/>
      <c r="Q321" s="416"/>
      <c r="R321" s="416"/>
      <c r="S321" s="416"/>
      <c r="T321" s="416"/>
      <c r="U321" s="416"/>
      <c r="V321" s="416"/>
      <c r="W321" s="416"/>
      <c r="X321" s="416"/>
      <c r="Y321" s="416"/>
      <c r="Z321" s="416"/>
      <c r="AA321" s="416"/>
      <c r="AB321" s="416"/>
      <c r="AC321" s="416"/>
      <c r="AD321" s="416"/>
    </row>
    <row r="322" spans="1:30" s="414" customFormat="1">
      <c r="A322" s="413"/>
      <c r="B322" s="413"/>
      <c r="C322" s="478"/>
      <c r="D322" s="500"/>
      <c r="E322" s="412"/>
      <c r="F322" s="411"/>
      <c r="G322" s="412"/>
      <c r="H322" s="413"/>
      <c r="N322" s="415"/>
      <c r="O322" s="416"/>
      <c r="P322" s="416"/>
      <c r="Q322" s="416"/>
      <c r="R322" s="416"/>
      <c r="S322" s="416"/>
      <c r="T322" s="416"/>
      <c r="U322" s="416"/>
      <c r="V322" s="416"/>
      <c r="W322" s="416"/>
      <c r="X322" s="416"/>
      <c r="Y322" s="416"/>
      <c r="Z322" s="416"/>
      <c r="AA322" s="416"/>
      <c r="AB322" s="416"/>
      <c r="AC322" s="416"/>
      <c r="AD322" s="416"/>
    </row>
    <row r="323" spans="1:30" s="414" customFormat="1">
      <c r="A323" s="413"/>
      <c r="B323" s="413"/>
      <c r="C323" s="478"/>
      <c r="D323" s="500"/>
      <c r="E323" s="412"/>
      <c r="F323" s="411"/>
      <c r="G323" s="412"/>
      <c r="H323" s="413"/>
      <c r="N323" s="415"/>
      <c r="O323" s="416"/>
      <c r="P323" s="416"/>
      <c r="Q323" s="416"/>
      <c r="R323" s="416"/>
      <c r="S323" s="416"/>
      <c r="T323" s="416"/>
      <c r="U323" s="416"/>
      <c r="V323" s="416"/>
      <c r="W323" s="416"/>
      <c r="X323" s="416"/>
      <c r="Y323" s="416"/>
      <c r="Z323" s="416"/>
      <c r="AA323" s="416"/>
      <c r="AB323" s="416"/>
      <c r="AC323" s="416"/>
      <c r="AD323" s="416"/>
    </row>
    <row r="324" spans="1:30" s="414" customFormat="1">
      <c r="A324" s="413"/>
      <c r="B324" s="413"/>
      <c r="C324" s="478"/>
      <c r="D324" s="500"/>
      <c r="E324" s="412"/>
      <c r="F324" s="411"/>
      <c r="G324" s="412"/>
      <c r="H324" s="413"/>
      <c r="N324" s="415"/>
      <c r="O324" s="416"/>
      <c r="P324" s="416"/>
      <c r="Q324" s="416"/>
      <c r="R324" s="416"/>
      <c r="S324" s="416"/>
      <c r="T324" s="416"/>
      <c r="U324" s="416"/>
      <c r="V324" s="416"/>
      <c r="W324" s="416"/>
      <c r="X324" s="416"/>
      <c r="Y324" s="416"/>
      <c r="Z324" s="416"/>
      <c r="AA324" s="416"/>
      <c r="AB324" s="416"/>
      <c r="AC324" s="416"/>
      <c r="AD324" s="416"/>
    </row>
    <row r="325" spans="1:30" ht="89.25" customHeight="1">
      <c r="C325" s="478"/>
      <c r="D325" s="500"/>
      <c r="F325" s="411"/>
      <c r="G325" s="412"/>
      <c r="I325" s="414"/>
      <c r="J325" s="414"/>
      <c r="K325" s="414"/>
      <c r="L325" s="414"/>
      <c r="M325" s="414"/>
      <c r="N325" s="415"/>
      <c r="O325" s="416"/>
      <c r="P325" s="416"/>
      <c r="Q325" s="416"/>
      <c r="R325" s="416"/>
      <c r="S325" s="416"/>
      <c r="T325" s="416"/>
      <c r="U325" s="416"/>
      <c r="V325" s="416"/>
      <c r="W325" s="416"/>
      <c r="X325" s="416"/>
      <c r="Y325" s="416"/>
      <c r="Z325" s="416"/>
      <c r="AA325" s="416"/>
      <c r="AB325" s="416"/>
      <c r="AC325" s="416"/>
      <c r="AD325" s="416"/>
    </row>
    <row r="326" spans="1:30" ht="89.25" customHeight="1">
      <c r="C326" s="478"/>
      <c r="D326" s="500"/>
      <c r="F326" s="411"/>
      <c r="G326" s="412"/>
      <c r="I326" s="414"/>
      <c r="J326" s="414"/>
      <c r="K326" s="414"/>
      <c r="L326" s="414"/>
      <c r="M326" s="414"/>
      <c r="N326" s="415"/>
      <c r="O326" s="416"/>
      <c r="P326" s="416"/>
      <c r="Q326" s="416"/>
      <c r="R326" s="416"/>
      <c r="S326" s="416"/>
      <c r="T326" s="416"/>
      <c r="U326" s="416"/>
      <c r="V326" s="416"/>
      <c r="W326" s="416"/>
      <c r="X326" s="416"/>
      <c r="Y326" s="416"/>
      <c r="Z326" s="416"/>
      <c r="AA326" s="416"/>
      <c r="AB326" s="416"/>
      <c r="AC326" s="416"/>
      <c r="AD326" s="416"/>
    </row>
    <row r="327" spans="1:30" ht="89.25" customHeight="1">
      <c r="C327" s="478"/>
      <c r="D327" s="500"/>
      <c r="F327" s="411"/>
      <c r="G327" s="412"/>
      <c r="I327" s="414"/>
      <c r="J327" s="414"/>
      <c r="K327" s="414"/>
      <c r="L327" s="414"/>
      <c r="M327" s="414"/>
      <c r="N327" s="415"/>
      <c r="O327" s="416"/>
      <c r="P327" s="416"/>
      <c r="Q327" s="416"/>
      <c r="R327" s="416"/>
      <c r="S327" s="416"/>
      <c r="T327" s="416"/>
      <c r="U327" s="416"/>
      <c r="V327" s="416"/>
      <c r="W327" s="416"/>
      <c r="X327" s="416"/>
      <c r="Y327" s="416"/>
      <c r="Z327" s="416"/>
      <c r="AA327" s="416"/>
      <c r="AB327" s="416"/>
      <c r="AC327" s="416"/>
      <c r="AD327" s="416"/>
    </row>
    <row r="328" spans="1:30" ht="89.25" customHeight="1">
      <c r="C328" s="478"/>
      <c r="D328" s="500"/>
      <c r="F328" s="411"/>
      <c r="G328" s="412"/>
      <c r="I328" s="414"/>
      <c r="J328" s="414"/>
      <c r="K328" s="414"/>
      <c r="L328" s="414"/>
      <c r="M328" s="414"/>
      <c r="N328" s="415"/>
      <c r="O328" s="416"/>
      <c r="P328" s="416"/>
      <c r="Q328" s="416"/>
      <c r="R328" s="416"/>
      <c r="S328" s="416"/>
      <c r="T328" s="416"/>
      <c r="U328" s="416"/>
      <c r="V328" s="416"/>
      <c r="W328" s="416"/>
      <c r="X328" s="416"/>
      <c r="Y328" s="416"/>
      <c r="Z328" s="416"/>
      <c r="AA328" s="416"/>
      <c r="AB328" s="416"/>
      <c r="AC328" s="416"/>
      <c r="AD328" s="416"/>
    </row>
    <row r="329" spans="1:30" ht="89.25" customHeight="1">
      <c r="C329" s="478"/>
      <c r="D329" s="500"/>
      <c r="F329" s="411"/>
      <c r="G329" s="412"/>
      <c r="I329" s="414"/>
      <c r="J329" s="414"/>
      <c r="K329" s="414"/>
      <c r="L329" s="414"/>
      <c r="M329" s="414"/>
      <c r="N329" s="415"/>
      <c r="O329" s="416"/>
      <c r="P329" s="416"/>
      <c r="Q329" s="416"/>
      <c r="R329" s="416"/>
      <c r="S329" s="416"/>
      <c r="T329" s="416"/>
      <c r="U329" s="416"/>
      <c r="V329" s="416"/>
      <c r="W329" s="416"/>
      <c r="X329" s="416"/>
      <c r="Y329" s="416"/>
      <c r="Z329" s="416"/>
      <c r="AA329" s="416"/>
      <c r="AB329" s="416"/>
      <c r="AC329" s="416"/>
      <c r="AD329" s="416"/>
    </row>
    <row r="330" spans="1:30" ht="89.25" customHeight="1">
      <c r="C330" s="478"/>
      <c r="D330" s="500"/>
      <c r="F330" s="411"/>
      <c r="G330" s="412"/>
      <c r="I330" s="414"/>
      <c r="J330" s="414"/>
      <c r="K330" s="414"/>
      <c r="L330" s="414"/>
      <c r="M330" s="414"/>
      <c r="N330" s="415"/>
      <c r="O330" s="416"/>
      <c r="P330" s="416"/>
      <c r="Q330" s="416"/>
      <c r="R330" s="416"/>
      <c r="S330" s="416"/>
      <c r="T330" s="416"/>
      <c r="U330" s="416"/>
      <c r="V330" s="416"/>
      <c r="W330" s="416"/>
      <c r="X330" s="416"/>
      <c r="Y330" s="416"/>
      <c r="Z330" s="416"/>
      <c r="AA330" s="416"/>
      <c r="AB330" s="416"/>
      <c r="AC330" s="416"/>
      <c r="AD330" s="416"/>
    </row>
    <row r="331" spans="1:30" ht="89.25" customHeight="1">
      <c r="C331" s="478"/>
      <c r="D331" s="500"/>
      <c r="F331" s="411"/>
      <c r="G331" s="412"/>
      <c r="I331" s="414"/>
      <c r="J331" s="414"/>
      <c r="K331" s="414"/>
      <c r="L331" s="414"/>
      <c r="M331" s="414"/>
      <c r="N331" s="415"/>
      <c r="O331" s="416"/>
      <c r="P331" s="416"/>
      <c r="Q331" s="416"/>
      <c r="R331" s="416"/>
      <c r="S331" s="416"/>
      <c r="T331" s="416"/>
      <c r="U331" s="416"/>
      <c r="V331" s="416"/>
      <c r="W331" s="416"/>
      <c r="X331" s="416"/>
      <c r="Y331" s="416"/>
      <c r="Z331" s="416"/>
      <c r="AA331" s="416"/>
      <c r="AB331" s="416"/>
      <c r="AC331" s="416"/>
      <c r="AD331" s="416"/>
    </row>
    <row r="332" spans="1:30" ht="89.25" customHeight="1">
      <c r="C332" s="478"/>
      <c r="D332" s="500"/>
      <c r="F332" s="411"/>
      <c r="G332" s="412"/>
      <c r="I332" s="414"/>
      <c r="J332" s="414"/>
      <c r="K332" s="414"/>
      <c r="L332" s="414"/>
      <c r="M332" s="414"/>
      <c r="N332" s="415"/>
      <c r="O332" s="416"/>
      <c r="P332" s="416"/>
      <c r="Q332" s="416"/>
      <c r="R332" s="416"/>
      <c r="S332" s="416"/>
      <c r="T332" s="416"/>
      <c r="U332" s="416"/>
      <c r="V332" s="416"/>
      <c r="W332" s="416"/>
      <c r="X332" s="416"/>
      <c r="Y332" s="416"/>
      <c r="Z332" s="416"/>
      <c r="AA332" s="416"/>
      <c r="AB332" s="416"/>
      <c r="AC332" s="416"/>
      <c r="AD332" s="416"/>
    </row>
    <row r="333" spans="1:30" ht="89.25" customHeight="1">
      <c r="C333" s="478"/>
      <c r="D333" s="500"/>
      <c r="F333" s="411"/>
      <c r="G333" s="412"/>
      <c r="I333" s="414"/>
      <c r="J333" s="414"/>
      <c r="K333" s="414"/>
      <c r="L333" s="414"/>
      <c r="M333" s="414"/>
      <c r="N333" s="415"/>
      <c r="O333" s="416"/>
      <c r="P333" s="416"/>
      <c r="Q333" s="416"/>
      <c r="R333" s="416"/>
      <c r="S333" s="416"/>
      <c r="T333" s="416"/>
      <c r="U333" s="416"/>
      <c r="V333" s="416"/>
      <c r="W333" s="416"/>
      <c r="X333" s="416"/>
      <c r="Y333" s="416"/>
      <c r="Z333" s="416"/>
      <c r="AA333" s="416"/>
      <c r="AB333" s="416"/>
      <c r="AC333" s="416"/>
      <c r="AD333" s="416"/>
    </row>
    <row r="334" spans="1:30" ht="89.25" customHeight="1">
      <c r="C334" s="478"/>
      <c r="D334" s="500"/>
      <c r="F334" s="411"/>
      <c r="G334" s="412"/>
      <c r="I334" s="414"/>
      <c r="J334" s="414"/>
      <c r="K334" s="414"/>
      <c r="L334" s="414"/>
      <c r="M334" s="414"/>
      <c r="N334" s="415"/>
      <c r="O334" s="416"/>
      <c r="P334" s="416"/>
      <c r="Q334" s="416"/>
      <c r="R334" s="416"/>
      <c r="S334" s="416"/>
      <c r="T334" s="416"/>
      <c r="U334" s="416"/>
      <c r="V334" s="416"/>
      <c r="W334" s="416"/>
      <c r="X334" s="416"/>
      <c r="Y334" s="416"/>
      <c r="Z334" s="416"/>
      <c r="AA334" s="416"/>
      <c r="AB334" s="416"/>
      <c r="AC334" s="416"/>
      <c r="AD334" s="416"/>
    </row>
    <row r="335" spans="1:30" ht="89.25" customHeight="1">
      <c r="C335" s="478"/>
      <c r="D335" s="500"/>
      <c r="F335" s="411"/>
      <c r="G335" s="412"/>
      <c r="I335" s="414"/>
      <c r="J335" s="414"/>
      <c r="K335" s="414"/>
      <c r="L335" s="414"/>
      <c r="M335" s="414"/>
      <c r="N335" s="415"/>
      <c r="O335" s="416"/>
      <c r="P335" s="416"/>
      <c r="Q335" s="416"/>
      <c r="R335" s="416"/>
      <c r="S335" s="416"/>
      <c r="T335" s="416"/>
      <c r="U335" s="416"/>
      <c r="V335" s="416"/>
      <c r="W335" s="416"/>
      <c r="X335" s="416"/>
      <c r="Y335" s="416"/>
      <c r="Z335" s="416"/>
      <c r="AA335" s="416"/>
      <c r="AB335" s="416"/>
      <c r="AC335" s="416"/>
      <c r="AD335" s="416"/>
    </row>
    <row r="336" spans="1:30" ht="89.25" customHeight="1">
      <c r="C336" s="478"/>
      <c r="D336" s="500"/>
      <c r="F336" s="411"/>
      <c r="G336" s="412"/>
      <c r="I336" s="414"/>
      <c r="J336" s="414"/>
      <c r="K336" s="414"/>
      <c r="L336" s="414"/>
      <c r="M336" s="414"/>
      <c r="N336" s="415"/>
      <c r="O336" s="416"/>
      <c r="P336" s="416"/>
      <c r="Q336" s="416"/>
      <c r="R336" s="416"/>
      <c r="S336" s="416"/>
      <c r="T336" s="416"/>
      <c r="U336" s="416"/>
      <c r="V336" s="416"/>
      <c r="W336" s="416"/>
      <c r="X336" s="416"/>
      <c r="Y336" s="416"/>
      <c r="Z336" s="416"/>
      <c r="AA336" s="416"/>
      <c r="AB336" s="416"/>
      <c r="AC336" s="416"/>
      <c r="AD336" s="416"/>
    </row>
    <row r="337" spans="3:30" ht="89.25" customHeight="1">
      <c r="C337" s="478"/>
      <c r="D337" s="500"/>
      <c r="F337" s="411"/>
      <c r="G337" s="412"/>
      <c r="I337" s="414"/>
      <c r="J337" s="414"/>
      <c r="K337" s="414"/>
      <c r="L337" s="414"/>
      <c r="M337" s="414"/>
      <c r="N337" s="415"/>
      <c r="O337" s="416"/>
      <c r="P337" s="416"/>
      <c r="Q337" s="416"/>
      <c r="R337" s="416"/>
      <c r="S337" s="416"/>
      <c r="T337" s="416"/>
      <c r="U337" s="416"/>
      <c r="V337" s="416"/>
      <c r="W337" s="416"/>
      <c r="X337" s="416"/>
      <c r="Y337" s="416"/>
      <c r="Z337" s="416"/>
      <c r="AA337" s="416"/>
      <c r="AB337" s="416"/>
      <c r="AC337" s="416"/>
      <c r="AD337" s="416"/>
    </row>
    <row r="338" spans="3:30" ht="89.25" customHeight="1">
      <c r="C338" s="478"/>
      <c r="D338" s="500"/>
      <c r="F338" s="411"/>
      <c r="G338" s="412"/>
      <c r="I338" s="414"/>
      <c r="J338" s="414"/>
      <c r="K338" s="414"/>
      <c r="L338" s="414"/>
      <c r="M338" s="414"/>
      <c r="N338" s="415"/>
      <c r="O338" s="416"/>
      <c r="P338" s="416"/>
      <c r="Q338" s="416"/>
      <c r="R338" s="416"/>
      <c r="S338" s="416"/>
      <c r="T338" s="416"/>
      <c r="U338" s="416"/>
      <c r="V338" s="416"/>
      <c r="W338" s="416"/>
      <c r="X338" s="416"/>
      <c r="Y338" s="416"/>
      <c r="Z338" s="416"/>
      <c r="AA338" s="416"/>
      <c r="AB338" s="416"/>
      <c r="AC338" s="416"/>
      <c r="AD338" s="416"/>
    </row>
    <row r="339" spans="3:30" ht="89.25" customHeight="1">
      <c r="C339" s="478"/>
      <c r="D339" s="500"/>
      <c r="F339" s="411"/>
      <c r="G339" s="412"/>
      <c r="I339" s="414"/>
      <c r="J339" s="414"/>
      <c r="K339" s="414"/>
      <c r="L339" s="414"/>
      <c r="M339" s="414"/>
      <c r="N339" s="415"/>
      <c r="O339" s="416"/>
      <c r="P339" s="416"/>
      <c r="Q339" s="416"/>
      <c r="R339" s="416"/>
      <c r="S339" s="416"/>
      <c r="T339" s="416"/>
      <c r="U339" s="416"/>
      <c r="V339" s="416"/>
      <c r="W339" s="416"/>
      <c r="X339" s="416"/>
      <c r="Y339" s="416"/>
      <c r="Z339" s="416"/>
      <c r="AA339" s="416"/>
      <c r="AB339" s="416"/>
      <c r="AC339" s="416"/>
      <c r="AD339" s="416"/>
    </row>
  </sheetData>
  <mergeCells count="37">
    <mergeCell ref="S3:T3"/>
    <mergeCell ref="G100:I100"/>
    <mergeCell ref="G3:I3"/>
    <mergeCell ref="E33:G33"/>
    <mergeCell ref="H33:J33"/>
    <mergeCell ref="G90:I90"/>
    <mergeCell ref="M3:O3"/>
    <mergeCell ref="G117:I117"/>
    <mergeCell ref="G130:I130"/>
    <mergeCell ref="G95:I95"/>
    <mergeCell ref="G112:I112"/>
    <mergeCell ref="G106:I106"/>
    <mergeCell ref="G149:I149"/>
    <mergeCell ref="G159:I159"/>
    <mergeCell ref="G189:I189"/>
    <mergeCell ref="G143:I143"/>
    <mergeCell ref="G137:I137"/>
    <mergeCell ref="A33:A34"/>
    <mergeCell ref="B33:D33"/>
    <mergeCell ref="J3:L3"/>
    <mergeCell ref="E3:E4"/>
    <mergeCell ref="F3:F4"/>
    <mergeCell ref="A1:O1"/>
    <mergeCell ref="A3:A4"/>
    <mergeCell ref="B3:B4"/>
    <mergeCell ref="C3:C4"/>
    <mergeCell ref="D3:D4"/>
    <mergeCell ref="G263:I263"/>
    <mergeCell ref="G293:I293"/>
    <mergeCell ref="G235:I235"/>
    <mergeCell ref="G204:I204"/>
    <mergeCell ref="G165:I165"/>
    <mergeCell ref="G171:I171"/>
    <mergeCell ref="G219:I219"/>
    <mergeCell ref="G182:I182"/>
    <mergeCell ref="G247:I247"/>
    <mergeCell ref="G282:I282"/>
  </mergeCells>
  <phoneticPr fontId="20" type="noConversion"/>
  <printOptions horizontalCentered="1" verticalCentered="1"/>
  <pageMargins left="1.2598425196850394" right="0.70866141732283472" top="0.74803149606299213" bottom="0.74803149606299213" header="0" footer="0"/>
  <pageSetup scale="26" orientation="landscape" horizontalDpi="4294967293" r:id="rId1"/>
  <rowBreaks count="1" manualBreakCount="1">
    <brk id="85" max="14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rgb="FF00B0F0"/>
  </sheetPr>
  <dimension ref="A1:J137"/>
  <sheetViews>
    <sheetView showGridLines="0" topLeftCell="A105" zoomScaleNormal="100" workbookViewId="0">
      <selection activeCell="F120" sqref="F120"/>
    </sheetView>
  </sheetViews>
  <sheetFormatPr baseColWidth="10" defaultRowHeight="12.75"/>
  <cols>
    <col min="1" max="1" width="6" style="40" customWidth="1"/>
    <col min="2" max="2" width="23.7109375" style="40" customWidth="1"/>
    <col min="3" max="5" width="23.7109375" style="30" customWidth="1"/>
    <col min="6" max="6" width="65.140625" style="40" customWidth="1"/>
    <col min="7" max="7" width="18" style="40" bestFit="1" customWidth="1"/>
    <col min="8" max="8" width="16.28515625" style="40" bestFit="1" customWidth="1"/>
    <col min="9" max="9" width="17.5703125" style="40" bestFit="1" customWidth="1"/>
    <col min="10" max="10" width="12.85546875" style="40" bestFit="1" customWidth="1"/>
    <col min="11" max="11" width="11.5703125" style="40" bestFit="1" customWidth="1"/>
    <col min="12" max="16384" width="11.42578125" style="40"/>
  </cols>
  <sheetData>
    <row r="1" spans="1:6" s="32" customFormat="1" ht="27" customHeight="1">
      <c r="A1" s="1254" t="s">
        <v>70</v>
      </c>
      <c r="B1" s="1254"/>
      <c r="C1" s="1254"/>
      <c r="D1" s="31"/>
      <c r="E1" s="31"/>
    </row>
    <row r="2" spans="1:6" s="32" customFormat="1" ht="13.5" customHeight="1">
      <c r="C2" s="31"/>
      <c r="D2" s="31"/>
      <c r="E2" s="31"/>
    </row>
    <row r="3" spans="1:6" s="36" customFormat="1" ht="15.75">
      <c r="A3" s="33" t="s">
        <v>71</v>
      </c>
      <c r="B3" s="33"/>
      <c r="C3" s="34"/>
      <c r="D3" s="34"/>
      <c r="E3" s="34"/>
      <c r="F3" s="35"/>
    </row>
    <row r="5" spans="1:6" s="37" customFormat="1" ht="15" customHeight="1">
      <c r="B5" s="1250" t="s">
        <v>72</v>
      </c>
      <c r="C5" s="1251"/>
      <c r="D5" s="1252" t="s">
        <v>73</v>
      </c>
      <c r="E5" s="1252" t="s">
        <v>74</v>
      </c>
      <c r="F5" s="1248" t="s">
        <v>75</v>
      </c>
    </row>
    <row r="6" spans="1:6" s="37" customFormat="1" ht="15">
      <c r="B6" s="38" t="s">
        <v>76</v>
      </c>
      <c r="C6" s="39" t="s">
        <v>77</v>
      </c>
      <c r="D6" s="1253"/>
      <c r="E6" s="1253"/>
      <c r="F6" s="1248"/>
    </row>
    <row r="7" spans="1:6">
      <c r="B7" s="41">
        <v>44013</v>
      </c>
      <c r="C7" s="42">
        <v>0</v>
      </c>
      <c r="D7" s="42">
        <v>0</v>
      </c>
      <c r="E7" s="42">
        <f t="shared" ref="E7:E14" si="0">+C7-D7</f>
        <v>0</v>
      </c>
      <c r="F7" s="43"/>
    </row>
    <row r="8" spans="1:6">
      <c r="B8" s="41">
        <v>44044</v>
      </c>
      <c r="C8" s="42">
        <v>0</v>
      </c>
      <c r="D8" s="42">
        <v>0</v>
      </c>
      <c r="E8" s="42">
        <f t="shared" si="0"/>
        <v>0</v>
      </c>
      <c r="F8" s="43"/>
    </row>
    <row r="9" spans="1:6" ht="22.5">
      <c r="B9" s="41">
        <v>44075</v>
      </c>
      <c r="C9" s="42">
        <f>177313428+57532</f>
        <v>177370960</v>
      </c>
      <c r="D9" s="42">
        <v>176664303</v>
      </c>
      <c r="E9" s="42">
        <f>+C9-D9</f>
        <v>706657</v>
      </c>
      <c r="F9" s="43" t="s">
        <v>167</v>
      </c>
    </row>
    <row r="10" spans="1:6">
      <c r="B10" s="41">
        <v>44105</v>
      </c>
      <c r="C10" s="42">
        <v>176054773</v>
      </c>
      <c r="D10" s="183">
        <v>176054773</v>
      </c>
      <c r="E10" s="42">
        <f t="shared" si="0"/>
        <v>0</v>
      </c>
      <c r="F10" s="43"/>
    </row>
    <row r="11" spans="1:6">
      <c r="B11" s="41">
        <v>44136</v>
      </c>
      <c r="C11" s="42">
        <v>0</v>
      </c>
      <c r="D11" s="42">
        <v>0</v>
      </c>
      <c r="E11" s="42">
        <f t="shared" si="0"/>
        <v>0</v>
      </c>
      <c r="F11" s="45"/>
    </row>
    <row r="12" spans="1:6">
      <c r="B12" s="41">
        <v>44166</v>
      </c>
      <c r="C12" s="42">
        <f>943957929-706657</f>
        <v>943251272</v>
      </c>
      <c r="D12" s="42">
        <v>943957929</v>
      </c>
      <c r="E12" s="42">
        <f t="shared" si="0"/>
        <v>-706657</v>
      </c>
      <c r="F12" s="46"/>
    </row>
    <row r="13" spans="1:6">
      <c r="B13" s="41">
        <v>44197</v>
      </c>
      <c r="C13" s="42">
        <v>69326200</v>
      </c>
      <c r="D13" s="42">
        <v>69326200</v>
      </c>
      <c r="E13" s="42">
        <f t="shared" si="0"/>
        <v>0</v>
      </c>
      <c r="F13" s="46"/>
    </row>
    <row r="14" spans="1:6">
      <c r="B14" s="41">
        <v>44228</v>
      </c>
      <c r="C14" s="42">
        <v>0</v>
      </c>
      <c r="D14" s="42">
        <v>0</v>
      </c>
      <c r="E14" s="42">
        <f t="shared" si="0"/>
        <v>0</v>
      </c>
      <c r="F14" s="89"/>
    </row>
    <row r="15" spans="1:6">
      <c r="B15" s="41">
        <v>44256</v>
      </c>
      <c r="C15" s="42">
        <v>124889331</v>
      </c>
      <c r="D15" s="42">
        <v>27610000</v>
      </c>
      <c r="E15" s="42">
        <f>+C15-D15</f>
        <v>97279331</v>
      </c>
      <c r="F15" s="279" t="s">
        <v>237</v>
      </c>
    </row>
    <row r="16" spans="1:6">
      <c r="B16" s="41">
        <v>44287</v>
      </c>
      <c r="C16" s="42">
        <v>97789600</v>
      </c>
      <c r="D16" s="42">
        <v>97789600</v>
      </c>
      <c r="E16" s="42">
        <f>+C16-D16</f>
        <v>0</v>
      </c>
      <c r="F16" s="279"/>
    </row>
    <row r="17" spans="2:7">
      <c r="B17" s="41">
        <v>44317</v>
      </c>
      <c r="C17" s="42">
        <v>88027388</v>
      </c>
      <c r="D17" s="42">
        <v>88027388</v>
      </c>
      <c r="E17" s="42">
        <v>0</v>
      </c>
      <c r="F17" s="279"/>
    </row>
    <row r="18" spans="2:7">
      <c r="B18" s="41">
        <v>44348</v>
      </c>
      <c r="C18" s="42">
        <v>284142036.98799998</v>
      </c>
      <c r="D18" s="42">
        <v>284142036.98799998</v>
      </c>
      <c r="E18" s="42">
        <f t="shared" ref="E18:E25" si="1">+C18-D18</f>
        <v>0</v>
      </c>
      <c r="F18" s="279"/>
    </row>
    <row r="19" spans="2:7">
      <c r="B19" s="41">
        <v>44378</v>
      </c>
      <c r="C19" s="42">
        <v>7630804</v>
      </c>
      <c r="D19" s="42">
        <v>11243488.164000001</v>
      </c>
      <c r="E19" s="42">
        <f t="shared" si="1"/>
        <v>-3612684.1640000008</v>
      </c>
      <c r="F19" s="279" t="s">
        <v>302</v>
      </c>
    </row>
    <row r="20" spans="2:7">
      <c r="B20" s="41">
        <v>44409</v>
      </c>
      <c r="C20" s="42">
        <v>51543693</v>
      </c>
      <c r="D20" s="42">
        <v>55945906.056000002</v>
      </c>
      <c r="E20" s="42">
        <f t="shared" si="1"/>
        <v>-4402213.0560000017</v>
      </c>
      <c r="F20" s="279" t="s">
        <v>306</v>
      </c>
    </row>
    <row r="21" spans="2:7">
      <c r="B21" s="41">
        <v>44440</v>
      </c>
      <c r="C21" s="42">
        <v>83811208</v>
      </c>
      <c r="D21" s="42">
        <v>89521324.664000005</v>
      </c>
      <c r="E21" s="42">
        <f t="shared" si="1"/>
        <v>-5710116.6640000045</v>
      </c>
      <c r="F21" s="279" t="s">
        <v>384</v>
      </c>
    </row>
    <row r="22" spans="2:7">
      <c r="B22" s="41">
        <v>44470</v>
      </c>
      <c r="C22" s="42">
        <v>325134042</v>
      </c>
      <c r="D22" s="42">
        <v>332139585.53200001</v>
      </c>
      <c r="E22" s="42">
        <f t="shared" si="1"/>
        <v>-7005543.5320000052</v>
      </c>
      <c r="F22" s="279" t="s">
        <v>443</v>
      </c>
    </row>
    <row r="23" spans="2:7">
      <c r="B23" s="41">
        <v>44501</v>
      </c>
      <c r="C23" s="42">
        <v>6517229</v>
      </c>
      <c r="D23" s="42">
        <v>14586505.9712296</v>
      </c>
      <c r="E23" s="42">
        <f>+C23-D23</f>
        <v>-8069276.9712295998</v>
      </c>
      <c r="F23" s="279" t="s">
        <v>494</v>
      </c>
    </row>
    <row r="24" spans="2:7">
      <c r="B24" s="41">
        <v>44531</v>
      </c>
      <c r="C24" s="42">
        <v>554656655</v>
      </c>
      <c r="D24" s="42">
        <v>554656654.76971996</v>
      </c>
      <c r="E24" s="42">
        <f t="shared" si="1"/>
        <v>0.23028004169464111</v>
      </c>
      <c r="F24" s="279"/>
    </row>
    <row r="25" spans="2:7">
      <c r="B25" s="41">
        <v>44562</v>
      </c>
      <c r="C25" s="714">
        <v>0</v>
      </c>
      <c r="D25" s="714">
        <v>18766694.468244798</v>
      </c>
      <c r="E25" s="42">
        <f t="shared" si="1"/>
        <v>-18766694.468244798</v>
      </c>
      <c r="F25" s="279" t="s">
        <v>517</v>
      </c>
    </row>
    <row r="26" spans="2:7" ht="22.5">
      <c r="B26" s="41">
        <v>44593</v>
      </c>
      <c r="C26" s="714">
        <v>436449267</v>
      </c>
      <c r="D26" s="714">
        <v>442438508.22000003</v>
      </c>
      <c r="E26" s="42">
        <f>+C26-D26</f>
        <v>-5989241.2200000286</v>
      </c>
      <c r="F26" s="279" t="s">
        <v>551</v>
      </c>
    </row>
    <row r="27" spans="2:7">
      <c r="B27" s="41">
        <v>44621</v>
      </c>
      <c r="C27" s="714">
        <v>29793651</v>
      </c>
      <c r="D27" s="714">
        <v>37044733.579999998</v>
      </c>
      <c r="E27" s="42">
        <f>+C27-D27</f>
        <v>-7251082.5799999982</v>
      </c>
      <c r="F27" s="279" t="s">
        <v>586</v>
      </c>
    </row>
    <row r="28" spans="2:7">
      <c r="B28" s="41">
        <v>44652</v>
      </c>
      <c r="C28" s="714">
        <v>382838370</v>
      </c>
      <c r="D28" s="714">
        <v>422838369.46799999</v>
      </c>
      <c r="E28" s="42">
        <f>+C28-D28-1</f>
        <v>-40000000.467999995</v>
      </c>
      <c r="F28" s="279" t="s">
        <v>625</v>
      </c>
    </row>
    <row r="29" spans="2:7" ht="22.5">
      <c r="B29" s="41">
        <v>44682</v>
      </c>
      <c r="C29" s="714">
        <v>71078606</v>
      </c>
      <c r="D29" s="714">
        <v>80630068.332000002</v>
      </c>
      <c r="E29" s="714">
        <f t="shared" ref="E29:E37" si="2">+C29-D29</f>
        <v>-9551462.3320000023</v>
      </c>
      <c r="F29" s="279" t="s">
        <v>745</v>
      </c>
    </row>
    <row r="30" spans="2:7" ht="22.5">
      <c r="B30" s="41">
        <v>44713</v>
      </c>
      <c r="C30" s="714">
        <v>528385229</v>
      </c>
      <c r="D30" s="714">
        <v>583412556.26399994</v>
      </c>
      <c r="E30" s="714">
        <f t="shared" si="2"/>
        <v>-55027327.263999939</v>
      </c>
      <c r="F30" s="279" t="s">
        <v>755</v>
      </c>
    </row>
    <row r="31" spans="2:7" ht="22.5">
      <c r="B31" s="41">
        <v>44743</v>
      </c>
      <c r="C31" s="714">
        <v>40160000</v>
      </c>
      <c r="D31" s="714">
        <v>46340888.052000001</v>
      </c>
      <c r="E31" s="714">
        <f t="shared" si="2"/>
        <v>-6180888.0520000011</v>
      </c>
      <c r="F31" s="279" t="s">
        <v>834</v>
      </c>
    </row>
    <row r="32" spans="2:7" ht="33.75">
      <c r="B32" s="41">
        <v>44774</v>
      </c>
      <c r="C32" s="714">
        <v>641792674</v>
      </c>
      <c r="D32" s="714">
        <v>599423855.852</v>
      </c>
      <c r="E32" s="714">
        <f t="shared" si="2"/>
        <v>42368818.148000002</v>
      </c>
      <c r="F32" s="279" t="s">
        <v>878</v>
      </c>
      <c r="G32" s="956"/>
    </row>
    <row r="33" spans="1:9">
      <c r="B33" s="41">
        <v>44805</v>
      </c>
      <c r="C33" s="714">
        <v>5866727</v>
      </c>
      <c r="D33" s="714">
        <v>5866727</v>
      </c>
      <c r="E33" s="714">
        <f t="shared" si="2"/>
        <v>0</v>
      </c>
      <c r="F33" s="279"/>
      <c r="G33" s="956"/>
    </row>
    <row r="34" spans="1:9" ht="33.75">
      <c r="B34" s="41">
        <v>44835</v>
      </c>
      <c r="C34" s="714">
        <v>37650000</v>
      </c>
      <c r="D34" s="714">
        <v>47644755</v>
      </c>
      <c r="E34" s="714">
        <f t="shared" si="2"/>
        <v>-9994755</v>
      </c>
      <c r="F34" s="279" t="s">
        <v>954</v>
      </c>
      <c r="G34" s="956"/>
    </row>
    <row r="35" spans="1:9" ht="22.5">
      <c r="B35" s="41">
        <v>44866</v>
      </c>
      <c r="C35" s="714">
        <v>66919259</v>
      </c>
      <c r="D35" s="714">
        <v>71800248.406374499</v>
      </c>
      <c r="E35" s="714">
        <f t="shared" si="2"/>
        <v>-4880989.4063744992</v>
      </c>
      <c r="F35" s="279" t="s">
        <v>1027</v>
      </c>
      <c r="G35" s="956"/>
    </row>
    <row r="36" spans="1:9" ht="22.5">
      <c r="B36" s="41">
        <v>44896</v>
      </c>
      <c r="C36" s="714">
        <f>+'[5]881 todas las vigencias2'!$AI$83+'[5]881 todas las vigencias2'!$AK$91+'[5]881 todas las vigencias2'!$AK$95+'[5]881 todas las vigencias2'!$AK$116+'[5]881 todas las vigencias2'!$AI$145+'[5]881 todas las vigencias2'!$AI$149+'[5]881 todas las vigencias2'!$AK$152+'[5]881 todas las vigencias2'!$AI$155</f>
        <v>142696288</v>
      </c>
      <c r="D36" s="714">
        <v>146492399</v>
      </c>
      <c r="E36" s="714">
        <f t="shared" si="2"/>
        <v>-3796111</v>
      </c>
      <c r="F36" s="279" t="s">
        <v>1138</v>
      </c>
      <c r="G36" s="956"/>
    </row>
    <row r="37" spans="1:9" ht="22.5">
      <c r="B37" s="41">
        <v>44927</v>
      </c>
      <c r="C37" s="714">
        <v>0</v>
      </c>
      <c r="D37" s="714">
        <f>+'Enero - 2023'!L16+'Enero - 2023'!L17+'Enero - 2023'!L18</f>
        <v>3364032</v>
      </c>
      <c r="E37" s="714">
        <f t="shared" si="2"/>
        <v>-3364032</v>
      </c>
      <c r="F37" s="279" t="s">
        <v>1995</v>
      </c>
      <c r="G37" s="956"/>
    </row>
    <row r="38" spans="1:9">
      <c r="B38" s="47" t="s">
        <v>78</v>
      </c>
      <c r="C38" s="48">
        <f>SUM(C7:C37)</f>
        <v>5373775262.9879999</v>
      </c>
      <c r="D38" s="48">
        <f>SUM(D7:D37)</f>
        <v>5427729530.787569</v>
      </c>
      <c r="E38" s="48">
        <f>SUM(E7:E37)</f>
        <v>-53954268.799568832</v>
      </c>
      <c r="F38" s="45"/>
      <c r="G38" s="30"/>
    </row>
    <row r="39" spans="1:9">
      <c r="G39" s="30"/>
    </row>
    <row r="40" spans="1:9">
      <c r="F40" s="30"/>
    </row>
    <row r="41" spans="1:9" s="36" customFormat="1" ht="15.75">
      <c r="A41" s="33" t="s">
        <v>79</v>
      </c>
      <c r="B41" s="33"/>
      <c r="C41" s="34"/>
      <c r="D41" s="34"/>
      <c r="E41" s="34"/>
      <c r="F41" s="49"/>
    </row>
    <row r="42" spans="1:9" s="32" customFormat="1">
      <c r="C42" s="31"/>
      <c r="D42" s="31"/>
      <c r="E42" s="31"/>
      <c r="F42" s="50"/>
      <c r="G42" s="1083"/>
      <c r="H42" s="1084"/>
      <c r="I42" s="1084"/>
    </row>
    <row r="43" spans="1:9" s="32" customFormat="1">
      <c r="B43" s="32" t="s">
        <v>80</v>
      </c>
      <c r="C43" s="31"/>
      <c r="D43" s="31"/>
      <c r="E43" s="1061">
        <f>+'Cta 29020102'!G21</f>
        <v>14124426495.83</v>
      </c>
      <c r="G43" s="1084"/>
      <c r="H43" s="1084"/>
      <c r="I43" s="1084"/>
    </row>
    <row r="44" spans="1:9">
      <c r="F44" s="51"/>
      <c r="G44" s="1065"/>
      <c r="H44" s="1065"/>
      <c r="I44" s="1065"/>
    </row>
    <row r="45" spans="1:9">
      <c r="F45" s="51"/>
      <c r="G45" s="1085"/>
      <c r="H45" s="1065"/>
      <c r="I45" s="1085"/>
    </row>
    <row r="46" spans="1:9">
      <c r="B46" s="32" t="s">
        <v>1996</v>
      </c>
      <c r="C46" s="31"/>
      <c r="D46" s="31"/>
      <c r="E46" s="59">
        <f>+'Enero - 2023'!L24</f>
        <v>14148791348.084026</v>
      </c>
      <c r="F46" s="51"/>
      <c r="H46" s="1065"/>
      <c r="I46" s="1065"/>
    </row>
    <row r="47" spans="1:9">
      <c r="B47" s="32"/>
      <c r="C47" s="31"/>
      <c r="D47" s="31"/>
      <c r="E47" s="59"/>
      <c r="F47" s="51"/>
      <c r="G47" s="1065"/>
      <c r="H47" s="1065"/>
      <c r="I47" s="1065"/>
    </row>
    <row r="48" spans="1:9" ht="15">
      <c r="B48" s="52"/>
      <c r="C48" s="53"/>
      <c r="D48" s="53"/>
      <c r="F48" s="61"/>
      <c r="G48" s="1087"/>
      <c r="I48" s="1086"/>
    </row>
    <row r="49" spans="1:9">
      <c r="B49" s="52"/>
      <c r="C49" s="53"/>
      <c r="D49" s="53"/>
      <c r="E49" s="61"/>
      <c r="G49" s="61"/>
      <c r="H49" s="1088"/>
      <c r="I49" s="1088"/>
    </row>
    <row r="50" spans="1:9">
      <c r="B50" s="57" t="s">
        <v>65</v>
      </c>
      <c r="C50" s="61"/>
      <c r="D50" s="61"/>
      <c r="E50" s="59">
        <f>+E43-E46</f>
        <v>-24364852.254026413</v>
      </c>
      <c r="F50" s="1127">
        <f>+SUM(F51:F53)</f>
        <v>24364853.088</v>
      </c>
      <c r="H50" s="797"/>
    </row>
    <row r="51" spans="1:9">
      <c r="F51" s="1126">
        <v>24369999</v>
      </c>
      <c r="G51" s="802" t="s">
        <v>2069</v>
      </c>
      <c r="H51" s="1088"/>
      <c r="I51" s="1088"/>
    </row>
    <row r="52" spans="1:9" s="36" customFormat="1" ht="15.75">
      <c r="A52" s="33" t="s">
        <v>81</v>
      </c>
      <c r="B52" s="33"/>
      <c r="C52" s="34"/>
      <c r="D52" s="34"/>
      <c r="E52" s="34"/>
      <c r="F52" s="1124">
        <v>-5250</v>
      </c>
      <c r="G52" s="802" t="s">
        <v>2039</v>
      </c>
    </row>
    <row r="53" spans="1:9" s="32" customFormat="1">
      <c r="C53" s="31"/>
      <c r="D53" s="31"/>
      <c r="E53" s="31"/>
      <c r="F53" s="1125">
        <v>104.08799999999999</v>
      </c>
      <c r="G53" s="802" t="s">
        <v>2038</v>
      </c>
      <c r="H53" s="57"/>
    </row>
    <row r="54" spans="1:9" s="32" customFormat="1">
      <c r="B54" s="32" t="s">
        <v>82</v>
      </c>
      <c r="C54" s="31"/>
      <c r="D54" s="31"/>
      <c r="E54" s="1061">
        <f>+'Cta 11100613'!F18</f>
        <v>14860159810.759998</v>
      </c>
      <c r="F54" s="55"/>
      <c r="G54" s="55"/>
      <c r="H54" s="57"/>
    </row>
    <row r="55" spans="1:9" s="32" customFormat="1">
      <c r="B55" s="56"/>
      <c r="C55" s="31"/>
      <c r="D55" s="31"/>
      <c r="E55" s="61"/>
      <c r="F55" s="55"/>
      <c r="G55" s="55"/>
      <c r="H55" s="57"/>
    </row>
    <row r="56" spans="1:9" s="32" customFormat="1">
      <c r="B56" s="32" t="s">
        <v>83</v>
      </c>
      <c r="C56" s="30"/>
      <c r="D56" s="30"/>
      <c r="E56" s="61"/>
      <c r="F56" s="55"/>
      <c r="G56" s="55"/>
      <c r="H56" s="57"/>
    </row>
    <row r="57" spans="1:9" s="32" customFormat="1">
      <c r="B57" s="40" t="s">
        <v>1997</v>
      </c>
      <c r="C57" s="30"/>
      <c r="D57" s="30"/>
      <c r="E57" s="802">
        <f>+'Anexo 2 Sena'!E65</f>
        <v>95396395</v>
      </c>
      <c r="F57" s="55"/>
      <c r="G57" s="55"/>
      <c r="H57" s="57"/>
    </row>
    <row r="58" spans="1:9" s="32" customFormat="1">
      <c r="B58" s="40"/>
      <c r="C58" s="30"/>
      <c r="D58" s="30"/>
      <c r="E58" s="802"/>
      <c r="F58" s="55"/>
      <c r="G58" s="55"/>
      <c r="H58" s="57"/>
    </row>
    <row r="59" spans="1:9" s="32" customFormat="1">
      <c r="B59" s="40"/>
      <c r="C59" s="30"/>
      <c r="D59" s="30"/>
      <c r="E59" s="61"/>
      <c r="F59" s="55"/>
      <c r="G59" s="57"/>
      <c r="H59" s="57"/>
    </row>
    <row r="60" spans="1:9" s="32" customFormat="1">
      <c r="B60" s="32" t="s">
        <v>84</v>
      </c>
      <c r="C60" s="30"/>
      <c r="D60" s="30"/>
      <c r="E60" s="61"/>
      <c r="F60" s="55"/>
      <c r="G60" s="57"/>
      <c r="H60" s="57"/>
    </row>
    <row r="61" spans="1:9" s="32" customFormat="1">
      <c r="B61" s="40" t="s">
        <v>1998</v>
      </c>
      <c r="C61" s="30"/>
      <c r="D61" s="30"/>
      <c r="E61" s="61">
        <f>+'Mov Cta BBVA'!J6</f>
        <v>-26266</v>
      </c>
      <c r="F61" s="55"/>
      <c r="G61" s="59"/>
      <c r="H61" s="57"/>
    </row>
    <row r="62" spans="1:9" s="32" customFormat="1">
      <c r="C62" s="30"/>
      <c r="D62" s="30"/>
      <c r="E62" s="30"/>
      <c r="F62" s="55"/>
      <c r="G62" s="57"/>
      <c r="H62" s="57"/>
    </row>
    <row r="63" spans="1:9" s="32" customFormat="1">
      <c r="B63" s="40"/>
      <c r="C63" s="30"/>
      <c r="D63" s="30"/>
      <c r="E63" s="30"/>
      <c r="F63" s="55"/>
      <c r="G63" s="57"/>
      <c r="H63" s="57"/>
    </row>
    <row r="64" spans="1:9" s="57" customFormat="1">
      <c r="B64" s="32" t="s">
        <v>85</v>
      </c>
      <c r="C64" s="53"/>
      <c r="D64" s="53"/>
      <c r="E64" s="31">
        <f>SUM(E54:E62)</f>
        <v>14955529939.759998</v>
      </c>
      <c r="F64" s="55"/>
      <c r="G64" s="59"/>
    </row>
    <row r="65" spans="1:6" s="57" customFormat="1" ht="15">
      <c r="B65" s="58"/>
      <c r="C65" s="59"/>
      <c r="D65" s="59"/>
      <c r="E65" s="60"/>
      <c r="F65" s="1044"/>
    </row>
    <row r="66" spans="1:6" s="57" customFormat="1">
      <c r="B66" s="32" t="s">
        <v>1999</v>
      </c>
      <c r="C66" s="53"/>
      <c r="D66" s="53"/>
      <c r="E66" s="59">
        <f>+'Mov Cta BBVA'!B7</f>
        <v>14918828583.859999</v>
      </c>
      <c r="F66" s="59"/>
    </row>
    <row r="67" spans="1:6" s="63" customFormat="1" ht="12.75" customHeight="1">
      <c r="B67" s="58"/>
      <c r="C67" s="61"/>
      <c r="D67" s="61"/>
      <c r="E67" s="60"/>
      <c r="F67" s="1045"/>
    </row>
    <row r="68" spans="1:6" s="63" customFormat="1">
      <c r="B68" s="57" t="s">
        <v>65</v>
      </c>
      <c r="C68" s="61"/>
      <c r="D68" s="61"/>
      <c r="E68" s="1009">
        <f>+E64-E66</f>
        <v>36701355.899999619</v>
      </c>
      <c r="F68" s="59" t="s">
        <v>2070</v>
      </c>
    </row>
    <row r="69" spans="1:6">
      <c r="F69" s="62"/>
    </row>
    <row r="70" spans="1:6">
      <c r="F70" s="51"/>
    </row>
    <row r="71" spans="1:6" s="36" customFormat="1" ht="15.75">
      <c r="A71" s="33" t="s">
        <v>86</v>
      </c>
      <c r="B71" s="33"/>
      <c r="C71" s="34"/>
      <c r="D71" s="34"/>
      <c r="E71" s="34"/>
      <c r="F71" s="64"/>
    </row>
    <row r="72" spans="1:6" ht="15.75">
      <c r="A72" s="65"/>
      <c r="B72" s="56"/>
      <c r="C72" s="66"/>
      <c r="D72" s="67"/>
      <c r="E72" s="68"/>
      <c r="F72" s="62"/>
    </row>
    <row r="73" spans="1:6" ht="15">
      <c r="A73" s="32"/>
      <c r="B73" s="32" t="s">
        <v>87</v>
      </c>
      <c r="C73" s="31"/>
      <c r="D73" s="31"/>
      <c r="E73" s="1061">
        <f>+'Enero - 2023'!L24</f>
        <v>14148791348.084026</v>
      </c>
      <c r="F73" s="69"/>
    </row>
    <row r="74" spans="1:6">
      <c r="A74" s="63"/>
      <c r="B74" s="56"/>
      <c r="C74" s="70"/>
      <c r="D74" s="29"/>
      <c r="E74" s="61"/>
      <c r="F74" s="51"/>
    </row>
    <row r="75" spans="1:6">
      <c r="A75" s="63"/>
      <c r="B75" s="71" t="s">
        <v>83</v>
      </c>
      <c r="C75" s="70"/>
      <c r="D75" s="61"/>
      <c r="E75" s="61"/>
      <c r="F75" s="62"/>
    </row>
    <row r="76" spans="1:6">
      <c r="B76" s="32" t="s">
        <v>2000</v>
      </c>
      <c r="D76" s="61"/>
      <c r="E76" s="61">
        <f>SUM(D77:D83)</f>
        <v>782298575</v>
      </c>
      <c r="F76" s="106"/>
    </row>
    <row r="77" spans="1:6">
      <c r="B77" s="1249" t="s">
        <v>934</v>
      </c>
      <c r="C77" s="1249"/>
      <c r="D77" s="61">
        <v>145425468</v>
      </c>
      <c r="E77" s="61"/>
      <c r="F77" s="106"/>
    </row>
    <row r="78" spans="1:6">
      <c r="B78" s="1249" t="s">
        <v>839</v>
      </c>
      <c r="C78" s="1249"/>
      <c r="D78" s="61">
        <v>175718319</v>
      </c>
      <c r="E78" s="61"/>
      <c r="F78" s="106"/>
    </row>
    <row r="79" spans="1:6" s="28" customFormat="1" ht="12.75" customHeight="1">
      <c r="A79" s="40"/>
      <c r="B79" s="1249" t="s">
        <v>899</v>
      </c>
      <c r="C79" s="1249"/>
      <c r="D79" s="802">
        <v>96722419</v>
      </c>
      <c r="E79" s="61"/>
      <c r="F79" s="393"/>
    </row>
    <row r="80" spans="1:6" s="28" customFormat="1" ht="12.75" customHeight="1">
      <c r="A80" s="40"/>
      <c r="B80" s="1249" t="s">
        <v>1006</v>
      </c>
      <c r="C80" s="1249"/>
      <c r="D80" s="802">
        <v>84307762</v>
      </c>
      <c r="E80" s="61"/>
    </row>
    <row r="81" spans="1:8" s="28" customFormat="1" ht="12.75" customHeight="1">
      <c r="A81" s="40"/>
      <c r="B81" s="1249" t="s">
        <v>1030</v>
      </c>
      <c r="C81" s="1249"/>
      <c r="D81" s="802">
        <f>+'Anexo 2 Sena'!E61</f>
        <v>89493531</v>
      </c>
      <c r="E81" s="61"/>
    </row>
    <row r="82" spans="1:8" s="28" customFormat="1" ht="12.75" customHeight="1">
      <c r="A82" s="40"/>
      <c r="B82" s="1249" t="s">
        <v>1136</v>
      </c>
      <c r="C82" s="1249"/>
      <c r="D82" s="802">
        <f>+'Anexo 2 Sena'!E62</f>
        <v>95234681</v>
      </c>
      <c r="E82" s="61"/>
    </row>
    <row r="83" spans="1:8" s="28" customFormat="1" ht="12.75" customHeight="1">
      <c r="A83" s="40"/>
      <c r="B83" s="1249" t="s">
        <v>2001</v>
      </c>
      <c r="C83" s="1249"/>
      <c r="D83" s="802">
        <f>+'Anexo 2 Sena'!E65</f>
        <v>95396395</v>
      </c>
      <c r="E83" s="61"/>
    </row>
    <row r="84" spans="1:8" s="28" customFormat="1">
      <c r="A84" s="40"/>
      <c r="B84" s="40"/>
      <c r="C84" s="30"/>
      <c r="D84" s="61"/>
      <c r="E84" s="61"/>
    </row>
    <row r="85" spans="1:8" s="28" customFormat="1">
      <c r="A85" s="40"/>
      <c r="B85" s="40" t="s">
        <v>88</v>
      </c>
      <c r="C85" s="30"/>
      <c r="D85" s="61"/>
      <c r="E85" s="61">
        <f>+Impuestos!B60</f>
        <v>9862946</v>
      </c>
    </row>
    <row r="86" spans="1:8" s="63" customFormat="1">
      <c r="A86" s="40"/>
      <c r="B86" s="40" t="s">
        <v>285</v>
      </c>
      <c r="C86" s="30"/>
      <c r="D86" s="61"/>
      <c r="E86" s="61">
        <f>+(E85*0.004)</f>
        <v>39451.784</v>
      </c>
    </row>
    <row r="87" spans="1:8" s="63" customFormat="1">
      <c r="A87" s="40"/>
      <c r="B87" s="40" t="s">
        <v>266</v>
      </c>
      <c r="C87" s="30"/>
      <c r="D87" s="61"/>
      <c r="E87" s="61">
        <v>102</v>
      </c>
      <c r="F87" s="261"/>
    </row>
    <row r="88" spans="1:8" s="63" customFormat="1">
      <c r="A88" s="40"/>
      <c r="B88" s="40" t="s">
        <v>297</v>
      </c>
      <c r="C88" s="30"/>
      <c r="D88" s="61"/>
      <c r="E88" s="61">
        <f>+'Anexo 2 Sena'!F79</f>
        <v>3881903</v>
      </c>
      <c r="F88" s="261"/>
    </row>
    <row r="89" spans="1:8" s="63" customFormat="1">
      <c r="A89" s="40"/>
      <c r="B89" s="40"/>
      <c r="C89" s="30"/>
      <c r="D89" s="61"/>
      <c r="E89" s="61"/>
      <c r="F89" s="261"/>
    </row>
    <row r="90" spans="1:8" s="63" customFormat="1" ht="17.25" customHeight="1">
      <c r="A90" s="40"/>
      <c r="B90" s="32" t="s">
        <v>84</v>
      </c>
      <c r="C90" s="30"/>
      <c r="D90" s="61"/>
      <c r="E90" s="59">
        <f>SUM(D91:D92)</f>
        <v>-26045732.859999999</v>
      </c>
      <c r="F90" s="62"/>
    </row>
    <row r="91" spans="1:8">
      <c r="B91" s="40" t="s">
        <v>229</v>
      </c>
      <c r="D91" s="30">
        <f>-'Cta 19050301'!G20</f>
        <v>-25941965</v>
      </c>
      <c r="F91" s="62"/>
    </row>
    <row r="92" spans="1:8" s="36" customFormat="1" ht="15.75">
      <c r="A92" s="40"/>
      <c r="B92" s="40" t="s">
        <v>246</v>
      </c>
      <c r="C92" s="30"/>
      <c r="D92" s="30">
        <f>+D91*0.004</f>
        <v>-103767.86</v>
      </c>
      <c r="E92" s="30"/>
      <c r="F92" s="64"/>
    </row>
    <row r="93" spans="1:8" s="36" customFormat="1" ht="15.75">
      <c r="A93" s="40"/>
      <c r="B93" s="40"/>
      <c r="C93" s="30"/>
      <c r="D93" s="30"/>
      <c r="E93" s="30">
        <v>0</v>
      </c>
      <c r="F93" s="64"/>
    </row>
    <row r="94" spans="1:8">
      <c r="F94" s="62"/>
      <c r="G94" s="694"/>
    </row>
    <row r="95" spans="1:8" s="63" customFormat="1">
      <c r="A95" s="40"/>
      <c r="B95" s="32" t="s">
        <v>85</v>
      </c>
      <c r="C95" s="53"/>
      <c r="D95" s="53"/>
      <c r="E95" s="31">
        <f>SUM(E73:E93)</f>
        <v>14918828593.008026</v>
      </c>
      <c r="F95" s="781"/>
      <c r="G95" s="695"/>
    </row>
    <row r="96" spans="1:8" s="63" customFormat="1" ht="15">
      <c r="A96" s="57"/>
      <c r="B96" s="58"/>
      <c r="C96" s="59"/>
      <c r="D96" s="59"/>
      <c r="E96" s="60"/>
      <c r="F96" s="781"/>
      <c r="G96" s="696"/>
      <c r="H96" s="698"/>
    </row>
    <row r="97" spans="1:9" s="63" customFormat="1">
      <c r="A97" s="40"/>
      <c r="B97" s="32" t="s">
        <v>2040</v>
      </c>
      <c r="C97" s="53"/>
      <c r="D97" s="53"/>
      <c r="E97" s="923">
        <f>+'Mov Cta BBVA'!B7</f>
        <v>14918828583.859999</v>
      </c>
      <c r="F97" s="62"/>
      <c r="G97" s="697"/>
    </row>
    <row r="98" spans="1:9" s="63" customFormat="1" ht="15">
      <c r="B98" s="58"/>
      <c r="C98" s="61"/>
      <c r="D98" s="61"/>
      <c r="E98" s="60"/>
      <c r="F98" s="62"/>
    </row>
    <row r="99" spans="1:9" s="63" customFormat="1">
      <c r="A99" s="40"/>
      <c r="B99" s="57" t="s">
        <v>65</v>
      </c>
      <c r="C99" s="61"/>
      <c r="D99" s="61"/>
      <c r="E99" s="1009">
        <f>E95-E97</f>
        <v>9.1480274200439453</v>
      </c>
      <c r="H99" s="40"/>
      <c r="I99" s="40"/>
    </row>
    <row r="100" spans="1:9">
      <c r="F100" s="383"/>
    </row>
    <row r="101" spans="1:9" s="36" customFormat="1" ht="15.75">
      <c r="A101" s="33" t="s">
        <v>89</v>
      </c>
      <c r="B101" s="33"/>
      <c r="C101" s="34"/>
      <c r="D101" s="34"/>
      <c r="E101" s="34"/>
      <c r="F101" s="54"/>
    </row>
    <row r="102" spans="1:9">
      <c r="F102" s="50"/>
    </row>
    <row r="103" spans="1:9">
      <c r="B103" s="32" t="s">
        <v>90</v>
      </c>
      <c r="E103" s="923">
        <f>+'Cta 11100613'!F18</f>
        <v>14860159810.759998</v>
      </c>
      <c r="F103" s="62"/>
      <c r="G103" s="1047"/>
    </row>
    <row r="104" spans="1:9">
      <c r="E104" s="30" t="s">
        <v>1035</v>
      </c>
      <c r="F104" s="62"/>
      <c r="G104" s="63"/>
    </row>
    <row r="105" spans="1:9">
      <c r="B105" s="32" t="s">
        <v>83</v>
      </c>
      <c r="F105" s="62"/>
      <c r="G105" s="63"/>
    </row>
    <row r="106" spans="1:9">
      <c r="B106" s="40" t="s">
        <v>147</v>
      </c>
      <c r="E106" s="61">
        <f>+'Cta 19050301'!G20</f>
        <v>25941965</v>
      </c>
      <c r="F106" s="62"/>
      <c r="G106" s="1047"/>
    </row>
    <row r="107" spans="1:9">
      <c r="B107" s="40" t="s">
        <v>286</v>
      </c>
      <c r="E107" s="61">
        <f>+E106*0.004</f>
        <v>103767.86</v>
      </c>
      <c r="F107" s="62"/>
      <c r="G107" s="1047"/>
    </row>
    <row r="108" spans="1:9" ht="15" customHeight="1">
      <c r="B108" s="306"/>
      <c r="E108" s="340"/>
      <c r="F108" s="1048"/>
      <c r="G108" s="63"/>
    </row>
    <row r="109" spans="1:9">
      <c r="B109" s="32" t="s">
        <v>84</v>
      </c>
      <c r="E109" s="61"/>
      <c r="F109" s="1048"/>
      <c r="G109" s="63"/>
    </row>
    <row r="110" spans="1:9" ht="17.25" customHeight="1">
      <c r="B110" s="40" t="s">
        <v>2041</v>
      </c>
      <c r="E110" s="61">
        <f>-'Anexo 2 Sena'!E57-'Anexo 2 Sena'!E58-'Anexo 2 Sena'!E59-'Anexo 2 Sena'!E60-'Anexo 2 Sena'!E61-'Anexo 2 Sena'!E62</f>
        <v>-686902180</v>
      </c>
      <c r="F110" s="62"/>
      <c r="G110" s="1047"/>
    </row>
    <row r="111" spans="1:9">
      <c r="B111" s="40" t="s">
        <v>2042</v>
      </c>
      <c r="E111" s="61">
        <f>-Impuestos!B60</f>
        <v>-9862946</v>
      </c>
      <c r="F111" s="62"/>
      <c r="G111" s="1047"/>
    </row>
    <row r="112" spans="1:9">
      <c r="B112" s="1249" t="s">
        <v>2043</v>
      </c>
      <c r="C112" s="1249"/>
      <c r="D112" s="1249"/>
      <c r="E112" s="61">
        <f>+'Mov Cta BBVA'!J6</f>
        <v>-26266</v>
      </c>
      <c r="F112" s="62"/>
      <c r="G112" s="1047"/>
    </row>
    <row r="113" spans="2:10">
      <c r="B113" s="306" t="s">
        <v>277</v>
      </c>
      <c r="C113" s="286"/>
      <c r="D113" s="286"/>
      <c r="E113" s="61">
        <f>-E87</f>
        <v>-102</v>
      </c>
      <c r="F113" s="62"/>
      <c r="G113" s="1047"/>
      <c r="H113" s="1047"/>
      <c r="I113" s="1047"/>
      <c r="J113" s="1047"/>
    </row>
    <row r="114" spans="2:10" ht="15.75" customHeight="1">
      <c r="B114" s="306" t="s">
        <v>316</v>
      </c>
      <c r="E114" s="61">
        <f>-'Anexo 2 Sena'!F79</f>
        <v>-3881903</v>
      </c>
      <c r="F114" s="62"/>
      <c r="G114" s="1047"/>
      <c r="H114" s="1047"/>
      <c r="I114" s="1047"/>
      <c r="J114" s="1047"/>
    </row>
    <row r="115" spans="2:10">
      <c r="B115" s="306" t="s">
        <v>389</v>
      </c>
      <c r="C115" s="286"/>
      <c r="D115" s="286"/>
      <c r="E115" s="61">
        <f>+E111*0.004</f>
        <v>-39451.784</v>
      </c>
      <c r="F115" s="62"/>
      <c r="G115" s="1047"/>
      <c r="H115" s="1047"/>
      <c r="I115" s="1047"/>
      <c r="J115" s="1047"/>
    </row>
    <row r="116" spans="2:10" ht="15.75" customHeight="1">
      <c r="B116" s="306"/>
      <c r="C116" s="286"/>
      <c r="D116" s="286"/>
      <c r="E116" s="61"/>
      <c r="F116" s="1048"/>
      <c r="G116" s="1047"/>
      <c r="H116" s="1047"/>
      <c r="I116" s="1047"/>
      <c r="J116" s="1047"/>
    </row>
    <row r="117" spans="2:10" ht="15.75" customHeight="1">
      <c r="B117" s="32" t="s">
        <v>85</v>
      </c>
      <c r="E117" s="31">
        <f>SUM(E103:E115)</f>
        <v>14185492694.835999</v>
      </c>
      <c r="H117" s="1047"/>
      <c r="I117" s="1047"/>
      <c r="J117" s="1047"/>
    </row>
    <row r="118" spans="2:10" ht="15.75" customHeight="1">
      <c r="F118" s="1045"/>
      <c r="G118" s="61"/>
      <c r="H118" s="1047"/>
      <c r="I118" s="1047"/>
      <c r="J118" s="1047"/>
    </row>
    <row r="119" spans="2:10" ht="15.75" customHeight="1">
      <c r="B119" s="32" t="s">
        <v>1141</v>
      </c>
      <c r="E119" s="59">
        <f>+'Cta 29020102'!G21</f>
        <v>14124426495.83</v>
      </c>
      <c r="F119" s="1064"/>
      <c r="G119" s="1047"/>
      <c r="H119" s="1047"/>
      <c r="I119" s="1047"/>
      <c r="J119" s="1047"/>
    </row>
    <row r="120" spans="2:10">
      <c r="F120" s="1091">
        <f>+E121-F121</f>
        <v>-9.9820013865828514</v>
      </c>
      <c r="G120" s="1047"/>
      <c r="H120" s="1047"/>
      <c r="I120" s="1047"/>
      <c r="J120" s="1047"/>
    </row>
    <row r="121" spans="2:10">
      <c r="B121" s="57" t="s">
        <v>91</v>
      </c>
      <c r="C121" s="61"/>
      <c r="D121" s="61"/>
      <c r="E121" s="1009">
        <f>+E117-E119</f>
        <v>61066199.005998611</v>
      </c>
      <c r="F121" s="1127">
        <f>+SUM(F122:F126)</f>
        <v>61066208.987999998</v>
      </c>
      <c r="G121" s="1047"/>
      <c r="H121" s="1047"/>
      <c r="I121" s="1047"/>
      <c r="J121" s="1047"/>
    </row>
    <row r="122" spans="2:10">
      <c r="F122" s="1123">
        <f>+'Cta 11100613'!F10</f>
        <v>36701355.899999999</v>
      </c>
      <c r="G122" s="802" t="s">
        <v>2071</v>
      </c>
      <c r="H122" s="1047"/>
      <c r="I122" s="1047"/>
      <c r="J122" s="1047"/>
    </row>
    <row r="123" spans="2:10">
      <c r="F123" s="1123">
        <f>+F51</f>
        <v>24369999</v>
      </c>
      <c r="G123" s="802" t="s">
        <v>2069</v>
      </c>
      <c r="H123" s="1047"/>
      <c r="I123" s="1047"/>
      <c r="J123" s="1047"/>
    </row>
    <row r="124" spans="2:10">
      <c r="F124" s="1123">
        <f>+F52</f>
        <v>-5250</v>
      </c>
      <c r="G124" s="802" t="s">
        <v>2039</v>
      </c>
    </row>
    <row r="125" spans="2:10">
      <c r="F125" s="1123">
        <f>+F53</f>
        <v>104.08799999999999</v>
      </c>
      <c r="G125" s="802" t="s">
        <v>2038</v>
      </c>
    </row>
    <row r="126" spans="2:10">
      <c r="F126" s="30"/>
      <c r="G126" s="30"/>
    </row>
    <row r="127" spans="2:10">
      <c r="F127" s="30"/>
      <c r="G127" s="30"/>
    </row>
    <row r="128" spans="2:10">
      <c r="F128" s="30"/>
      <c r="G128" s="30"/>
    </row>
    <row r="129" spans="6:7">
      <c r="F129" s="30"/>
      <c r="G129" s="30"/>
    </row>
    <row r="130" spans="6:7">
      <c r="F130" s="30"/>
      <c r="G130" s="30"/>
    </row>
    <row r="131" spans="6:7">
      <c r="F131" s="30"/>
      <c r="G131" s="30"/>
    </row>
    <row r="132" spans="6:7">
      <c r="F132" s="30"/>
      <c r="G132" s="30"/>
    </row>
    <row r="133" spans="6:7">
      <c r="F133" s="30"/>
      <c r="G133" s="30"/>
    </row>
    <row r="134" spans="6:7">
      <c r="F134" s="30"/>
      <c r="G134" s="30"/>
    </row>
    <row r="135" spans="6:7">
      <c r="F135" s="30"/>
      <c r="G135" s="30"/>
    </row>
    <row r="136" spans="6:7">
      <c r="F136" s="1046"/>
    </row>
    <row r="137" spans="6:7">
      <c r="F137" s="1046"/>
    </row>
  </sheetData>
  <mergeCells count="13">
    <mergeCell ref="A1:C1"/>
    <mergeCell ref="B79:C79"/>
    <mergeCell ref="B78:C78"/>
    <mergeCell ref="B77:C77"/>
    <mergeCell ref="B80:C80"/>
    <mergeCell ref="F5:F6"/>
    <mergeCell ref="B112:D112"/>
    <mergeCell ref="B5:C5"/>
    <mergeCell ref="D5:D6"/>
    <mergeCell ref="E5:E6"/>
    <mergeCell ref="B83:C83"/>
    <mergeCell ref="B82:C82"/>
    <mergeCell ref="B81:C81"/>
  </mergeCells>
  <phoneticPr fontId="19" type="noConversion"/>
  <pageMargins left="0.7" right="0.7" top="0.75" bottom="0.75" header="0.3" footer="0.3"/>
  <pageSetup paperSize="9" scale="3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4">
    <tabColor rgb="FF00B0F0"/>
    <pageSetUpPr fitToPage="1"/>
  </sheetPr>
  <dimension ref="A1:S112"/>
  <sheetViews>
    <sheetView showGridLines="0" topLeftCell="A45" zoomScale="85" zoomScaleNormal="85" zoomScaleSheetLayoutView="50" workbookViewId="0">
      <selection activeCell="B66" sqref="B66"/>
    </sheetView>
  </sheetViews>
  <sheetFormatPr baseColWidth="10" defaultRowHeight="15"/>
  <cols>
    <col min="1" max="1" width="41.5703125" style="149" customWidth="1"/>
    <col min="2" max="2" width="43.140625" style="149" customWidth="1"/>
    <col min="3" max="3" width="27.28515625" style="149" customWidth="1"/>
    <col min="4" max="4" width="22.7109375" style="149" customWidth="1"/>
    <col min="5" max="5" width="18.42578125" style="149" bestFit="1" customWidth="1"/>
    <col min="6" max="6" width="23" style="149" bestFit="1" customWidth="1"/>
    <col min="7" max="7" width="6.140625" style="149" bestFit="1" customWidth="1"/>
    <col min="8" max="9" width="25.5703125" style="149" bestFit="1" customWidth="1"/>
    <col min="10" max="10" width="31.5703125" style="149" customWidth="1"/>
    <col min="11" max="11" width="23.7109375" style="149" customWidth="1"/>
    <col min="12" max="12" width="25.85546875" style="149" customWidth="1"/>
    <col min="13" max="13" width="20.7109375" style="149" bestFit="1" customWidth="1"/>
    <col min="14" max="14" width="22.5703125" style="149" customWidth="1"/>
    <col min="15" max="15" width="17" style="149" bestFit="1" customWidth="1"/>
    <col min="16" max="16" width="15.5703125" style="149" bestFit="1" customWidth="1"/>
    <col min="17" max="17" width="20.140625" style="149" bestFit="1" customWidth="1"/>
    <col min="18" max="18" width="16.7109375" style="149" bestFit="1" customWidth="1"/>
    <col min="19" max="19" width="15.7109375" style="149" bestFit="1" customWidth="1"/>
    <col min="20" max="16384" width="11.42578125" style="149"/>
  </cols>
  <sheetData>
    <row r="1" spans="1:19" ht="14.25" customHeight="1">
      <c r="A1" s="152"/>
    </row>
    <row r="2" spans="1:19" s="140" customFormat="1" ht="33.75" customHeight="1">
      <c r="A2" s="1274" t="s">
        <v>2029</v>
      </c>
      <c r="B2" s="1274"/>
      <c r="C2" s="1274"/>
      <c r="D2" s="1274"/>
      <c r="E2" s="1274"/>
      <c r="F2" s="1274"/>
      <c r="G2" s="1274"/>
      <c r="H2" s="1274"/>
      <c r="I2" s="1274"/>
      <c r="J2" s="1274"/>
      <c r="K2" s="1274"/>
      <c r="L2" s="1274"/>
      <c r="M2" s="1274"/>
      <c r="N2" s="1274"/>
      <c r="O2" s="1274"/>
      <c r="P2" s="139"/>
      <c r="Q2" s="139"/>
    </row>
    <row r="3" spans="1:19" s="140" customFormat="1" ht="33.75" customHeight="1">
      <c r="A3" s="1274"/>
      <c r="B3" s="1274"/>
      <c r="C3" s="1274"/>
      <c r="D3" s="1274"/>
      <c r="E3" s="1274"/>
      <c r="F3" s="1274"/>
      <c r="G3" s="1274"/>
      <c r="H3" s="1274"/>
      <c r="I3" s="1274"/>
      <c r="J3" s="1274"/>
      <c r="K3" s="1274"/>
      <c r="L3" s="1274"/>
      <c r="M3" s="1274"/>
      <c r="N3" s="1274"/>
      <c r="O3" s="1274"/>
      <c r="P3" s="139"/>
      <c r="Q3" s="139"/>
    </row>
    <row r="4" spans="1:19" s="140" customFormat="1" ht="34.5" customHeight="1">
      <c r="A4" s="1274"/>
      <c r="B4" s="1274"/>
      <c r="C4" s="1274"/>
      <c r="D4" s="1274"/>
      <c r="E4" s="1274"/>
      <c r="F4" s="1274"/>
      <c r="G4" s="1274"/>
      <c r="H4" s="1274"/>
      <c r="I4" s="1274"/>
      <c r="J4" s="1274"/>
      <c r="K4" s="1274"/>
      <c r="L4" s="1274"/>
      <c r="M4" s="1274"/>
      <c r="N4" s="1274"/>
      <c r="O4" s="1274"/>
      <c r="P4" s="139"/>
      <c r="Q4" s="139"/>
    </row>
    <row r="7" spans="1:19" ht="15.75">
      <c r="A7" s="159" t="s">
        <v>57</v>
      </c>
      <c r="B7" s="160">
        <v>108935190000</v>
      </c>
      <c r="D7" s="157"/>
      <c r="E7" s="161"/>
      <c r="F7" s="157"/>
      <c r="G7" s="161"/>
      <c r="H7" s="157"/>
      <c r="I7" s="157"/>
      <c r="J7" s="157"/>
      <c r="K7" s="157"/>
      <c r="L7" s="157"/>
      <c r="M7" s="157"/>
      <c r="N7" s="157"/>
      <c r="O7" s="157"/>
    </row>
    <row r="8" spans="1:19" ht="26.25" customHeight="1" thickBot="1">
      <c r="A8" s="162" t="s">
        <v>58</v>
      </c>
      <c r="B8" s="163"/>
      <c r="C8" s="163"/>
      <c r="D8" s="163"/>
      <c r="E8" s="164"/>
      <c r="F8" s="163"/>
      <c r="G8" s="164"/>
      <c r="H8" s="157"/>
      <c r="I8" s="157"/>
      <c r="J8" s="157"/>
      <c r="K8" s="157"/>
      <c r="L8" s="157"/>
      <c r="M8" s="157"/>
      <c r="N8" s="157"/>
      <c r="O8" s="157"/>
    </row>
    <row r="9" spans="1:19" ht="15.75">
      <c r="A9" s="1275" t="s">
        <v>59</v>
      </c>
      <c r="B9" s="1267" t="s">
        <v>267</v>
      </c>
      <c r="C9" s="1267" t="s">
        <v>60</v>
      </c>
      <c r="D9" s="1267" t="s">
        <v>61</v>
      </c>
      <c r="E9" s="1270" t="s">
        <v>62</v>
      </c>
      <c r="F9" s="1267" t="s">
        <v>63</v>
      </c>
      <c r="G9" s="1270" t="s">
        <v>62</v>
      </c>
      <c r="H9" s="1270" t="s">
        <v>268</v>
      </c>
      <c r="I9" s="1270"/>
      <c r="J9" s="1270"/>
      <c r="K9" s="1270"/>
      <c r="L9" s="1267" t="s">
        <v>60</v>
      </c>
      <c r="M9" s="1267" t="s">
        <v>61</v>
      </c>
      <c r="N9" s="1270" t="s">
        <v>62</v>
      </c>
      <c r="O9" s="1267" t="s">
        <v>63</v>
      </c>
      <c r="P9" s="1258" t="s">
        <v>62</v>
      </c>
      <c r="Q9" s="1263" t="s">
        <v>65</v>
      </c>
      <c r="R9" s="1264"/>
    </row>
    <row r="10" spans="1:19" ht="57" customHeight="1" thickBot="1">
      <c r="A10" s="1276"/>
      <c r="B10" s="1268"/>
      <c r="C10" s="1268"/>
      <c r="D10" s="1268"/>
      <c r="E10" s="1271"/>
      <c r="F10" s="1268"/>
      <c r="G10" s="1271"/>
      <c r="H10" s="765" t="s">
        <v>269</v>
      </c>
      <c r="I10" s="765" t="s">
        <v>271</v>
      </c>
      <c r="J10" s="765" t="s">
        <v>599</v>
      </c>
      <c r="K10" s="766" t="s">
        <v>270</v>
      </c>
      <c r="L10" s="1268"/>
      <c r="M10" s="1268"/>
      <c r="N10" s="1271"/>
      <c r="O10" s="1268"/>
      <c r="P10" s="1259"/>
      <c r="Q10" s="1265"/>
      <c r="R10" s="1266"/>
    </row>
    <row r="11" spans="1:19" ht="78.75" customHeight="1">
      <c r="A11" s="169">
        <v>44957</v>
      </c>
      <c r="B11" s="170">
        <f>+'Cta 29020102'!G21</f>
        <v>14124426495.83</v>
      </c>
      <c r="C11" s="171">
        <f>100%-('Cta 29020102'!G21/B7)</f>
        <v>0.87034101197390856</v>
      </c>
      <c r="D11" s="170">
        <f>B11*E11</f>
        <v>11299541196.664001</v>
      </c>
      <c r="E11" s="171">
        <v>0.8</v>
      </c>
      <c r="F11" s="170">
        <f>B11*G11</f>
        <v>2824885299.1660004</v>
      </c>
      <c r="G11" s="171">
        <v>0.2</v>
      </c>
      <c r="H11" s="170">
        <f>+'Enero - 2023'!L24</f>
        <v>14148791348.084026</v>
      </c>
      <c r="I11" s="302">
        <f>+'Enero - 2023'!L25</f>
        <v>2693340602.1334329</v>
      </c>
      <c r="J11" s="784">
        <f>+'Enero - 2023'!L26</f>
        <v>1386811051</v>
      </c>
      <c r="K11" s="170">
        <f>+H11+I11+J11</f>
        <v>18228943001.217461</v>
      </c>
      <c r="L11" s="303">
        <f>100%-(K11/B7)</f>
        <v>0.83266249408278936</v>
      </c>
      <c r="M11" s="302">
        <f>K11*N11</f>
        <v>14583154400.973969</v>
      </c>
      <c r="N11" s="171">
        <v>0.8</v>
      </c>
      <c r="O11" s="296">
        <f>K11*P11</f>
        <v>3645788600.2434921</v>
      </c>
      <c r="P11" s="304">
        <v>0.2</v>
      </c>
      <c r="Q11" s="1269">
        <f>+K11-I11-J11-B11</f>
        <v>24364852.25402832</v>
      </c>
      <c r="R11" s="1269"/>
      <c r="S11" s="30" t="s">
        <v>2072</v>
      </c>
    </row>
    <row r="12" spans="1:19">
      <c r="A12" s="172"/>
      <c r="B12" s="157"/>
      <c r="C12" s="157"/>
      <c r="D12" s="157"/>
      <c r="E12" s="161"/>
      <c r="F12" s="157"/>
      <c r="G12" s="161"/>
      <c r="H12" s="157"/>
      <c r="I12" s="157"/>
      <c r="J12" s="157"/>
      <c r="K12" s="157"/>
      <c r="L12" s="157"/>
      <c r="M12" s="157"/>
      <c r="N12" s="157"/>
      <c r="O12" s="157"/>
      <c r="Q12" s="157"/>
      <c r="R12" s="1128">
        <f>+Q11-24369999+5147</f>
        <v>0.2540283203125</v>
      </c>
      <c r="S12" s="1129">
        <f>-24369999+5147</f>
        <v>-24364852</v>
      </c>
    </row>
    <row r="13" spans="1:19" ht="15.75">
      <c r="A13" s="173" t="s">
        <v>66</v>
      </c>
      <c r="C13" s="157"/>
      <c r="D13" s="157"/>
      <c r="E13" s="161"/>
      <c r="F13" s="157"/>
      <c r="G13" s="161"/>
      <c r="H13" s="157"/>
      <c r="I13" s="157"/>
      <c r="J13" s="157"/>
      <c r="K13" s="157"/>
      <c r="L13" s="157"/>
      <c r="M13" s="157"/>
      <c r="N13" s="157"/>
      <c r="O13" s="157"/>
    </row>
    <row r="14" spans="1:19" ht="31.5">
      <c r="A14" s="165" t="s">
        <v>207</v>
      </c>
      <c r="B14" s="165" t="s">
        <v>67</v>
      </c>
      <c r="C14" s="165" t="s">
        <v>60</v>
      </c>
      <c r="D14" s="165" t="s">
        <v>61</v>
      </c>
      <c r="E14" s="166" t="s">
        <v>62</v>
      </c>
      <c r="F14" s="165" t="s">
        <v>63</v>
      </c>
      <c r="G14" s="166" t="s">
        <v>62</v>
      </c>
      <c r="H14" s="308" t="s">
        <v>273</v>
      </c>
      <c r="I14" s="309" t="s">
        <v>274</v>
      </c>
      <c r="J14" s="310" t="s">
        <v>64</v>
      </c>
      <c r="K14" s="167" t="s">
        <v>60</v>
      </c>
      <c r="L14" s="167" t="s">
        <v>61</v>
      </c>
      <c r="M14" s="168" t="s">
        <v>62</v>
      </c>
      <c r="N14" s="167" t="s">
        <v>63</v>
      </c>
      <c r="O14" s="168" t="s">
        <v>62</v>
      </c>
      <c r="P14" s="1261" t="s">
        <v>65</v>
      </c>
      <c r="Q14" s="1261"/>
    </row>
    <row r="15" spans="1:19">
      <c r="A15" s="243" t="s">
        <v>170</v>
      </c>
      <c r="B15" s="550">
        <f>+VLOOKUP(A15,'[6]CORRIENTE NO CORRIENTE ENERO 20'!$C$2:$G$30,5,0)</f>
        <v>50345911.689999998</v>
      </c>
      <c r="C15" s="400">
        <f>+VLOOKUP(A15,$B$90:$F$111,5,0)</f>
        <v>8.4699903377134081E-2</v>
      </c>
      <c r="D15" s="157">
        <f>B15*E15</f>
        <v>47828616.105499998</v>
      </c>
      <c r="E15" s="174">
        <v>0.95</v>
      </c>
      <c r="F15" s="157">
        <f t="shared" ref="F15:F22" si="0">B15*G15</f>
        <v>2517295.5844999999</v>
      </c>
      <c r="G15" s="174">
        <v>0.05</v>
      </c>
      <c r="H15" s="314">
        <f>+B15</f>
        <v>50345911.689999998</v>
      </c>
      <c r="I15" s="305">
        <f>+VLOOKUP(A15,Adhesiones!$A$62:$G$83,6,0)</f>
        <v>314653778.98727179</v>
      </c>
      <c r="J15" s="311">
        <f>+H15+I15</f>
        <v>364999690.67727178</v>
      </c>
      <c r="K15" s="400">
        <f t="shared" ref="K15:K29" si="1">+F90</f>
        <v>8.4699903377134081E-2</v>
      </c>
      <c r="L15" s="157">
        <f>J15*M15</f>
        <v>346749706.14340818</v>
      </c>
      <c r="M15" s="174">
        <v>0.95</v>
      </c>
      <c r="N15" s="157">
        <f>J15*O15</f>
        <v>18249984.533863589</v>
      </c>
      <c r="O15" s="174">
        <v>0.05</v>
      </c>
      <c r="P15" s="367">
        <f>+J15-I15-B15</f>
        <v>0</v>
      </c>
      <c r="Q15" s="367"/>
    </row>
    <row r="16" spans="1:19">
      <c r="A16" s="243" t="s">
        <v>179</v>
      </c>
      <c r="B16" s="550">
        <v>0</v>
      </c>
      <c r="C16" s="400">
        <f t="shared" ref="C16:C34" si="2">+VLOOKUP(A16,$B$90:$F$111,5,0)</f>
        <v>0</v>
      </c>
      <c r="D16" s="157">
        <f t="shared" ref="D16:D22" si="3">B16*E16</f>
        <v>0</v>
      </c>
      <c r="E16" s="174">
        <v>0.95</v>
      </c>
      <c r="F16" s="157">
        <f t="shared" si="0"/>
        <v>0</v>
      </c>
      <c r="G16" s="174">
        <v>0.05</v>
      </c>
      <c r="H16" s="314">
        <f t="shared" ref="H16:H36" si="4">+B16</f>
        <v>0</v>
      </c>
      <c r="I16" s="305">
        <f>+VLOOKUP(A16,Adhesiones!$A$62:$G$83,6,0)</f>
        <v>259850834.23000002</v>
      </c>
      <c r="J16" s="311">
        <f t="shared" ref="J16:J36" si="5">+H16+I16</f>
        <v>259850834.23000002</v>
      </c>
      <c r="K16" s="400">
        <f t="shared" si="1"/>
        <v>0</v>
      </c>
      <c r="L16" s="157">
        <f t="shared" ref="L16:L22" si="6">J16*M16</f>
        <v>246858292.5185</v>
      </c>
      <c r="M16" s="174">
        <v>0.95</v>
      </c>
      <c r="N16" s="157">
        <f t="shared" ref="N16:N22" si="7">J16*O16</f>
        <v>12992541.711500002</v>
      </c>
      <c r="O16" s="174">
        <v>0.05</v>
      </c>
      <c r="P16" s="367">
        <f t="shared" ref="P16:P36" si="8">+J16-I16-B16</f>
        <v>0</v>
      </c>
      <c r="Q16" s="367"/>
    </row>
    <row r="17" spans="1:17">
      <c r="A17" s="272" t="s">
        <v>627</v>
      </c>
      <c r="B17" s="550">
        <f>+VLOOKUP(A17,'[6]CORRIENTE NO CORRIENTE ENERO 20'!$C$2:$G$30,5,0)</f>
        <v>20858693</v>
      </c>
      <c r="C17" s="400">
        <f t="shared" si="2"/>
        <v>0</v>
      </c>
      <c r="D17" s="157">
        <f t="shared" si="3"/>
        <v>19815758.349999998</v>
      </c>
      <c r="E17" s="174">
        <v>0.95</v>
      </c>
      <c r="F17" s="157">
        <f t="shared" si="0"/>
        <v>1042934.65</v>
      </c>
      <c r="G17" s="174">
        <v>0.05</v>
      </c>
      <c r="H17" s="314">
        <f t="shared" si="4"/>
        <v>20858693</v>
      </c>
      <c r="I17" s="305">
        <f>+VLOOKUP(A17,Adhesiones!$A$62:$G$83,6,0)</f>
        <v>273972624.13333333</v>
      </c>
      <c r="J17" s="311">
        <f t="shared" si="5"/>
        <v>294831317.13333333</v>
      </c>
      <c r="K17" s="400">
        <f t="shared" si="1"/>
        <v>0</v>
      </c>
      <c r="L17" s="157">
        <f t="shared" si="6"/>
        <v>280089751.27666664</v>
      </c>
      <c r="M17" s="174">
        <v>0.95</v>
      </c>
      <c r="N17" s="157">
        <f t="shared" si="7"/>
        <v>14741565.856666667</v>
      </c>
      <c r="O17" s="174">
        <v>0.05</v>
      </c>
      <c r="P17" s="367">
        <f t="shared" si="8"/>
        <v>0</v>
      </c>
      <c r="Q17" s="367"/>
    </row>
    <row r="18" spans="1:17">
      <c r="A18" s="272" t="s">
        <v>210</v>
      </c>
      <c r="B18" s="550">
        <f>+VLOOKUP(A18,'[6]CORRIENTE NO CORRIENTE ENERO 20'!$C$2:$G$30,5,0)</f>
        <v>25512695</v>
      </c>
      <c r="C18" s="400">
        <f t="shared" si="2"/>
        <v>0</v>
      </c>
      <c r="D18" s="157">
        <f t="shared" si="3"/>
        <v>24237060.25</v>
      </c>
      <c r="E18" s="174">
        <v>0.95</v>
      </c>
      <c r="F18" s="157">
        <f t="shared" si="0"/>
        <v>1275634.75</v>
      </c>
      <c r="G18" s="174">
        <v>0.05</v>
      </c>
      <c r="H18" s="314">
        <f t="shared" si="4"/>
        <v>25512695</v>
      </c>
      <c r="I18" s="305">
        <f>+VLOOKUP(A18,Adhesiones!$A$62:$G$83,6,0)</f>
        <v>520059512.38000005</v>
      </c>
      <c r="J18" s="311">
        <f t="shared" si="5"/>
        <v>545572207.38000011</v>
      </c>
      <c r="K18" s="400">
        <f t="shared" si="1"/>
        <v>0</v>
      </c>
      <c r="L18" s="157">
        <f t="shared" si="6"/>
        <v>518293597.0110001</v>
      </c>
      <c r="M18" s="174">
        <v>0.95</v>
      </c>
      <c r="N18" s="157">
        <f t="shared" si="7"/>
        <v>27278610.369000006</v>
      </c>
      <c r="O18" s="174">
        <v>0.05</v>
      </c>
      <c r="P18" s="367">
        <f t="shared" si="8"/>
        <v>5.9604644775390625E-8</v>
      </c>
      <c r="Q18" s="367"/>
    </row>
    <row r="19" spans="1:17">
      <c r="A19" s="272" t="s">
        <v>220</v>
      </c>
      <c r="B19" s="550">
        <f>+VLOOKUP(A19,'[6]CORRIENTE NO CORRIENTE ENERO 20'!$C$2:$G$30,5,0)</f>
        <v>33501360</v>
      </c>
      <c r="C19" s="400">
        <f t="shared" si="2"/>
        <v>4.4444112510572016E-2</v>
      </c>
      <c r="D19" s="157">
        <f t="shared" si="3"/>
        <v>31826292</v>
      </c>
      <c r="E19" s="174">
        <v>0.95</v>
      </c>
      <c r="F19" s="157">
        <f t="shared" si="0"/>
        <v>1675068</v>
      </c>
      <c r="G19" s="174">
        <v>0.05</v>
      </c>
      <c r="H19" s="314">
        <f t="shared" si="4"/>
        <v>33501360</v>
      </c>
      <c r="I19" s="305">
        <f>+VLOOKUP(A19,Adhesiones!$A$62:$G$83,6,0)</f>
        <v>619229204.45000005</v>
      </c>
      <c r="J19" s="311">
        <f t="shared" si="5"/>
        <v>652730564.45000005</v>
      </c>
      <c r="K19" s="400">
        <f t="shared" si="1"/>
        <v>4.4444112510572016E-2</v>
      </c>
      <c r="L19" s="157">
        <f t="shared" si="6"/>
        <v>620094036.22749996</v>
      </c>
      <c r="M19" s="174">
        <v>0.95</v>
      </c>
      <c r="N19" s="157">
        <f t="shared" si="7"/>
        <v>32636528.222500004</v>
      </c>
      <c r="O19" s="174">
        <v>0.05</v>
      </c>
      <c r="P19" s="367">
        <f t="shared" si="8"/>
        <v>0</v>
      </c>
      <c r="Q19" s="367"/>
    </row>
    <row r="20" spans="1:17">
      <c r="A20" s="272" t="s">
        <v>221</v>
      </c>
      <c r="B20" s="550">
        <f>+VLOOKUP(A20,'[6]CORRIENTE NO CORRIENTE ENERO 20'!$C$2:$G$30,5,0)</f>
        <v>20720157</v>
      </c>
      <c r="C20" s="400">
        <f t="shared" si="2"/>
        <v>0</v>
      </c>
      <c r="D20" s="157">
        <f t="shared" si="3"/>
        <v>19684149.149999999</v>
      </c>
      <c r="E20" s="174">
        <v>0.95</v>
      </c>
      <c r="F20" s="157">
        <f t="shared" si="0"/>
        <v>1036007.8500000001</v>
      </c>
      <c r="G20" s="174">
        <v>0.05</v>
      </c>
      <c r="H20" s="314">
        <f t="shared" si="4"/>
        <v>20720157</v>
      </c>
      <c r="I20" s="305">
        <f>+VLOOKUP(A20,Adhesiones!$A$62:$G$83,6,0)</f>
        <v>913949048.91500008</v>
      </c>
      <c r="J20" s="311">
        <f t="shared" si="5"/>
        <v>934669205.91500008</v>
      </c>
      <c r="K20" s="400">
        <f t="shared" si="1"/>
        <v>0</v>
      </c>
      <c r="L20" s="157">
        <f t="shared" si="6"/>
        <v>887935745.61925006</v>
      </c>
      <c r="M20" s="174">
        <v>0.95</v>
      </c>
      <c r="N20" s="157">
        <f t="shared" si="7"/>
        <v>46733460.295750007</v>
      </c>
      <c r="O20" s="174">
        <v>0.05</v>
      </c>
      <c r="P20" s="367">
        <f t="shared" si="8"/>
        <v>0</v>
      </c>
      <c r="Q20" s="367"/>
    </row>
    <row r="21" spans="1:17">
      <c r="A21" s="243" t="s">
        <v>628</v>
      </c>
      <c r="B21" s="550">
        <f>+VLOOKUP(A21,'[6]CORRIENTE NO CORRIENTE ENERO 20'!$C$2:$G$30,5,0)</f>
        <v>14198011</v>
      </c>
      <c r="C21" s="400">
        <f t="shared" si="2"/>
        <v>0</v>
      </c>
      <c r="D21" s="157">
        <f t="shared" si="3"/>
        <v>13488110.449999999</v>
      </c>
      <c r="E21" s="174">
        <v>0.95</v>
      </c>
      <c r="F21" s="157">
        <f t="shared" si="0"/>
        <v>709900.55</v>
      </c>
      <c r="G21" s="174">
        <v>0.05</v>
      </c>
      <c r="H21" s="314">
        <f t="shared" si="4"/>
        <v>14198011</v>
      </c>
      <c r="I21" s="305">
        <f>+VLOOKUP(A21,Adhesiones!$A$62:$G$83,6,0)</f>
        <v>212563007.74000001</v>
      </c>
      <c r="J21" s="311">
        <f t="shared" si="5"/>
        <v>226761018.74000001</v>
      </c>
      <c r="K21" s="400">
        <f t="shared" si="1"/>
        <v>0</v>
      </c>
      <c r="L21" s="157">
        <f t="shared" si="6"/>
        <v>215422967.803</v>
      </c>
      <c r="M21" s="174">
        <v>0.95</v>
      </c>
      <c r="N21" s="157">
        <f t="shared" si="7"/>
        <v>11338050.937000001</v>
      </c>
      <c r="O21" s="174">
        <v>0.05</v>
      </c>
      <c r="P21" s="367">
        <f t="shared" si="8"/>
        <v>0</v>
      </c>
      <c r="Q21" s="367"/>
    </row>
    <row r="22" spans="1:17">
      <c r="A22" s="272" t="s">
        <v>169</v>
      </c>
      <c r="B22" s="550">
        <f>+VLOOKUP(A22,'[6]CORRIENTE NO CORRIENTE ENERO 20'!$C$2:$G$30,5,0)</f>
        <v>520073</v>
      </c>
      <c r="C22" s="400">
        <f t="shared" si="2"/>
        <v>0</v>
      </c>
      <c r="D22" s="157">
        <f t="shared" si="3"/>
        <v>494069.35</v>
      </c>
      <c r="E22" s="174">
        <v>0.95</v>
      </c>
      <c r="F22" s="157">
        <f t="shared" si="0"/>
        <v>26003.65</v>
      </c>
      <c r="G22" s="174">
        <v>0.05</v>
      </c>
      <c r="H22" s="314">
        <f t="shared" si="4"/>
        <v>520073</v>
      </c>
      <c r="I22" s="305">
        <f>+VLOOKUP(A22,Adhesiones!$A$62:$G$83,6,0)</f>
        <v>297001637.05999994</v>
      </c>
      <c r="J22" s="311">
        <f t="shared" si="5"/>
        <v>297521710.05999994</v>
      </c>
      <c r="K22" s="400">
        <f t="shared" si="1"/>
        <v>0</v>
      </c>
      <c r="L22" s="157">
        <f t="shared" si="6"/>
        <v>282645624.55699992</v>
      </c>
      <c r="M22" s="174">
        <v>0.95</v>
      </c>
      <c r="N22" s="157">
        <f t="shared" si="7"/>
        <v>14876085.502999999</v>
      </c>
      <c r="O22" s="174">
        <v>0.05</v>
      </c>
      <c r="P22" s="367">
        <f t="shared" si="8"/>
        <v>0</v>
      </c>
      <c r="Q22" s="367"/>
    </row>
    <row r="23" spans="1:17">
      <c r="A23" s="243" t="s">
        <v>467</v>
      </c>
      <c r="B23" s="550">
        <f>+VLOOKUP(A23,'[6]CORRIENTE NO CORRIENTE ENERO 20'!$C$2:$G$30,5,0)</f>
        <v>56832602</v>
      </c>
      <c r="C23" s="400">
        <f t="shared" si="2"/>
        <v>0.18146400757575654</v>
      </c>
      <c r="D23" s="157">
        <f t="shared" ref="D23:D36" si="9">B23*E23</f>
        <v>53990971.899999999</v>
      </c>
      <c r="E23" s="174">
        <v>0.95</v>
      </c>
      <c r="F23" s="157">
        <f t="shared" ref="F23:F36" si="10">B23*G23</f>
        <v>2841630.1</v>
      </c>
      <c r="G23" s="174">
        <v>0.05</v>
      </c>
      <c r="H23" s="314">
        <f t="shared" si="4"/>
        <v>56832602</v>
      </c>
      <c r="I23" s="305">
        <f>+VLOOKUP(A23,Adhesiones!$A$62:$G$83,6,0)</f>
        <v>221459241.33333331</v>
      </c>
      <c r="J23" s="311">
        <f t="shared" si="5"/>
        <v>278291843.33333331</v>
      </c>
      <c r="K23" s="400">
        <f t="shared" si="1"/>
        <v>0.18146400757575654</v>
      </c>
      <c r="L23" s="157">
        <f t="shared" ref="L23:L36" si="11">J23*M23</f>
        <v>264377251.16666663</v>
      </c>
      <c r="M23" s="174">
        <v>0.95</v>
      </c>
      <c r="N23" s="157">
        <f t="shared" ref="N23:N36" si="12">J23*O23</f>
        <v>13914592.166666666</v>
      </c>
      <c r="O23" s="174">
        <v>0.05</v>
      </c>
      <c r="P23" s="367">
        <f t="shared" si="8"/>
        <v>0</v>
      </c>
      <c r="Q23" s="367"/>
    </row>
    <row r="24" spans="1:17">
      <c r="A24" s="243" t="s">
        <v>182</v>
      </c>
      <c r="B24" s="550">
        <f>+VLOOKUP(A24,'[6]CORRIENTE NO CORRIENTE ENERO 20'!$C$2:$G$30,5,0)</f>
        <v>31840570</v>
      </c>
      <c r="C24" s="400">
        <f t="shared" si="2"/>
        <v>0</v>
      </c>
      <c r="D24" s="157">
        <f t="shared" si="9"/>
        <v>30248541.5</v>
      </c>
      <c r="E24" s="174">
        <v>0.95</v>
      </c>
      <c r="F24" s="157">
        <f t="shared" si="10"/>
        <v>1592028.5</v>
      </c>
      <c r="G24" s="174">
        <v>0.05</v>
      </c>
      <c r="H24" s="314">
        <f t="shared" si="4"/>
        <v>31840570</v>
      </c>
      <c r="I24" s="305">
        <f>+VLOOKUP(A24,Adhesiones!$A$62:$G$83,6,0)</f>
        <v>401993209.204</v>
      </c>
      <c r="J24" s="311">
        <f t="shared" si="5"/>
        <v>433833779.204</v>
      </c>
      <c r="K24" s="400">
        <f t="shared" si="1"/>
        <v>0</v>
      </c>
      <c r="L24" s="157">
        <f t="shared" si="11"/>
        <v>412142090.24379998</v>
      </c>
      <c r="M24" s="174">
        <v>0.95</v>
      </c>
      <c r="N24" s="157">
        <f t="shared" si="12"/>
        <v>21691688.960200001</v>
      </c>
      <c r="O24" s="174">
        <v>0.05</v>
      </c>
      <c r="P24" s="367">
        <f t="shared" si="8"/>
        <v>0</v>
      </c>
      <c r="Q24" s="367"/>
    </row>
    <row r="25" spans="1:17">
      <c r="A25" s="243" t="s">
        <v>183</v>
      </c>
      <c r="B25" s="550">
        <f>+VLOOKUP(A25,'[6]CORRIENTE NO CORRIENTE ENERO 20'!$C$2:$G$30,5,0)</f>
        <v>0.37</v>
      </c>
      <c r="C25" s="400">
        <f t="shared" si="2"/>
        <v>9.5145141057142876E-2</v>
      </c>
      <c r="D25" s="157">
        <f t="shared" si="9"/>
        <v>0.35149999999999998</v>
      </c>
      <c r="E25" s="174">
        <v>0.95</v>
      </c>
      <c r="F25" s="157">
        <f t="shared" si="10"/>
        <v>1.8499999999999999E-2</v>
      </c>
      <c r="G25" s="174">
        <v>0.05</v>
      </c>
      <c r="H25" s="314">
        <f t="shared" si="4"/>
        <v>0.37</v>
      </c>
      <c r="I25" s="305">
        <f>+VLOOKUP(A25,Adhesiones!$A$62:$G$83,6,0)</f>
        <v>297532665.54999995</v>
      </c>
      <c r="J25" s="311">
        <f t="shared" si="5"/>
        <v>297532665.91999996</v>
      </c>
      <c r="K25" s="400">
        <f t="shared" si="1"/>
        <v>9.5145141057142876E-2</v>
      </c>
      <c r="L25" s="157">
        <f t="shared" si="11"/>
        <v>282656032.62399995</v>
      </c>
      <c r="M25" s="174">
        <v>0.95</v>
      </c>
      <c r="N25" s="157">
        <f t="shared" si="12"/>
        <v>14876633.295999998</v>
      </c>
      <c r="O25" s="174">
        <v>0.05</v>
      </c>
      <c r="P25" s="367">
        <f t="shared" si="8"/>
        <v>4.7683715864721421E-9</v>
      </c>
      <c r="Q25" s="367"/>
    </row>
    <row r="26" spans="1:17">
      <c r="A26" s="243" t="s">
        <v>629</v>
      </c>
      <c r="B26" s="550">
        <f>+VLOOKUP(A26,'[6]CORRIENTE NO CORRIENTE ENERO 20'!$C$2:$G$30,5,0)</f>
        <v>82644650.200000003</v>
      </c>
      <c r="C26" s="400">
        <f t="shared" si="2"/>
        <v>9.8437603422303399E-2</v>
      </c>
      <c r="D26" s="157">
        <f t="shared" si="9"/>
        <v>78512417.689999998</v>
      </c>
      <c r="E26" s="174">
        <v>0.95</v>
      </c>
      <c r="F26" s="157">
        <f t="shared" si="10"/>
        <v>4132232.5100000002</v>
      </c>
      <c r="G26" s="174">
        <v>0.05</v>
      </c>
      <c r="H26" s="314">
        <f t="shared" si="4"/>
        <v>82644650.200000003</v>
      </c>
      <c r="I26" s="305">
        <f>+VLOOKUP(A26,Adhesiones!$A$62:$G$83,6,0)</f>
        <v>471084176.50390482</v>
      </c>
      <c r="J26" s="311">
        <f t="shared" si="5"/>
        <v>553728826.70390487</v>
      </c>
      <c r="K26" s="400">
        <f t="shared" si="1"/>
        <v>9.8437603422303399E-2</v>
      </c>
      <c r="L26" s="157">
        <f t="shared" si="11"/>
        <v>526042385.36870962</v>
      </c>
      <c r="M26" s="174">
        <v>0.95</v>
      </c>
      <c r="N26" s="157">
        <f t="shared" si="12"/>
        <v>27686441.335195243</v>
      </c>
      <c r="O26" s="174">
        <v>0.05</v>
      </c>
      <c r="P26" s="367">
        <f t="shared" si="8"/>
        <v>0</v>
      </c>
      <c r="Q26" s="367"/>
    </row>
    <row r="27" spans="1:17">
      <c r="A27" s="243" t="s">
        <v>468</v>
      </c>
      <c r="B27" s="550">
        <f>+VLOOKUP(A27,'[6]CORRIENTE NO CORRIENTE ENERO 20'!$C$2:$G$30,5,0)</f>
        <v>3996145</v>
      </c>
      <c r="C27" s="400">
        <f t="shared" si="2"/>
        <v>0</v>
      </c>
      <c r="D27" s="157">
        <f t="shared" si="9"/>
        <v>3796337.75</v>
      </c>
      <c r="E27" s="174">
        <v>0.95</v>
      </c>
      <c r="F27" s="157">
        <f t="shared" si="10"/>
        <v>199807.25</v>
      </c>
      <c r="G27" s="174">
        <v>0.05</v>
      </c>
      <c r="H27" s="314">
        <f t="shared" si="4"/>
        <v>3996145</v>
      </c>
      <c r="I27" s="305">
        <f>+VLOOKUP(A27,Adhesiones!$A$62:$G$83,6,0)</f>
        <v>443689689.49842614</v>
      </c>
      <c r="J27" s="311">
        <f t="shared" si="5"/>
        <v>447685834.49842614</v>
      </c>
      <c r="K27" s="400">
        <f t="shared" si="1"/>
        <v>0</v>
      </c>
      <c r="L27" s="157">
        <f t="shared" si="11"/>
        <v>425301542.77350479</v>
      </c>
      <c r="M27" s="174">
        <v>0.95</v>
      </c>
      <c r="N27" s="157">
        <f t="shared" si="12"/>
        <v>22384291.724921308</v>
      </c>
      <c r="O27" s="174">
        <v>0.05</v>
      </c>
      <c r="P27" s="367">
        <f t="shared" si="8"/>
        <v>0</v>
      </c>
      <c r="Q27" s="367"/>
    </row>
    <row r="28" spans="1:17">
      <c r="A28" s="243" t="s">
        <v>630</v>
      </c>
      <c r="B28" s="550">
        <f>+VLOOKUP(A28,'[6]CORRIENTE NO CORRIENTE ENERO 20'!$C$2:$G$30,5,0)</f>
        <v>71850341</v>
      </c>
      <c r="C28" s="400">
        <f t="shared" si="2"/>
        <v>3.7732543333333333E-2</v>
      </c>
      <c r="D28" s="157">
        <f t="shared" si="9"/>
        <v>68257823.950000003</v>
      </c>
      <c r="E28" s="174">
        <v>0.95</v>
      </c>
      <c r="F28" s="157">
        <f t="shared" si="10"/>
        <v>3592517.0500000003</v>
      </c>
      <c r="G28" s="174">
        <v>0.05</v>
      </c>
      <c r="H28" s="314">
        <f t="shared" si="4"/>
        <v>71850341</v>
      </c>
      <c r="I28" s="305">
        <f>+VLOOKUP(A28,Adhesiones!$A$62:$G$83,6,0)</f>
        <v>560631053.63</v>
      </c>
      <c r="J28" s="311">
        <f t="shared" si="5"/>
        <v>632481394.63</v>
      </c>
      <c r="K28" s="400">
        <f t="shared" si="1"/>
        <v>3.7732543333333333E-2</v>
      </c>
      <c r="L28" s="157">
        <f t="shared" si="11"/>
        <v>600857324.89849997</v>
      </c>
      <c r="M28" s="174">
        <v>0.95</v>
      </c>
      <c r="N28" s="157">
        <f t="shared" si="12"/>
        <v>31624069.7315</v>
      </c>
      <c r="O28" s="174">
        <v>0.05</v>
      </c>
      <c r="P28" s="367">
        <f t="shared" si="8"/>
        <v>0</v>
      </c>
      <c r="Q28" s="367"/>
    </row>
    <row r="29" spans="1:17">
      <c r="A29" s="243" t="s">
        <v>631</v>
      </c>
      <c r="B29" s="550">
        <f>+VLOOKUP(A29,'[6]CORRIENTE NO CORRIENTE ENERO 20'!$C$2:$G$30,5,0)</f>
        <v>18012523</v>
      </c>
      <c r="C29" s="400">
        <f t="shared" si="2"/>
        <v>0</v>
      </c>
      <c r="D29" s="157">
        <f t="shared" si="9"/>
        <v>17111896.849999998</v>
      </c>
      <c r="E29" s="174">
        <v>0.95</v>
      </c>
      <c r="F29" s="157">
        <f t="shared" si="10"/>
        <v>900626.15</v>
      </c>
      <c r="G29" s="174">
        <v>0.05</v>
      </c>
      <c r="H29" s="314">
        <f t="shared" si="4"/>
        <v>18012523</v>
      </c>
      <c r="I29" s="305">
        <f>+VLOOKUP(A29,Adhesiones!$A$62:$G$83,6,0)</f>
        <v>641345311.11499989</v>
      </c>
      <c r="J29" s="311">
        <f t="shared" si="5"/>
        <v>659357834.11499989</v>
      </c>
      <c r="K29" s="400">
        <f t="shared" si="1"/>
        <v>0</v>
      </c>
      <c r="L29" s="157">
        <f t="shared" si="11"/>
        <v>626389942.4092499</v>
      </c>
      <c r="M29" s="174">
        <v>0.95</v>
      </c>
      <c r="N29" s="157">
        <f t="shared" si="12"/>
        <v>32967891.705749996</v>
      </c>
      <c r="O29" s="174">
        <v>0.05</v>
      </c>
      <c r="P29" s="367">
        <f t="shared" si="8"/>
        <v>0</v>
      </c>
      <c r="Q29" s="367"/>
    </row>
    <row r="30" spans="1:17">
      <c r="A30" s="1012" t="s">
        <v>470</v>
      </c>
      <c r="B30" s="550">
        <f>+VLOOKUP(A30,'[6]CORRIENTE NO CORRIENTE ENERO 20'!$C$2:$G$30,5,0)</f>
        <v>0</v>
      </c>
      <c r="C30" s="400">
        <f t="shared" si="2"/>
        <v>0.19211547233966994</v>
      </c>
      <c r="D30" s="157">
        <f>B30*E30</f>
        <v>0</v>
      </c>
      <c r="E30" s="174">
        <v>0.95</v>
      </c>
      <c r="F30" s="157">
        <f>B30*G30</f>
        <v>0</v>
      </c>
      <c r="G30" s="174">
        <v>0.05</v>
      </c>
      <c r="H30" s="314">
        <f t="shared" si="4"/>
        <v>0</v>
      </c>
      <c r="I30" s="305">
        <f>+VLOOKUP(A30,Adhesiones!$A$62:$G$83,6,0)</f>
        <v>310082429</v>
      </c>
      <c r="J30" s="311">
        <f>+H30+I30</f>
        <v>310082429</v>
      </c>
      <c r="K30" s="400">
        <f>+F102</f>
        <v>0</v>
      </c>
      <c r="L30" s="157">
        <f>J30*M30</f>
        <v>294578307.55000001</v>
      </c>
      <c r="M30" s="174">
        <v>0.95</v>
      </c>
      <c r="N30" s="157">
        <f>J30*O30</f>
        <v>15504121.450000001</v>
      </c>
      <c r="O30" s="174">
        <v>0.05</v>
      </c>
      <c r="P30" s="367">
        <f>+J30-I30-B30</f>
        <v>0</v>
      </c>
      <c r="Q30" s="367"/>
    </row>
    <row r="31" spans="1:17">
      <c r="A31" s="1012" t="s">
        <v>236</v>
      </c>
      <c r="B31" s="550">
        <f>+Adhesiones!H78</f>
        <v>10557133</v>
      </c>
      <c r="C31" s="400">
        <f t="shared" si="2"/>
        <v>0</v>
      </c>
      <c r="D31" s="157">
        <f>B31*E31</f>
        <v>10029276.35</v>
      </c>
      <c r="E31" s="174">
        <v>0.95</v>
      </c>
      <c r="F31" s="157">
        <f>B31*G31</f>
        <v>527856.65</v>
      </c>
      <c r="G31" s="174">
        <v>0.05</v>
      </c>
      <c r="H31" s="314">
        <f t="shared" si="4"/>
        <v>10557133</v>
      </c>
      <c r="I31" s="305">
        <f>+VLOOKUP(A31,Adhesiones!$A$62:$G$83,6,0)</f>
        <v>955822948.04500008</v>
      </c>
      <c r="J31" s="311">
        <f>+H31+I31</f>
        <v>966380081.04500008</v>
      </c>
      <c r="K31" s="400">
        <f>+F103</f>
        <v>3.7732543333333333E-2</v>
      </c>
      <c r="L31" s="157">
        <f>J31*M31</f>
        <v>918061076.99275005</v>
      </c>
      <c r="M31" s="174">
        <v>0.95</v>
      </c>
      <c r="N31" s="157">
        <f>J31*O31</f>
        <v>48319004.052250005</v>
      </c>
      <c r="O31" s="174">
        <v>0.05</v>
      </c>
      <c r="P31" s="367">
        <f>+J31-I31-B31</f>
        <v>0</v>
      </c>
      <c r="Q31" s="367"/>
    </row>
    <row r="32" spans="1:17">
      <c r="A32" s="243" t="s">
        <v>272</v>
      </c>
      <c r="B32" s="550">
        <f>+VLOOKUP(A32,'[6]CORRIENTE NO CORRIENTE ENERO 20'!$C$2:$G$30,5,0)</f>
        <v>210372949</v>
      </c>
      <c r="C32" s="400">
        <f t="shared" si="2"/>
        <v>0</v>
      </c>
      <c r="D32" s="157">
        <f>B32*E32</f>
        <v>199854301.54999998</v>
      </c>
      <c r="E32" s="174">
        <v>0.95</v>
      </c>
      <c r="F32" s="157">
        <f>B32*G32</f>
        <v>10518647.450000001</v>
      </c>
      <c r="G32" s="174">
        <v>0.05</v>
      </c>
      <c r="H32" s="314">
        <f t="shared" si="4"/>
        <v>210372949</v>
      </c>
      <c r="I32" s="305">
        <f>+VLOOKUP(A32,Adhesiones!$A$62:$G$83,6,0)</f>
        <v>624134522.40500009</v>
      </c>
      <c r="J32" s="311">
        <f>+H32+I32</f>
        <v>834507471.40500009</v>
      </c>
      <c r="K32" s="400">
        <f>+F101</f>
        <v>9.8437603422303399E-2</v>
      </c>
      <c r="L32" s="157">
        <f>J32*M32</f>
        <v>792782097.83475006</v>
      </c>
      <c r="M32" s="174">
        <v>0.95</v>
      </c>
      <c r="N32" s="157">
        <f>J32*O32</f>
        <v>41725373.570250005</v>
      </c>
      <c r="O32" s="174">
        <v>0.05</v>
      </c>
      <c r="P32" s="367">
        <f>+J32-I32-B32</f>
        <v>0</v>
      </c>
      <c r="Q32" s="367"/>
    </row>
    <row r="33" spans="1:17">
      <c r="A33" s="243" t="s">
        <v>300</v>
      </c>
      <c r="B33" s="550">
        <f>+VLOOKUP(A33,'[6]CORRIENTE NO CORRIENTE ENERO 20'!$C$2:$G$30,5,0)</f>
        <v>34064251</v>
      </c>
      <c r="C33" s="400">
        <f t="shared" si="2"/>
        <v>9.7679821733821656E-2</v>
      </c>
      <c r="D33" s="157">
        <f>B33*E33</f>
        <v>32361038.449999999</v>
      </c>
      <c r="E33" s="174">
        <v>0.95</v>
      </c>
      <c r="F33" s="157">
        <f>B33*G33</f>
        <v>1703212.55</v>
      </c>
      <c r="G33" s="174">
        <v>0.05</v>
      </c>
      <c r="H33" s="314">
        <f t="shared" si="4"/>
        <v>34064251</v>
      </c>
      <c r="I33" s="305">
        <f>+VLOOKUP(A33,Adhesiones!$A$62:$G$83,6,0)</f>
        <v>183797721.38999999</v>
      </c>
      <c r="J33" s="311">
        <f>+H33+I33</f>
        <v>217861972.38999999</v>
      </c>
      <c r="K33" s="400">
        <f>+F104</f>
        <v>0</v>
      </c>
      <c r="L33" s="157">
        <f>J33*M33</f>
        <v>206968873.77049997</v>
      </c>
      <c r="M33" s="174">
        <v>0.95</v>
      </c>
      <c r="N33" s="157">
        <f>J33*O33</f>
        <v>10893098.6195</v>
      </c>
      <c r="O33" s="174">
        <v>0.05</v>
      </c>
      <c r="P33" s="367">
        <f>+J33-I33-B33</f>
        <v>0</v>
      </c>
      <c r="Q33" s="367"/>
    </row>
    <row r="34" spans="1:17">
      <c r="A34" s="243" t="s">
        <v>632</v>
      </c>
      <c r="B34" s="550">
        <f>+VLOOKUP(A34,'[6]CORRIENTE NO CORRIENTE ENERO 20'!$C$2:$G$30,5,0)</f>
        <v>81088239.219999999</v>
      </c>
      <c r="C34" s="400">
        <f t="shared" si="2"/>
        <v>0.1031296536972708</v>
      </c>
      <c r="D34" s="157">
        <f t="shared" si="9"/>
        <v>77033827.258999988</v>
      </c>
      <c r="E34" s="174">
        <v>0.95</v>
      </c>
      <c r="F34" s="157">
        <f t="shared" si="10"/>
        <v>4054411.9610000001</v>
      </c>
      <c r="G34" s="174">
        <v>0.05</v>
      </c>
      <c r="H34" s="314">
        <f t="shared" si="4"/>
        <v>81088239.219999999</v>
      </c>
      <c r="I34" s="305">
        <f>+VLOOKUP(A34,Adhesiones!$A$62:$G$83,6,0)</f>
        <v>429136819.51903224</v>
      </c>
      <c r="J34" s="311">
        <f t="shared" si="5"/>
        <v>510225058.73903227</v>
      </c>
      <c r="K34" s="400">
        <f>+F105</f>
        <v>0.19211547233966994</v>
      </c>
      <c r="L34" s="157">
        <f t="shared" si="11"/>
        <v>484713805.80208063</v>
      </c>
      <c r="M34" s="174">
        <v>0.95</v>
      </c>
      <c r="N34" s="157">
        <f t="shared" si="12"/>
        <v>25511252.936951615</v>
      </c>
      <c r="O34" s="174">
        <v>0.05</v>
      </c>
      <c r="P34" s="367">
        <f t="shared" si="8"/>
        <v>0</v>
      </c>
      <c r="Q34" s="367"/>
    </row>
    <row r="35" spans="1:17">
      <c r="A35" s="243" t="s">
        <v>391</v>
      </c>
      <c r="B35" s="550">
        <f>+VLOOKUP(A35,'[6]CORRIENTE NO CORRIENTE ENERO 20'!$C$2:$G$30,5,0)</f>
        <v>56263943</v>
      </c>
      <c r="C35" s="400">
        <f>+VLOOKUP(A35,$B$90:$F$112,5,0)</f>
        <v>5.3333333333333337E-2</v>
      </c>
      <c r="D35" s="157">
        <f>B35*E35</f>
        <v>53450745.849999994</v>
      </c>
      <c r="E35" s="174">
        <v>0.95</v>
      </c>
      <c r="F35" s="157">
        <f>B35*G35</f>
        <v>2813197.1500000004</v>
      </c>
      <c r="G35" s="174">
        <v>0.05</v>
      </c>
      <c r="H35" s="314">
        <f t="shared" si="4"/>
        <v>56263943</v>
      </c>
      <c r="I35" s="305">
        <f>+VLOOKUP(A35,Adhesiones!$A$62:$G$83,6,0)</f>
        <v>382023582.27200007</v>
      </c>
      <c r="J35" s="311">
        <f>+H35+I35</f>
        <v>438287525.27200007</v>
      </c>
      <c r="K35" s="400">
        <f>+F105</f>
        <v>0.19211547233966994</v>
      </c>
      <c r="L35" s="157">
        <f>J35*M35</f>
        <v>416373149.00840002</v>
      </c>
      <c r="M35" s="174">
        <v>0.95</v>
      </c>
      <c r="N35" s="157">
        <f>J35*O35</f>
        <v>21914376.263600007</v>
      </c>
      <c r="O35" s="174">
        <v>0.05</v>
      </c>
      <c r="P35" s="367">
        <f>+J35-I35-B35</f>
        <v>0</v>
      </c>
      <c r="Q35" s="367"/>
    </row>
    <row r="36" spans="1:17">
      <c r="A36" s="243" t="s">
        <v>385</v>
      </c>
      <c r="B36" s="550">
        <f>+VLOOKUP(A36,'[6]CORRIENTE NO CORRIENTE ENERO 20'!$C$2:$G$30,5,0)</f>
        <v>7282050</v>
      </c>
      <c r="C36" s="400">
        <f>+VLOOKUP(A36,$B$90:$F$112,5,0)</f>
        <v>0</v>
      </c>
      <c r="D36" s="157">
        <f t="shared" si="9"/>
        <v>6917947.5</v>
      </c>
      <c r="E36" s="174">
        <v>0.95</v>
      </c>
      <c r="F36" s="157">
        <f t="shared" si="10"/>
        <v>364102.5</v>
      </c>
      <c r="G36" s="174">
        <v>0.05</v>
      </c>
      <c r="H36" s="314">
        <f t="shared" si="4"/>
        <v>7282050</v>
      </c>
      <c r="I36" s="305">
        <f>+VLOOKUP(A36,Adhesiones!$A$62:$G$83,6,0)</f>
        <v>238331913.29333332</v>
      </c>
      <c r="J36" s="311">
        <f t="shared" si="5"/>
        <v>245613963.29333332</v>
      </c>
      <c r="K36" s="400">
        <f>+F106</f>
        <v>0</v>
      </c>
      <c r="L36" s="157">
        <f t="shared" si="11"/>
        <v>233333265.12866664</v>
      </c>
      <c r="M36" s="174">
        <v>0.95</v>
      </c>
      <c r="N36" s="157">
        <f t="shared" si="12"/>
        <v>12280698.164666668</v>
      </c>
      <c r="O36" s="174">
        <v>0.05</v>
      </c>
      <c r="P36" s="367">
        <f t="shared" si="8"/>
        <v>0</v>
      </c>
      <c r="Q36" s="367"/>
    </row>
    <row r="37" spans="1:17" ht="15.75">
      <c r="A37" s="175" t="s">
        <v>68</v>
      </c>
      <c r="B37" s="401">
        <f>SUM(B15:B36)</f>
        <v>830462297.48000002</v>
      </c>
      <c r="C37" s="176"/>
      <c r="D37" s="176">
        <f>SUM(D15:D36)</f>
        <v>788939182.60600007</v>
      </c>
      <c r="E37" s="176"/>
      <c r="F37" s="176">
        <f>SUM(F15:F36)</f>
        <v>41523114.873999998</v>
      </c>
      <c r="G37" s="176"/>
      <c r="H37" s="315">
        <f>SUM(H15:H36)</f>
        <v>830462297.48000002</v>
      </c>
      <c r="I37" s="315">
        <f>SUM(I15:I36)</f>
        <v>9572344930.6546345</v>
      </c>
      <c r="J37" s="312">
        <f>SUM(J15:J36)</f>
        <v>10402807228.134634</v>
      </c>
      <c r="K37" s="177"/>
      <c r="L37" s="177">
        <f>SUM(L15:L36)</f>
        <v>9882666866.7279034</v>
      </c>
      <c r="M37" s="177"/>
      <c r="N37" s="177">
        <f>SUM(N15:N36)</f>
        <v>520140361.40673178</v>
      </c>
      <c r="O37" s="178"/>
      <c r="P37" s="372">
        <f>+J37-I37-B37</f>
        <v>0</v>
      </c>
      <c r="Q37" s="372"/>
    </row>
    <row r="38" spans="1:17" ht="15.75">
      <c r="A38" s="179" t="s">
        <v>69</v>
      </c>
      <c r="B38" s="180">
        <f>B11+B37</f>
        <v>14954888793.309999</v>
      </c>
      <c r="C38" s="180"/>
      <c r="D38" s="180">
        <f>D11+D37</f>
        <v>12088480379.270002</v>
      </c>
      <c r="E38" s="181"/>
      <c r="F38" s="180">
        <f>F11+F37</f>
        <v>2866408414.0400004</v>
      </c>
      <c r="G38" s="181"/>
      <c r="H38" s="316">
        <f>+H37+H11</f>
        <v>14979253645.564026</v>
      </c>
      <c r="I38" s="316">
        <f>+I37+I11</f>
        <v>12265685532.788067</v>
      </c>
      <c r="J38" s="313">
        <f>+H38+I38</f>
        <v>27244939178.352093</v>
      </c>
      <c r="K38" s="182"/>
      <c r="L38" s="180">
        <f>K11+L37</f>
        <v>28111609867.945366</v>
      </c>
      <c r="M38" s="182"/>
      <c r="N38" s="180">
        <f>M11+N37</f>
        <v>15103294762.380701</v>
      </c>
      <c r="O38" s="182"/>
      <c r="P38" s="1262">
        <f>B38-H38</f>
        <v>-24364852.254026413</v>
      </c>
      <c r="Q38" s="1262"/>
    </row>
    <row r="40" spans="1:17" s="513" customFormat="1" ht="15.75">
      <c r="A40" s="511" t="s">
        <v>363</v>
      </c>
      <c r="B40" s="512"/>
    </row>
    <row r="41" spans="1:17" s="513" customFormat="1" ht="15.75">
      <c r="A41" s="1256" t="s">
        <v>365</v>
      </c>
      <c r="B41" s="1256" t="s">
        <v>367</v>
      </c>
      <c r="C41" s="1256" t="s">
        <v>60</v>
      </c>
      <c r="D41" s="1256" t="s">
        <v>61</v>
      </c>
      <c r="E41" s="1272" t="s">
        <v>62</v>
      </c>
      <c r="F41" s="1256" t="s">
        <v>63</v>
      </c>
      <c r="G41" s="1272" t="s">
        <v>62</v>
      </c>
      <c r="H41" s="1255"/>
      <c r="I41" s="1255"/>
      <c r="J41" s="1255"/>
      <c r="K41" s="1260"/>
      <c r="L41" s="1260"/>
      <c r="M41" s="1255"/>
      <c r="N41" s="1260"/>
      <c r="O41" s="1255"/>
      <c r="P41" s="1255"/>
      <c r="Q41" s="1255"/>
    </row>
    <row r="42" spans="1:17" s="513" customFormat="1" ht="16.5" thickBot="1">
      <c r="A42" s="1257"/>
      <c r="B42" s="1257"/>
      <c r="C42" s="1257"/>
      <c r="D42" s="1257"/>
      <c r="E42" s="1273"/>
      <c r="F42" s="1257"/>
      <c r="G42" s="1273"/>
      <c r="H42" s="516"/>
      <c r="I42" s="516"/>
      <c r="J42" s="517"/>
      <c r="K42" s="1260"/>
      <c r="L42" s="1260"/>
      <c r="M42" s="1255"/>
      <c r="N42" s="1260"/>
      <c r="O42" s="1255"/>
      <c r="P42" s="1255"/>
      <c r="Q42" s="1255"/>
    </row>
    <row r="43" spans="1:17" s="513" customFormat="1" ht="31.5" customHeight="1">
      <c r="A43" s="525" t="s">
        <v>366</v>
      </c>
      <c r="B43" s="808">
        <f>+'Anexo 2 Sena'!F71-'Anexo 2 Sena'!E65+'Anexo 2 Sena'!F79</f>
        <v>690784083</v>
      </c>
      <c r="C43" s="520"/>
      <c r="D43" s="519">
        <f>B43*E43</f>
        <v>690784083</v>
      </c>
      <c r="E43" s="826">
        <v>1</v>
      </c>
      <c r="F43" s="519">
        <f>B43*G43</f>
        <v>0</v>
      </c>
      <c r="G43" s="827">
        <v>0</v>
      </c>
      <c r="H43" s="571"/>
      <c r="I43" s="720"/>
      <c r="J43" s="518"/>
      <c r="K43" s="518"/>
      <c r="L43" s="518"/>
      <c r="M43" s="518"/>
      <c r="N43" s="518"/>
      <c r="O43" s="518"/>
      <c r="P43" s="519"/>
      <c r="Q43" s="520"/>
    </row>
    <row r="44" spans="1:17" s="513" customFormat="1" ht="15.75">
      <c r="A44" s="529" t="s">
        <v>170</v>
      </c>
      <c r="B44" s="550">
        <f>+VLOOKUP(A44,'[6]CORRIENTE NO CORRIENTE ENERO 20'!$C$31:$G$57,5,0)</f>
        <v>352149.33</v>
      </c>
      <c r="C44" s="526"/>
      <c r="D44" s="527">
        <f>B44*E44</f>
        <v>352149.33</v>
      </c>
      <c r="E44" s="303">
        <v>1</v>
      </c>
      <c r="F44" s="527">
        <f t="shared" ref="F44:F65" si="13">B44*G44</f>
        <v>0</v>
      </c>
      <c r="G44" s="528">
        <v>0</v>
      </c>
      <c r="H44" s="518"/>
      <c r="I44" s="720"/>
      <c r="J44" s="518"/>
      <c r="K44" s="518"/>
      <c r="L44" s="518"/>
      <c r="M44" s="518"/>
      <c r="N44" s="518"/>
      <c r="O44" s="518"/>
      <c r="P44" s="519"/>
      <c r="Q44" s="520"/>
    </row>
    <row r="45" spans="1:17" s="513" customFormat="1" ht="15.75">
      <c r="A45" s="529" t="s">
        <v>179</v>
      </c>
      <c r="B45" s="550">
        <f>+VLOOKUP(A45,'[6]CORRIENTE NO CORRIENTE ENERO 20'!$C$31:$G$57,5,0)</f>
        <v>329343.40999999997</v>
      </c>
      <c r="C45" s="526"/>
      <c r="D45" s="527">
        <f t="shared" ref="D45:D65" si="14">B45*E45</f>
        <v>329343.40999999997</v>
      </c>
      <c r="E45" s="303">
        <v>1</v>
      </c>
      <c r="F45" s="527">
        <f t="shared" si="13"/>
        <v>0</v>
      </c>
      <c r="G45" s="528">
        <v>0</v>
      </c>
      <c r="H45" s="518"/>
      <c r="I45" s="720"/>
      <c r="J45" s="518"/>
      <c r="K45" s="518"/>
      <c r="L45" s="518"/>
      <c r="M45" s="518"/>
      <c r="N45" s="518"/>
      <c r="O45" s="518"/>
      <c r="P45" s="519"/>
      <c r="Q45" s="520"/>
    </row>
    <row r="46" spans="1:17" s="513" customFormat="1" ht="15.75">
      <c r="A46" s="272" t="s">
        <v>627</v>
      </c>
      <c r="B46" s="550">
        <f>+VLOOKUP(A46,'[6]CORRIENTE NO CORRIENTE ENERO 20'!$C$31:$G$57,5,0)</f>
        <v>189683.45</v>
      </c>
      <c r="C46" s="526"/>
      <c r="D46" s="527">
        <f t="shared" si="14"/>
        <v>189683.45</v>
      </c>
      <c r="E46" s="303">
        <v>1</v>
      </c>
      <c r="F46" s="527">
        <f t="shared" si="13"/>
        <v>0</v>
      </c>
      <c r="G46" s="528">
        <v>0</v>
      </c>
      <c r="H46" s="518"/>
      <c r="I46" s="720"/>
      <c r="J46" s="518"/>
      <c r="K46" s="518"/>
      <c r="L46" s="518"/>
      <c r="M46" s="518"/>
      <c r="N46" s="518"/>
      <c r="O46" s="518"/>
      <c r="P46" s="519"/>
      <c r="Q46" s="520"/>
    </row>
    <row r="47" spans="1:17" s="513" customFormat="1" ht="15.75">
      <c r="A47" s="529" t="s">
        <v>210</v>
      </c>
      <c r="B47" s="550">
        <f>+VLOOKUP(A47,'[6]CORRIENTE NO CORRIENTE ENERO 20'!$C$31:$G$57,5,0)</f>
        <v>447412.19</v>
      </c>
      <c r="C47" s="526"/>
      <c r="D47" s="527">
        <f t="shared" si="14"/>
        <v>447412.19</v>
      </c>
      <c r="E47" s="303">
        <v>1</v>
      </c>
      <c r="F47" s="527">
        <f t="shared" si="13"/>
        <v>0</v>
      </c>
      <c r="G47" s="528">
        <v>0</v>
      </c>
      <c r="H47" s="518"/>
      <c r="I47" s="720"/>
      <c r="J47" s="518"/>
      <c r="K47" s="518"/>
      <c r="L47" s="518"/>
      <c r="M47" s="518"/>
      <c r="N47" s="518"/>
      <c r="O47" s="518"/>
      <c r="P47" s="519"/>
      <c r="Q47" s="520"/>
    </row>
    <row r="48" spans="1:17" s="513" customFormat="1" ht="15.75">
      <c r="A48" s="529" t="s">
        <v>220</v>
      </c>
      <c r="B48" s="550">
        <f>+VLOOKUP(A48,'[6]CORRIENTE NO CORRIENTE ENERO 20'!$C$31:$G$57,5,0)</f>
        <v>629808.51</v>
      </c>
      <c r="C48" s="526"/>
      <c r="D48" s="527">
        <f t="shared" si="14"/>
        <v>629808.51</v>
      </c>
      <c r="E48" s="303">
        <v>1</v>
      </c>
      <c r="F48" s="527">
        <f t="shared" si="13"/>
        <v>0</v>
      </c>
      <c r="G48" s="528">
        <v>0</v>
      </c>
      <c r="H48" s="518"/>
      <c r="I48" s="720"/>
      <c r="J48" s="518"/>
      <c r="K48" s="518"/>
      <c r="L48" s="518"/>
      <c r="M48" s="518"/>
      <c r="N48" s="518"/>
      <c r="O48" s="518"/>
      <c r="P48" s="519"/>
      <c r="Q48" s="520"/>
    </row>
    <row r="49" spans="1:17" s="513" customFormat="1" ht="15.75">
      <c r="A49" s="272" t="s">
        <v>221</v>
      </c>
      <c r="B49" s="550">
        <f>+VLOOKUP(A49,'[6]CORRIENTE NO CORRIENTE ENERO 20'!$C$31:$G$57,5,0)</f>
        <v>766051.75</v>
      </c>
      <c r="C49" s="526"/>
      <c r="D49" s="527">
        <f t="shared" si="14"/>
        <v>766051.75</v>
      </c>
      <c r="E49" s="303">
        <v>1</v>
      </c>
      <c r="F49" s="527">
        <f t="shared" si="13"/>
        <v>0</v>
      </c>
      <c r="G49" s="528">
        <v>0</v>
      </c>
      <c r="H49" s="699"/>
      <c r="I49" s="720"/>
      <c r="J49" s="518"/>
      <c r="K49" s="518"/>
      <c r="L49" s="518"/>
      <c r="M49" s="518"/>
      <c r="N49" s="518"/>
      <c r="O49" s="518"/>
      <c r="P49" s="519"/>
      <c r="Q49" s="520"/>
    </row>
    <row r="50" spans="1:17" s="513" customFormat="1" ht="15.75">
      <c r="A50" s="529" t="s">
        <v>628</v>
      </c>
      <c r="B50" s="550">
        <f>+VLOOKUP(A50,'[6]CORRIENTE NO CORRIENTE ENERO 20'!$C$31:$G$57,5,0)</f>
        <v>345143.47</v>
      </c>
      <c r="C50" s="526"/>
      <c r="D50" s="527">
        <f t="shared" si="14"/>
        <v>345143.47</v>
      </c>
      <c r="E50" s="303">
        <v>1</v>
      </c>
      <c r="F50" s="527">
        <f t="shared" si="13"/>
        <v>0</v>
      </c>
      <c r="G50" s="528">
        <v>0</v>
      </c>
      <c r="H50" s="699"/>
      <c r="I50" s="720"/>
      <c r="J50" s="518"/>
      <c r="K50" s="518"/>
      <c r="L50" s="518"/>
      <c r="M50" s="518"/>
      <c r="N50" s="518"/>
      <c r="O50" s="518"/>
      <c r="P50" s="519"/>
      <c r="Q50" s="520"/>
    </row>
    <row r="51" spans="1:17" s="513" customFormat="1" ht="15.75">
      <c r="A51" s="529" t="s">
        <v>169</v>
      </c>
      <c r="B51" s="550">
        <f>+VLOOKUP(A51,'[6]CORRIENTE NO CORRIENTE ENERO 20'!$C$31:$G$57,5,0)</f>
        <v>238697.79</v>
      </c>
      <c r="C51" s="526"/>
      <c r="D51" s="527">
        <f t="shared" si="14"/>
        <v>238697.79</v>
      </c>
      <c r="E51" s="303">
        <v>1</v>
      </c>
      <c r="F51" s="527">
        <f t="shared" si="13"/>
        <v>0</v>
      </c>
      <c r="G51" s="528">
        <v>0</v>
      </c>
      <c r="H51" s="518"/>
      <c r="I51" s="720"/>
      <c r="J51" s="518"/>
      <c r="K51" s="518"/>
      <c r="L51" s="518"/>
      <c r="M51" s="518"/>
      <c r="N51" s="518"/>
      <c r="O51" s="518"/>
      <c r="P51" s="519"/>
      <c r="Q51" s="520"/>
    </row>
    <row r="52" spans="1:17" s="513" customFormat="1" ht="15.75">
      <c r="A52" s="529" t="s">
        <v>467</v>
      </c>
      <c r="B52" s="550">
        <f>+VLOOKUP(A52,'[6]CORRIENTE NO CORRIENTE ENERO 20'!$C$31:$G$57,5,0)</f>
        <v>254601.61</v>
      </c>
      <c r="C52" s="526"/>
      <c r="D52" s="527">
        <f t="shared" si="14"/>
        <v>254601.61</v>
      </c>
      <c r="E52" s="303">
        <v>1</v>
      </c>
      <c r="F52" s="527">
        <f t="shared" si="13"/>
        <v>0</v>
      </c>
      <c r="G52" s="528">
        <v>0</v>
      </c>
      <c r="H52" s="518"/>
      <c r="I52" s="720"/>
      <c r="J52" s="518"/>
      <c r="K52" s="518"/>
      <c r="L52" s="518"/>
      <c r="M52" s="518"/>
      <c r="N52" s="518"/>
      <c r="O52" s="518"/>
      <c r="P52" s="519"/>
      <c r="Q52" s="520"/>
    </row>
    <row r="53" spans="1:17" s="513" customFormat="1" ht="15.75">
      <c r="A53" s="529" t="s">
        <v>182</v>
      </c>
      <c r="B53" s="550">
        <f>+VLOOKUP(A53,'[6]CORRIENTE NO CORRIENTE ENERO 20'!$C$31:$G$57,5,0)</f>
        <v>536518.78</v>
      </c>
      <c r="C53" s="526"/>
      <c r="D53" s="527">
        <f t="shared" si="14"/>
        <v>536518.78</v>
      </c>
      <c r="E53" s="303">
        <v>1</v>
      </c>
      <c r="F53" s="527">
        <f t="shared" si="13"/>
        <v>0</v>
      </c>
      <c r="G53" s="528">
        <v>0</v>
      </c>
      <c r="H53" s="518"/>
      <c r="I53" s="720"/>
      <c r="J53" s="518"/>
      <c r="K53" s="518"/>
      <c r="L53" s="518"/>
      <c r="M53" s="518"/>
      <c r="N53" s="518"/>
      <c r="O53" s="518"/>
      <c r="P53" s="519"/>
      <c r="Q53" s="520"/>
    </row>
    <row r="54" spans="1:17" s="513" customFormat="1" ht="15.75">
      <c r="A54" s="529" t="s">
        <v>183</v>
      </c>
      <c r="B54" s="550">
        <f>+VLOOKUP(A54,'[6]CORRIENTE NO CORRIENTE ENERO 20'!$C$31:$G$57,5,0)</f>
        <v>231198.94</v>
      </c>
      <c r="C54" s="526"/>
      <c r="D54" s="527">
        <f t="shared" si="14"/>
        <v>231198.94</v>
      </c>
      <c r="E54" s="303">
        <v>1</v>
      </c>
      <c r="F54" s="527">
        <f t="shared" si="13"/>
        <v>0</v>
      </c>
      <c r="G54" s="528">
        <v>0</v>
      </c>
      <c r="H54" s="518"/>
      <c r="I54" s="720"/>
      <c r="J54" s="518"/>
      <c r="K54" s="518"/>
      <c r="L54" s="518"/>
      <c r="M54" s="518"/>
      <c r="N54" s="518"/>
      <c r="O54" s="518"/>
      <c r="P54" s="519"/>
      <c r="Q54" s="520"/>
    </row>
    <row r="55" spans="1:17" s="513" customFormat="1" ht="15.75">
      <c r="A55" s="529" t="s">
        <v>629</v>
      </c>
      <c r="B55" s="550">
        <f>+VLOOKUP(A55,'[6]CORRIENTE NO CORRIENTE ENERO 20'!$C$31:$G$57,5,0)</f>
        <v>465649.78</v>
      </c>
      <c r="C55" s="526"/>
      <c r="D55" s="527">
        <f t="shared" si="14"/>
        <v>465649.78</v>
      </c>
      <c r="E55" s="303">
        <v>1</v>
      </c>
      <c r="F55" s="527">
        <f t="shared" si="13"/>
        <v>0</v>
      </c>
      <c r="G55" s="528">
        <v>0</v>
      </c>
      <c r="H55" s="518"/>
      <c r="I55" s="720"/>
      <c r="J55" s="518"/>
      <c r="K55" s="518"/>
      <c r="L55" s="518"/>
      <c r="M55" s="518"/>
      <c r="N55" s="518"/>
      <c r="O55" s="518"/>
      <c r="P55" s="519"/>
      <c r="Q55" s="520"/>
    </row>
    <row r="56" spans="1:17" s="513" customFormat="1" ht="15.75">
      <c r="A56" s="529" t="s">
        <v>468</v>
      </c>
      <c r="B56" s="550">
        <f>+VLOOKUP(A56,'[6]CORRIENTE NO CORRIENTE ENERO 20'!$C$31:$G$57,5,0)</f>
        <v>381593.38</v>
      </c>
      <c r="C56" s="526"/>
      <c r="D56" s="527">
        <f t="shared" si="14"/>
        <v>381593.38</v>
      </c>
      <c r="E56" s="303">
        <v>1</v>
      </c>
      <c r="F56" s="527">
        <f t="shared" si="13"/>
        <v>0</v>
      </c>
      <c r="G56" s="528">
        <v>0</v>
      </c>
      <c r="H56" s="518"/>
      <c r="I56" s="720"/>
      <c r="J56" s="518"/>
      <c r="K56" s="518"/>
      <c r="L56" s="518"/>
      <c r="M56" s="518"/>
      <c r="N56" s="518"/>
      <c r="O56" s="518"/>
      <c r="P56" s="519"/>
      <c r="Q56" s="520"/>
    </row>
    <row r="57" spans="1:17" s="513" customFormat="1" ht="15.75">
      <c r="A57" s="529" t="s">
        <v>630</v>
      </c>
      <c r="B57" s="550">
        <f>+VLOOKUP(A57,'[6]CORRIENTE NO CORRIENTE ENERO 20'!$C$31:$G$57,5,0)</f>
        <v>666893.49</v>
      </c>
      <c r="C57" s="526"/>
      <c r="D57" s="527">
        <f t="shared" si="14"/>
        <v>666893.49</v>
      </c>
      <c r="E57" s="303">
        <v>1</v>
      </c>
      <c r="F57" s="527">
        <f t="shared" si="13"/>
        <v>0</v>
      </c>
      <c r="G57" s="528">
        <v>0</v>
      </c>
      <c r="H57" s="518"/>
      <c r="I57" s="720"/>
      <c r="J57" s="518"/>
      <c r="K57" s="518"/>
      <c r="L57" s="518"/>
      <c r="M57" s="518"/>
      <c r="N57" s="518"/>
      <c r="O57" s="518"/>
      <c r="P57" s="519"/>
      <c r="Q57" s="520"/>
    </row>
    <row r="58" spans="1:17" s="513" customFormat="1" ht="15.75">
      <c r="A58" s="529" t="s">
        <v>631</v>
      </c>
      <c r="B58" s="550">
        <f>+VLOOKUP(A58,'[6]CORRIENTE NO CORRIENTE ENERO 20'!$C$31:$G$57,5,0)</f>
        <v>585796.5</v>
      </c>
      <c r="C58" s="526"/>
      <c r="D58" s="527">
        <f t="shared" si="14"/>
        <v>585796.5</v>
      </c>
      <c r="E58" s="303">
        <v>1</v>
      </c>
      <c r="F58" s="527">
        <f t="shared" si="13"/>
        <v>0</v>
      </c>
      <c r="G58" s="528">
        <v>0</v>
      </c>
      <c r="H58" s="518"/>
      <c r="I58" s="720"/>
      <c r="J58" s="518"/>
      <c r="K58" s="518"/>
      <c r="L58" s="518"/>
      <c r="M58" s="518"/>
      <c r="N58" s="518"/>
      <c r="O58" s="518"/>
      <c r="P58" s="519"/>
      <c r="Q58" s="520"/>
    </row>
    <row r="59" spans="1:17" s="513" customFormat="1" ht="15.75">
      <c r="A59" s="977" t="s">
        <v>470</v>
      </c>
      <c r="B59" s="550">
        <f>+VLOOKUP(A59,'[6]CORRIENTE NO CORRIENTE ENERO 20'!$C$31:$G$57,5,0)</f>
        <v>129476.12</v>
      </c>
      <c r="C59" s="526"/>
      <c r="D59" s="527">
        <f t="shared" si="14"/>
        <v>129476.12</v>
      </c>
      <c r="E59" s="303">
        <v>1</v>
      </c>
      <c r="F59" s="527">
        <f t="shared" si="13"/>
        <v>0</v>
      </c>
      <c r="G59" s="528">
        <v>0</v>
      </c>
      <c r="H59" s="518"/>
      <c r="I59" s="720"/>
      <c r="J59" s="518"/>
      <c r="K59" s="518"/>
      <c r="L59" s="518"/>
      <c r="M59" s="518"/>
      <c r="N59" s="518"/>
      <c r="O59" s="518"/>
      <c r="P59" s="519"/>
      <c r="Q59" s="520"/>
    </row>
    <row r="60" spans="1:17" s="513" customFormat="1" ht="15.75">
      <c r="A60" s="977" t="s">
        <v>236</v>
      </c>
      <c r="B60" s="550">
        <f>+SUM('Anexo 21 Ministerio del Interio'!E9:E30)</f>
        <v>741757.86999999988</v>
      </c>
      <c r="C60" s="526"/>
      <c r="D60" s="527">
        <f>B60*E60</f>
        <v>741757.86999999988</v>
      </c>
      <c r="E60" s="303">
        <v>1</v>
      </c>
      <c r="F60" s="527">
        <f>B60*G60</f>
        <v>0</v>
      </c>
      <c r="G60" s="528">
        <v>0</v>
      </c>
      <c r="H60" s="518"/>
      <c r="I60" s="720"/>
      <c r="J60" s="518"/>
      <c r="K60" s="518"/>
      <c r="L60" s="518"/>
      <c r="M60" s="518"/>
      <c r="N60" s="518"/>
      <c r="O60" s="518"/>
      <c r="P60" s="519"/>
      <c r="Q60" s="520"/>
    </row>
    <row r="61" spans="1:17" s="513" customFormat="1" ht="15.75">
      <c r="A61" s="529" t="s">
        <v>272</v>
      </c>
      <c r="B61" s="550">
        <f>+VLOOKUP(A61,'[6]CORRIENTE NO CORRIENTE ENERO 20'!$C$31:$G$57,5,0)</f>
        <v>1224144.54</v>
      </c>
      <c r="C61" s="526"/>
      <c r="D61" s="527">
        <f>B61*E61</f>
        <v>1224144.54</v>
      </c>
      <c r="E61" s="303">
        <v>1</v>
      </c>
      <c r="F61" s="527">
        <f>B61*G61</f>
        <v>0</v>
      </c>
      <c r="G61" s="528">
        <v>0</v>
      </c>
      <c r="H61" s="518"/>
      <c r="I61" s="720"/>
      <c r="J61" s="518"/>
      <c r="K61" s="518"/>
      <c r="L61" s="518"/>
      <c r="M61" s="518"/>
      <c r="N61" s="518"/>
      <c r="O61" s="518"/>
      <c r="P61" s="519"/>
      <c r="Q61" s="520"/>
    </row>
    <row r="62" spans="1:17" s="513" customFormat="1" ht="15.75">
      <c r="A62" s="529" t="s">
        <v>300</v>
      </c>
      <c r="B62" s="550">
        <f>+VLOOKUP(A62,'[6]CORRIENTE NO CORRIENTE ENERO 20'!$C$31:$G$57,5,0)</f>
        <v>173211.07</v>
      </c>
      <c r="C62" s="526"/>
      <c r="D62" s="527">
        <f>B62*E62</f>
        <v>173211.07</v>
      </c>
      <c r="E62" s="303">
        <v>1</v>
      </c>
      <c r="F62" s="527">
        <f>B62*G62</f>
        <v>0</v>
      </c>
      <c r="G62" s="528">
        <v>0</v>
      </c>
      <c r="H62" s="518"/>
      <c r="I62" s="720"/>
      <c r="J62" s="518"/>
      <c r="K62" s="518"/>
      <c r="L62" s="518"/>
      <c r="M62" s="518"/>
      <c r="N62" s="518"/>
      <c r="O62" s="518"/>
      <c r="P62" s="519"/>
      <c r="Q62" s="520"/>
    </row>
    <row r="63" spans="1:17" s="513" customFormat="1" ht="15.75">
      <c r="A63" s="529" t="s">
        <v>632</v>
      </c>
      <c r="B63" s="550">
        <f>+VLOOKUP(A63,'[6]CORRIENTE NO CORRIENTE ENERO 20'!$C$31:$G$57,5,0)</f>
        <v>366573.33</v>
      </c>
      <c r="C63" s="526"/>
      <c r="D63" s="527">
        <f t="shared" si="14"/>
        <v>366573.33</v>
      </c>
      <c r="E63" s="303">
        <v>1</v>
      </c>
      <c r="F63" s="527">
        <f t="shared" si="13"/>
        <v>0</v>
      </c>
      <c r="G63" s="528">
        <v>0</v>
      </c>
      <c r="H63" s="518"/>
      <c r="I63" s="720"/>
      <c r="J63" s="518"/>
      <c r="K63" s="518"/>
      <c r="L63" s="518"/>
      <c r="M63" s="518"/>
      <c r="N63" s="518"/>
      <c r="O63" s="518"/>
      <c r="P63" s="519"/>
      <c r="Q63" s="520"/>
    </row>
    <row r="64" spans="1:17" s="513" customFormat="1" ht="15.75">
      <c r="A64" s="529" t="s">
        <v>391</v>
      </c>
      <c r="B64" s="550">
        <f>+VLOOKUP(A64,'[6]CORRIENTE NO CORRIENTE ENERO 20'!$C$31:$G$57,5,0)</f>
        <v>7767225</v>
      </c>
      <c r="C64" s="526"/>
      <c r="D64" s="519">
        <f>B64*E64</f>
        <v>7767225</v>
      </c>
      <c r="E64" s="303">
        <v>1</v>
      </c>
      <c r="F64" s="527">
        <f>B64*G64</f>
        <v>0</v>
      </c>
      <c r="G64" s="528">
        <v>0</v>
      </c>
      <c r="H64" s="518"/>
      <c r="I64" s="720"/>
      <c r="J64" s="518"/>
      <c r="K64" s="518"/>
      <c r="L64" s="518"/>
      <c r="M64" s="518"/>
      <c r="N64" s="518"/>
      <c r="O64" s="518"/>
      <c r="P64" s="519"/>
      <c r="Q64" s="520"/>
    </row>
    <row r="65" spans="1:18" s="513" customFormat="1" ht="15.75">
      <c r="A65" s="529" t="s">
        <v>385</v>
      </c>
      <c r="B65" s="550">
        <f>+VLOOKUP(A65,'[6]CORRIENTE NO CORRIENTE ENERO 20'!$C$31:$G$57,5,0)</f>
        <v>2642545</v>
      </c>
      <c r="C65" s="526"/>
      <c r="D65" s="519">
        <f t="shared" si="14"/>
        <v>2642545</v>
      </c>
      <c r="E65" s="303">
        <v>1</v>
      </c>
      <c r="F65" s="527">
        <f t="shared" si="13"/>
        <v>0</v>
      </c>
      <c r="G65" s="528">
        <v>0</v>
      </c>
      <c r="H65" s="518"/>
      <c r="I65" s="720"/>
      <c r="J65" s="518"/>
      <c r="K65" s="518"/>
      <c r="L65" s="518"/>
      <c r="M65" s="518"/>
      <c r="N65" s="518"/>
      <c r="O65" s="518"/>
      <c r="P65" s="519"/>
      <c r="Q65" s="520"/>
    </row>
    <row r="66" spans="1:18" s="514" customFormat="1" ht="15.75">
      <c r="A66" s="530" t="s">
        <v>364</v>
      </c>
      <c r="B66" s="807">
        <f>SUM(B43:B65)</f>
        <v>710249558.31000018</v>
      </c>
      <c r="C66" s="531"/>
      <c r="D66" s="531">
        <f>SUM(D43:D65)</f>
        <v>710249558.31000018</v>
      </c>
      <c r="E66" s="531"/>
      <c r="F66" s="531">
        <f>SUM(F43:F65)</f>
        <v>0</v>
      </c>
      <c r="G66" s="532"/>
      <c r="H66" s="521"/>
      <c r="I66" s="521"/>
      <c r="J66" s="521"/>
      <c r="K66" s="522"/>
      <c r="L66" s="521"/>
      <c r="M66" s="521"/>
      <c r="N66" s="521"/>
      <c r="O66" s="520"/>
      <c r="P66" s="523"/>
      <c r="Q66" s="524"/>
      <c r="R66" s="515"/>
    </row>
    <row r="67" spans="1:18">
      <c r="B67" s="147"/>
    </row>
    <row r="76" spans="1:18" s="147" customFormat="1" ht="15.75" thickBot="1">
      <c r="A76" s="141"/>
      <c r="B76" s="142"/>
      <c r="C76" s="143"/>
      <c r="D76" s="141"/>
      <c r="E76" s="142"/>
      <c r="F76" s="143"/>
      <c r="G76" s="144"/>
      <c r="H76" s="145"/>
      <c r="I76" s="146"/>
    </row>
    <row r="77" spans="1:18" s="147" customFormat="1" ht="15" customHeight="1">
      <c r="A77" s="725" t="s">
        <v>522</v>
      </c>
      <c r="B77" s="128"/>
      <c r="D77" s="1278" t="s">
        <v>135</v>
      </c>
      <c r="E77" s="1278"/>
      <c r="F77" s="527"/>
      <c r="G77" s="1278" t="s">
        <v>742</v>
      </c>
      <c r="H77" s="1278"/>
      <c r="I77" s="1278"/>
    </row>
    <row r="78" spans="1:18" s="147" customFormat="1" ht="14.45" customHeight="1">
      <c r="A78" s="223" t="s">
        <v>728</v>
      </c>
      <c r="B78" s="129"/>
      <c r="D78" s="1277" t="s">
        <v>145</v>
      </c>
      <c r="E78" s="1277"/>
      <c r="F78" s="527"/>
      <c r="G78" s="1143" t="s">
        <v>556</v>
      </c>
      <c r="H78" s="1143"/>
      <c r="I78" s="1143"/>
    </row>
    <row r="79" spans="1:18" s="147" customFormat="1" ht="15.75" customHeight="1">
      <c r="A79" s="223" t="s">
        <v>47</v>
      </c>
      <c r="B79" s="129"/>
      <c r="D79" s="1143" t="s">
        <v>48</v>
      </c>
      <c r="E79" s="1143"/>
      <c r="F79" s="527"/>
      <c r="G79" s="1143" t="s">
        <v>48</v>
      </c>
      <c r="H79" s="1143"/>
      <c r="I79" s="1143"/>
    </row>
    <row r="80" spans="1:18" s="148" customFormat="1" ht="15" customHeight="1">
      <c r="A80" s="223" t="s">
        <v>523</v>
      </c>
      <c r="B80" s="129"/>
      <c r="D80" s="149"/>
      <c r="E80" s="149"/>
      <c r="F80" s="527"/>
      <c r="G80" s="1143" t="s">
        <v>555</v>
      </c>
      <c r="H80" s="1143"/>
      <c r="I80" s="1143"/>
      <c r="J80" s="147"/>
      <c r="K80" s="147"/>
      <c r="L80" s="147"/>
      <c r="M80" s="147"/>
      <c r="N80" s="147"/>
      <c r="O80" s="147"/>
      <c r="P80" s="147"/>
      <c r="Q80" s="147"/>
    </row>
    <row r="81" spans="1:17" s="148" customFormat="1">
      <c r="A81" s="149"/>
      <c r="B81" s="149"/>
      <c r="C81" s="150"/>
      <c r="D81" s="151"/>
      <c r="E81" s="152"/>
      <c r="F81" s="153"/>
      <c r="G81" s="147"/>
      <c r="H81" s="147"/>
      <c r="I81" s="147"/>
      <c r="J81" s="147"/>
      <c r="K81" s="147"/>
      <c r="L81" s="147"/>
      <c r="M81" s="147"/>
      <c r="N81" s="147"/>
      <c r="O81" s="147"/>
      <c r="P81" s="147"/>
      <c r="Q81" s="147"/>
    </row>
    <row r="82" spans="1:17" s="148" customFormat="1">
      <c r="A82" s="149"/>
      <c r="B82" s="149"/>
      <c r="C82" s="150"/>
      <c r="D82" s="151"/>
      <c r="E82" s="152"/>
      <c r="F82" s="153"/>
      <c r="G82" s="147"/>
      <c r="H82" s="147"/>
      <c r="I82" s="147"/>
      <c r="J82" s="147"/>
      <c r="K82" s="147"/>
      <c r="L82" s="147"/>
      <c r="M82" s="147"/>
      <c r="N82" s="147"/>
      <c r="O82" s="147"/>
      <c r="P82" s="147"/>
      <c r="Q82" s="147"/>
    </row>
    <row r="83" spans="1:17" s="148" customFormat="1">
      <c r="A83" s="149"/>
      <c r="B83" s="149"/>
      <c r="C83" s="150"/>
      <c r="D83" s="151"/>
      <c r="E83" s="152"/>
      <c r="F83" s="153"/>
      <c r="G83" s="147"/>
      <c r="H83" s="147"/>
      <c r="I83" s="147"/>
      <c r="J83" s="147"/>
      <c r="K83" s="147"/>
      <c r="L83" s="147"/>
      <c r="M83" s="147"/>
      <c r="N83" s="147"/>
      <c r="O83" s="147"/>
      <c r="P83" s="147"/>
      <c r="Q83" s="147"/>
    </row>
    <row r="84" spans="1:17" s="147" customFormat="1">
      <c r="A84" s="154"/>
      <c r="B84" s="155"/>
      <c r="C84" s="143"/>
      <c r="D84" s="143"/>
      <c r="E84" s="156"/>
      <c r="F84" s="157"/>
    </row>
    <row r="85" spans="1:17" s="147" customFormat="1" ht="15" customHeight="1">
      <c r="A85" s="158"/>
      <c r="B85" s="158"/>
      <c r="C85" s="158"/>
      <c r="D85" s="158"/>
      <c r="E85" s="158"/>
      <c r="F85" s="157"/>
    </row>
    <row r="86" spans="1:17" s="147" customFormat="1" ht="14.45" customHeight="1">
      <c r="A86" s="158"/>
      <c r="B86" s="158"/>
      <c r="C86" s="158"/>
      <c r="D86" s="158"/>
      <c r="E86" s="158"/>
      <c r="F86" s="157"/>
    </row>
    <row r="87" spans="1:17" s="147" customFormat="1" ht="14.45" customHeight="1">
      <c r="A87" s="158"/>
      <c r="B87" s="158"/>
      <c r="C87" s="158"/>
      <c r="D87" s="158"/>
      <c r="E87" s="158"/>
      <c r="F87" s="157"/>
    </row>
    <row r="88" spans="1:17" s="148" customFormat="1">
      <c r="A88" s="149"/>
      <c r="B88" s="149"/>
      <c r="C88" s="150"/>
      <c r="D88" s="151"/>
      <c r="E88" s="149"/>
      <c r="F88" s="153"/>
      <c r="G88" s="147"/>
      <c r="H88" s="147"/>
      <c r="I88" s="147"/>
      <c r="J88" s="147"/>
      <c r="K88" s="147"/>
      <c r="L88" s="147"/>
      <c r="M88" s="147"/>
      <c r="N88" s="147"/>
      <c r="O88" s="147"/>
      <c r="P88" s="147"/>
      <c r="Q88" s="147"/>
    </row>
    <row r="89" spans="1:17" ht="15.75">
      <c r="A89" s="573" t="s">
        <v>390</v>
      </c>
      <c r="B89" s="573" t="s">
        <v>207</v>
      </c>
      <c r="C89" s="574" t="s">
        <v>67</v>
      </c>
      <c r="D89" s="575" t="s">
        <v>318</v>
      </c>
      <c r="E89" s="575" t="s">
        <v>319</v>
      </c>
      <c r="F89" s="575" t="s">
        <v>320</v>
      </c>
      <c r="G89" s="575"/>
    </row>
    <row r="90" spans="1:17">
      <c r="A90" s="398">
        <v>168</v>
      </c>
      <c r="B90" s="398" t="s">
        <v>170</v>
      </c>
      <c r="C90" s="399">
        <f>+VLOOKUP(B90,$A$15:$B$36,2,0)</f>
        <v>50345911.689999998</v>
      </c>
      <c r="D90" s="399">
        <v>500000000</v>
      </c>
      <c r="E90" s="399">
        <f>+IFERROR(VLOOKUP(A90,Adhesiones!$B$62:$F$83,4,0),0)</f>
        <v>42349951.688567042</v>
      </c>
      <c r="F90" s="576">
        <f>+E90/D90</f>
        <v>8.4699903377134081E-2</v>
      </c>
    </row>
    <row r="91" spans="1:17">
      <c r="A91" s="398">
        <v>169</v>
      </c>
      <c r="B91" s="398" t="s">
        <v>179</v>
      </c>
      <c r="C91" s="399">
        <f t="shared" ref="C91:C111" si="15">+VLOOKUP(B91,$A$15:$B$36,2,0)</f>
        <v>0</v>
      </c>
      <c r="D91" s="399">
        <v>300000000</v>
      </c>
      <c r="E91" s="399">
        <f>+IFERROR(VLOOKUP(A91,Adhesiones!$B$62:$F$83,4,0),0)</f>
        <v>0</v>
      </c>
      <c r="F91" s="576">
        <f t="shared" ref="F91:F111" si="16">+E91/D91</f>
        <v>0</v>
      </c>
    </row>
    <row r="92" spans="1:17">
      <c r="A92" s="398">
        <v>174</v>
      </c>
      <c r="B92" s="398" t="s">
        <v>627</v>
      </c>
      <c r="C92" s="399">
        <f t="shared" si="15"/>
        <v>20858693</v>
      </c>
      <c r="D92" s="399">
        <v>300000000</v>
      </c>
      <c r="E92" s="399">
        <f>+IFERROR(VLOOKUP(A92,Adhesiones!$B$62:$F$83,4,0),0)</f>
        <v>0</v>
      </c>
      <c r="F92" s="576">
        <f t="shared" si="16"/>
        <v>0</v>
      </c>
    </row>
    <row r="93" spans="1:17">
      <c r="A93" s="398">
        <v>175</v>
      </c>
      <c r="B93" s="398" t="s">
        <v>210</v>
      </c>
      <c r="C93" s="399">
        <f t="shared" si="15"/>
        <v>25512695</v>
      </c>
      <c r="D93" s="399">
        <v>571000000</v>
      </c>
      <c r="E93" s="399">
        <f>+IFERROR(VLOOKUP(A93,Adhesiones!$B$62:$F$83,4,0),0)</f>
        <v>0</v>
      </c>
      <c r="F93" s="576">
        <f t="shared" si="16"/>
        <v>0</v>
      </c>
    </row>
    <row r="94" spans="1:17">
      <c r="A94" s="398">
        <v>185</v>
      </c>
      <c r="B94" s="398" t="s">
        <v>220</v>
      </c>
      <c r="C94" s="399">
        <f t="shared" si="15"/>
        <v>33501360</v>
      </c>
      <c r="D94" s="399">
        <v>746132550</v>
      </c>
      <c r="E94" s="399">
        <f>+IFERROR(VLOOKUP(A94,Adhesiones!$B$62:$F$83,4,0),0)</f>
        <v>33161199</v>
      </c>
      <c r="F94" s="576">
        <f t="shared" si="16"/>
        <v>4.4444112510572016E-2</v>
      </c>
    </row>
    <row r="95" spans="1:17">
      <c r="A95" s="398">
        <v>167</v>
      </c>
      <c r="B95" s="272" t="s">
        <v>221</v>
      </c>
      <c r="C95" s="399">
        <f t="shared" si="15"/>
        <v>20720157</v>
      </c>
      <c r="D95" s="399">
        <v>1000000000</v>
      </c>
      <c r="E95" s="399">
        <f>+IFERROR(VLOOKUP(A95,Adhesiones!$B$62:$F$83,4,0),0)</f>
        <v>0</v>
      </c>
      <c r="F95" s="576">
        <f t="shared" si="16"/>
        <v>0</v>
      </c>
    </row>
    <row r="96" spans="1:17">
      <c r="A96" s="398">
        <v>171</v>
      </c>
      <c r="B96" s="398" t="s">
        <v>628</v>
      </c>
      <c r="C96" s="399">
        <f t="shared" si="15"/>
        <v>14198011</v>
      </c>
      <c r="D96" s="399">
        <v>300000000</v>
      </c>
      <c r="E96" s="399">
        <f>+IFERROR(VLOOKUP(A96,Adhesiones!$B$62:$F$83,4,0),0)</f>
        <v>0</v>
      </c>
      <c r="F96" s="576">
        <f t="shared" si="16"/>
        <v>0</v>
      </c>
    </row>
    <row r="97" spans="1:6">
      <c r="A97" s="398">
        <v>172</v>
      </c>
      <c r="B97" s="398" t="s">
        <v>169</v>
      </c>
      <c r="C97" s="399">
        <f t="shared" si="15"/>
        <v>520073</v>
      </c>
      <c r="D97" s="399">
        <v>300000000</v>
      </c>
      <c r="E97" s="399">
        <f>+IFERROR(VLOOKUP(A97,Adhesiones!$B$62:$F$83,4,0),0)</f>
        <v>0</v>
      </c>
      <c r="F97" s="576">
        <f t="shared" si="16"/>
        <v>0</v>
      </c>
    </row>
    <row r="98" spans="1:6">
      <c r="A98" s="398">
        <v>176</v>
      </c>
      <c r="B98" s="243" t="s">
        <v>467</v>
      </c>
      <c r="C98" s="399">
        <f t="shared" si="15"/>
        <v>56832602</v>
      </c>
      <c r="D98" s="399">
        <v>308000000</v>
      </c>
      <c r="E98" s="399">
        <f>+IFERROR(VLOOKUP(A98,Adhesiones!$B$62:$F$83,4,0),0)</f>
        <v>55890914.333333015</v>
      </c>
      <c r="F98" s="576">
        <f t="shared" si="16"/>
        <v>0.18146400757575654</v>
      </c>
    </row>
    <row r="99" spans="1:6">
      <c r="A99" s="398">
        <v>177</v>
      </c>
      <c r="B99" s="398" t="s">
        <v>182</v>
      </c>
      <c r="C99" s="399">
        <f t="shared" si="15"/>
        <v>31840570</v>
      </c>
      <c r="D99" s="399">
        <v>600000000</v>
      </c>
      <c r="E99" s="399">
        <f>+IFERROR(VLOOKUP(A99,Adhesiones!$B$62:$F$83,4,0),0)</f>
        <v>0</v>
      </c>
      <c r="F99" s="576">
        <f t="shared" si="16"/>
        <v>0</v>
      </c>
    </row>
    <row r="100" spans="1:6">
      <c r="A100" s="398">
        <v>181</v>
      </c>
      <c r="B100" s="398" t="s">
        <v>183</v>
      </c>
      <c r="C100" s="399">
        <f t="shared" si="15"/>
        <v>0.37</v>
      </c>
      <c r="D100" s="399">
        <v>350000000</v>
      </c>
      <c r="E100" s="399">
        <f>+IFERROR(VLOOKUP(A100,Adhesiones!$B$62:$F$83,4,0),0)</f>
        <v>33300799.370000005</v>
      </c>
      <c r="F100" s="576">
        <f t="shared" si="16"/>
        <v>9.5145141057142876E-2</v>
      </c>
    </row>
    <row r="101" spans="1:6">
      <c r="A101" s="398">
        <v>178</v>
      </c>
      <c r="B101" s="398" t="s">
        <v>629</v>
      </c>
      <c r="C101" s="399">
        <f t="shared" si="15"/>
        <v>82644650.200000003</v>
      </c>
      <c r="D101" s="399">
        <v>600000000</v>
      </c>
      <c r="E101" s="399">
        <f>+IFERROR(VLOOKUP(A101,Adhesiones!$B$62:$F$83,4,0),0)</f>
        <v>59062562.053382039</v>
      </c>
      <c r="F101" s="576">
        <f t="shared" si="16"/>
        <v>9.8437603422303399E-2</v>
      </c>
    </row>
    <row r="102" spans="1:6">
      <c r="A102" s="398">
        <v>179</v>
      </c>
      <c r="B102" s="398" t="s">
        <v>468</v>
      </c>
      <c r="C102" s="399">
        <f t="shared" si="15"/>
        <v>3996145</v>
      </c>
      <c r="D102" s="399">
        <v>500000000</v>
      </c>
      <c r="E102" s="399">
        <f>+IFERROR(VLOOKUP(A102,Adhesiones!$B$62:$F$83,4,0),0)</f>
        <v>0</v>
      </c>
      <c r="F102" s="576">
        <f t="shared" si="16"/>
        <v>0</v>
      </c>
    </row>
    <row r="103" spans="1:6">
      <c r="A103" s="398">
        <v>182</v>
      </c>
      <c r="B103" s="398" t="s">
        <v>630</v>
      </c>
      <c r="C103" s="399">
        <f t="shared" si="15"/>
        <v>71850341</v>
      </c>
      <c r="D103" s="399">
        <v>750000000</v>
      </c>
      <c r="E103" s="399">
        <f>+IFERROR(VLOOKUP(A103,Adhesiones!$B$62:$F$83,4,0),0)</f>
        <v>28299407.5</v>
      </c>
      <c r="F103" s="576">
        <f t="shared" si="16"/>
        <v>3.7732543333333333E-2</v>
      </c>
    </row>
    <row r="104" spans="1:6">
      <c r="A104" s="398">
        <v>184</v>
      </c>
      <c r="B104" s="398" t="s">
        <v>631</v>
      </c>
      <c r="C104" s="399">
        <f t="shared" si="15"/>
        <v>18012523</v>
      </c>
      <c r="D104" s="399">
        <v>750000000</v>
      </c>
      <c r="E104" s="399">
        <f>+IFERROR(VLOOKUP(A104,Adhesiones!$B$62:$F$83,4,0),0)</f>
        <v>0</v>
      </c>
      <c r="F104" s="576">
        <f t="shared" si="16"/>
        <v>0</v>
      </c>
    </row>
    <row r="105" spans="1:6">
      <c r="A105" s="398">
        <v>183</v>
      </c>
      <c r="B105" s="398" t="s">
        <v>470</v>
      </c>
      <c r="C105" s="399">
        <f t="shared" si="15"/>
        <v>0</v>
      </c>
      <c r="D105" s="399">
        <f>1000000000-539183391</f>
        <v>460816609</v>
      </c>
      <c r="E105" s="399">
        <f>+IFERROR(VLOOKUP(A105,Adhesiones!$B$62:$F$83,4,0),0)</f>
        <v>88530000.5</v>
      </c>
      <c r="F105" s="576">
        <f t="shared" si="16"/>
        <v>0.19211547233966994</v>
      </c>
    </row>
    <row r="106" spans="1:6">
      <c r="A106" s="398">
        <v>187</v>
      </c>
      <c r="B106" s="398" t="s">
        <v>236</v>
      </c>
      <c r="C106" s="399">
        <f t="shared" si="15"/>
        <v>10557133</v>
      </c>
      <c r="D106" s="399">
        <v>1000000000</v>
      </c>
      <c r="E106" s="399">
        <f>+IFERROR(VLOOKUP(A106,Adhesiones!$B$62:$F$83,4,0),0)</f>
        <v>0</v>
      </c>
      <c r="F106" s="576">
        <f t="shared" si="16"/>
        <v>0</v>
      </c>
    </row>
    <row r="107" spans="1:6">
      <c r="A107" s="398">
        <v>188</v>
      </c>
      <c r="B107" s="398" t="s">
        <v>272</v>
      </c>
      <c r="C107" s="399">
        <f t="shared" si="15"/>
        <v>210372949</v>
      </c>
      <c r="D107" s="399">
        <v>1485000000</v>
      </c>
      <c r="E107" s="399">
        <f>+IFERROR(VLOOKUP(A107,Adhesiones!$B$62:$F$83,4,0),0)</f>
        <v>0</v>
      </c>
      <c r="F107" s="576">
        <f t="shared" si="16"/>
        <v>0</v>
      </c>
    </row>
    <row r="108" spans="1:6">
      <c r="A108" s="398">
        <v>189</v>
      </c>
      <c r="B108" s="398" t="s">
        <v>300</v>
      </c>
      <c r="C108" s="399">
        <f t="shared" si="15"/>
        <v>34064251</v>
      </c>
      <c r="D108" s="399">
        <v>273000000</v>
      </c>
      <c r="E108" s="399">
        <f>+IFERROR(VLOOKUP(A108,Adhesiones!$B$62:$F$83,4,0),0)</f>
        <v>26666591.333333313</v>
      </c>
      <c r="F108" s="576">
        <f t="shared" si="16"/>
        <v>9.7679821733821656E-2</v>
      </c>
    </row>
    <row r="109" spans="1:6">
      <c r="A109" s="398">
        <v>190</v>
      </c>
      <c r="B109" s="398" t="s">
        <v>632</v>
      </c>
      <c r="C109" s="399">
        <f t="shared" si="15"/>
        <v>81088239.219999999</v>
      </c>
      <c r="D109" s="399">
        <v>650000000</v>
      </c>
      <c r="E109" s="399">
        <f>+IFERROR(VLOOKUP(A109,Adhesiones!$B$62:$F$83,4,0),0)</f>
        <v>67034274.903226018</v>
      </c>
      <c r="F109" s="576">
        <f t="shared" si="16"/>
        <v>0.1031296536972708</v>
      </c>
    </row>
    <row r="110" spans="1:6">
      <c r="A110" s="398">
        <v>191</v>
      </c>
      <c r="B110" s="398" t="s">
        <v>391</v>
      </c>
      <c r="C110" s="399">
        <f t="shared" si="15"/>
        <v>56263943</v>
      </c>
      <c r="D110" s="399">
        <v>600000000</v>
      </c>
      <c r="E110" s="399">
        <f>+IFERROR(VLOOKUP(A110,Adhesiones!$B$62:$F$83,4,0),0)</f>
        <v>32000000</v>
      </c>
      <c r="F110" s="576">
        <f t="shared" si="16"/>
        <v>5.3333333333333337E-2</v>
      </c>
    </row>
    <row r="111" spans="1:6">
      <c r="A111" s="398">
        <v>192</v>
      </c>
      <c r="B111" s="398" t="s">
        <v>385</v>
      </c>
      <c r="C111" s="399">
        <f t="shared" si="15"/>
        <v>7282050</v>
      </c>
      <c r="D111" s="399">
        <v>300000000</v>
      </c>
      <c r="E111" s="399">
        <f>+IFERROR(VLOOKUP(A111,Adhesiones!$B$62:$F$83,4,0),0)</f>
        <v>0</v>
      </c>
      <c r="F111" s="576">
        <f t="shared" si="16"/>
        <v>0</v>
      </c>
    </row>
    <row r="112" spans="1:6">
      <c r="D112" s="1041">
        <f>+SUM(D90:D111)</f>
        <v>12643949159</v>
      </c>
      <c r="E112" s="399">
        <f>+IFERROR(VLOOKUP(A112,Adhesiones!$B$62:$F$79,4,0),0)</f>
        <v>0</v>
      </c>
    </row>
  </sheetData>
  <mergeCells count="39">
    <mergeCell ref="G79:I79"/>
    <mergeCell ref="E9:E10"/>
    <mergeCell ref="L9:L10"/>
    <mergeCell ref="G80:I80"/>
    <mergeCell ref="D79:E79"/>
    <mergeCell ref="H9:K9"/>
    <mergeCell ref="G41:G42"/>
    <mergeCell ref="D78:E78"/>
    <mergeCell ref="D77:E77"/>
    <mergeCell ref="F9:F10"/>
    <mergeCell ref="G78:I78"/>
    <mergeCell ref="G77:I77"/>
    <mergeCell ref="H41:J41"/>
    <mergeCell ref="A2:O4"/>
    <mergeCell ref="A9:A10"/>
    <mergeCell ref="B9:B10"/>
    <mergeCell ref="C9:C10"/>
    <mergeCell ref="D9:D10"/>
    <mergeCell ref="M9:M10"/>
    <mergeCell ref="A41:A42"/>
    <mergeCell ref="B41:B42"/>
    <mergeCell ref="C41:C42"/>
    <mergeCell ref="D41:D42"/>
    <mergeCell ref="G9:G10"/>
    <mergeCell ref="E41:E42"/>
    <mergeCell ref="O41:O42"/>
    <mergeCell ref="F41:F42"/>
    <mergeCell ref="P9:P10"/>
    <mergeCell ref="L41:L42"/>
    <mergeCell ref="P14:Q14"/>
    <mergeCell ref="P38:Q38"/>
    <mergeCell ref="Q9:R10"/>
    <mergeCell ref="O9:O10"/>
    <mergeCell ref="Q11:R11"/>
    <mergeCell ref="N9:N10"/>
    <mergeCell ref="P41:Q42"/>
    <mergeCell ref="M41:M42"/>
    <mergeCell ref="N41:N42"/>
    <mergeCell ref="K41:K42"/>
  </mergeCells>
  <printOptions horizontalCentered="1" verticalCentered="1"/>
  <pageMargins left="0.23622047244094491" right="0.23622047244094491" top="0.39370078740157483" bottom="0.39370078740157483" header="0" footer="0"/>
  <pageSetup paperSize="9" scale="35" orientation="landscape" r:id="rId1"/>
  <colBreaks count="1" manualBreakCount="1">
    <brk id="16" min="1" max="79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I18"/>
  <sheetViews>
    <sheetView showGridLines="0" workbookViewId="0">
      <selection activeCell="H9" sqref="H9:I15"/>
    </sheetView>
  </sheetViews>
  <sheetFormatPr baseColWidth="10" defaultRowHeight="12.75"/>
  <cols>
    <col min="1" max="3" width="11.42578125" style="237"/>
    <col min="4" max="4" width="43" style="237" customWidth="1"/>
    <col min="5" max="5" width="17.7109375" style="237" customWidth="1"/>
    <col min="6" max="7" width="21" style="319" customWidth="1"/>
    <col min="8" max="8" width="14.5703125" style="237" customWidth="1"/>
    <col min="9" max="9" width="15" style="237" bestFit="1" customWidth="1"/>
    <col min="10" max="10" width="24.85546875" style="237" bestFit="1" customWidth="1"/>
    <col min="11" max="11" width="16.5703125" style="237" bestFit="1" customWidth="1"/>
    <col min="12" max="12" width="15.42578125" style="237" bestFit="1" customWidth="1"/>
    <col min="13" max="16384" width="11.42578125" style="237"/>
  </cols>
  <sheetData>
    <row r="1" spans="1:9" ht="15">
      <c r="A1" s="668" t="s">
        <v>105</v>
      </c>
      <c r="B1" s="668"/>
      <c r="C1" s="668"/>
      <c r="D1" s="668"/>
      <c r="E1" s="668"/>
      <c r="F1" s="668"/>
      <c r="G1" s="668"/>
    </row>
    <row r="2" spans="1:9" ht="15">
      <c r="A2" s="668" t="s">
        <v>106</v>
      </c>
      <c r="B2" s="668"/>
      <c r="C2" s="668"/>
      <c r="D2" s="668"/>
      <c r="E2" s="668"/>
      <c r="F2" s="668"/>
      <c r="G2" s="668"/>
    </row>
    <row r="3" spans="1:9" ht="15">
      <c r="A3" s="668" t="s">
        <v>107</v>
      </c>
      <c r="B3" s="668"/>
      <c r="C3" s="668"/>
      <c r="D3" s="668"/>
      <c r="E3" s="668"/>
      <c r="F3" s="668"/>
      <c r="G3" s="668"/>
    </row>
    <row r="4" spans="1:9" ht="15">
      <c r="A4" s="668" t="s">
        <v>108</v>
      </c>
      <c r="B4" s="668"/>
      <c r="C4" s="668"/>
      <c r="D4" s="668"/>
      <c r="E4" s="668"/>
      <c r="F4" s="668"/>
      <c r="G4" s="668"/>
    </row>
    <row r="5" spans="1:9" ht="15">
      <c r="A5" s="668" t="s">
        <v>1991</v>
      </c>
      <c r="B5" s="668"/>
      <c r="C5" s="668"/>
      <c r="D5" s="668"/>
      <c r="E5" s="668"/>
      <c r="F5" s="668"/>
      <c r="G5" s="668"/>
    </row>
    <row r="6" spans="1:9" ht="15">
      <c r="A6" s="668" t="s">
        <v>1992</v>
      </c>
      <c r="B6" s="668"/>
      <c r="C6" s="668"/>
      <c r="D6" s="668"/>
      <c r="E6" s="668"/>
      <c r="F6" s="668"/>
      <c r="G6" s="668"/>
    </row>
    <row r="7" spans="1:9" ht="15">
      <c r="A7" s="668" t="s">
        <v>109</v>
      </c>
      <c r="B7" s="668"/>
      <c r="C7" s="668"/>
      <c r="D7" s="668"/>
      <c r="E7" s="668"/>
      <c r="F7" s="668"/>
      <c r="G7" s="668"/>
    </row>
    <row r="8" spans="1:9" ht="15">
      <c r="A8" s="668" t="s">
        <v>106</v>
      </c>
      <c r="B8" s="668"/>
      <c r="C8" s="668"/>
      <c r="D8" s="668"/>
      <c r="E8" s="668"/>
      <c r="F8" s="668"/>
      <c r="G8" s="668"/>
    </row>
    <row r="9" spans="1:9" ht="15">
      <c r="A9" s="803" t="s">
        <v>110</v>
      </c>
      <c r="B9" s="803" t="s">
        <v>111</v>
      </c>
      <c r="C9" s="803" t="s">
        <v>112</v>
      </c>
      <c r="D9" s="803" t="s">
        <v>113</v>
      </c>
      <c r="E9" s="803" t="s">
        <v>114</v>
      </c>
      <c r="F9" s="803" t="s">
        <v>115</v>
      </c>
      <c r="G9" s="803" t="s">
        <v>116</v>
      </c>
      <c r="H9" s="955"/>
    </row>
    <row r="10" spans="1:9" ht="15">
      <c r="A10" s="667">
        <v>901</v>
      </c>
      <c r="B10" s="667">
        <v>103</v>
      </c>
      <c r="C10" s="667">
        <v>146</v>
      </c>
      <c r="D10" s="774" t="s">
        <v>2032</v>
      </c>
      <c r="E10" s="666">
        <v>44957</v>
      </c>
      <c r="F10" s="801">
        <v>36701355.899999999</v>
      </c>
      <c r="G10" s="801"/>
      <c r="H10" s="955"/>
    </row>
    <row r="11" spans="1:9" ht="15">
      <c r="A11" s="667">
        <v>901</v>
      </c>
      <c r="B11" s="667">
        <v>103</v>
      </c>
      <c r="C11" s="667">
        <v>153</v>
      </c>
      <c r="D11" s="774" t="s">
        <v>2032</v>
      </c>
      <c r="E11" s="666">
        <v>44957</v>
      </c>
      <c r="F11" s="801">
        <v>95234681</v>
      </c>
      <c r="G11" s="801"/>
      <c r="H11" s="955"/>
    </row>
    <row r="12" spans="1:9" ht="15">
      <c r="A12" s="667">
        <v>902</v>
      </c>
      <c r="B12" s="667">
        <v>202</v>
      </c>
      <c r="C12" s="667">
        <v>6</v>
      </c>
      <c r="D12" s="774" t="s">
        <v>2033</v>
      </c>
      <c r="E12" s="666">
        <v>44942</v>
      </c>
      <c r="F12" s="801"/>
      <c r="G12" s="801">
        <v>6134735</v>
      </c>
      <c r="H12" s="955"/>
    </row>
    <row r="13" spans="1:9" ht="15">
      <c r="A13" s="667">
        <v>902</v>
      </c>
      <c r="B13" s="667">
        <v>202</v>
      </c>
      <c r="C13" s="667">
        <v>69</v>
      </c>
      <c r="D13" s="774" t="s">
        <v>2034</v>
      </c>
      <c r="E13" s="666">
        <v>44946</v>
      </c>
      <c r="F13" s="801"/>
      <c r="G13" s="801">
        <v>431654</v>
      </c>
      <c r="H13" s="955"/>
    </row>
    <row r="14" spans="1:9" ht="15">
      <c r="A14" s="667">
        <v>902</v>
      </c>
      <c r="B14" s="667">
        <v>202</v>
      </c>
      <c r="C14" s="667">
        <v>413</v>
      </c>
      <c r="D14" s="774" t="s">
        <v>2035</v>
      </c>
      <c r="E14" s="666">
        <v>44957</v>
      </c>
      <c r="F14" s="801"/>
      <c r="G14" s="801">
        <v>638755</v>
      </c>
      <c r="H14" s="955"/>
    </row>
    <row r="15" spans="1:9">
      <c r="A15" s="777"/>
      <c r="B15" s="777"/>
      <c r="C15" s="777"/>
      <c r="D15" s="778" t="s">
        <v>117</v>
      </c>
      <c r="E15" s="779"/>
      <c r="F15" s="780">
        <f>+SUM(F10:F14)</f>
        <v>131936036.90000001</v>
      </c>
      <c r="G15" s="780">
        <f>+SUM(G10:G14)</f>
        <v>7205144</v>
      </c>
      <c r="H15" s="955"/>
      <c r="I15" s="955"/>
    </row>
    <row r="16" spans="1:9">
      <c r="D16" s="240"/>
    </row>
    <row r="17" spans="4:7">
      <c r="D17" s="240" t="s">
        <v>118</v>
      </c>
      <c r="F17" s="901">
        <v>14735428917.859999</v>
      </c>
      <c r="G17" s="901"/>
    </row>
    <row r="18" spans="4:7" ht="15">
      <c r="D18" s="239" t="s">
        <v>119</v>
      </c>
      <c r="E18" s="239"/>
      <c r="F18" s="902">
        <f>+F17+F15-G15</f>
        <v>14860159810.759998</v>
      </c>
      <c r="G18" s="903"/>
    </row>
  </sheetData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/>
  <dimension ref="A1:J25"/>
  <sheetViews>
    <sheetView showGridLines="0" zoomScale="90" zoomScaleNormal="90" workbookViewId="0">
      <selection activeCell="F18" sqref="F18"/>
    </sheetView>
  </sheetViews>
  <sheetFormatPr baseColWidth="10" defaultRowHeight="12.75"/>
  <cols>
    <col min="1" max="3" width="11.42578125" style="72"/>
    <col min="4" max="4" width="81.140625" style="72" customWidth="1"/>
    <col min="5" max="5" width="12.42578125" style="72" customWidth="1"/>
    <col min="6" max="6" width="23" style="381" bestFit="1" customWidth="1"/>
    <col min="7" max="7" width="20.28515625" style="381" bestFit="1" customWidth="1"/>
    <col min="8" max="8" width="20.42578125" style="72" bestFit="1" customWidth="1"/>
    <col min="9" max="9" width="17.5703125" style="72" bestFit="1" customWidth="1"/>
    <col min="10" max="10" width="15.42578125" style="72" bestFit="1" customWidth="1"/>
    <col min="11" max="11" width="12.7109375" style="72" bestFit="1" customWidth="1"/>
    <col min="12" max="16384" width="11.42578125" style="72"/>
  </cols>
  <sheetData>
    <row r="1" spans="1:9" ht="15">
      <c r="A1" s="674" t="s">
        <v>105</v>
      </c>
      <c r="B1" s="674"/>
      <c r="C1" s="674"/>
      <c r="D1" s="674"/>
      <c r="E1" s="674"/>
      <c r="F1" s="674"/>
      <c r="G1" s="674"/>
      <c r="H1" s="674"/>
    </row>
    <row r="2" spans="1:9" ht="15">
      <c r="A2" s="674" t="s">
        <v>106</v>
      </c>
      <c r="B2" s="674"/>
      <c r="C2" s="674"/>
      <c r="D2" s="674"/>
      <c r="E2" s="674"/>
      <c r="F2" s="674"/>
      <c r="G2" s="674"/>
      <c r="H2" s="674"/>
    </row>
    <row r="3" spans="1:9" ht="15">
      <c r="A3" s="674" t="s">
        <v>107</v>
      </c>
      <c r="B3" s="674"/>
      <c r="C3" s="674"/>
      <c r="D3" s="674"/>
      <c r="E3" s="674"/>
      <c r="F3" s="674"/>
      <c r="G3" s="674"/>
      <c r="H3" s="674"/>
    </row>
    <row r="4" spans="1:9" ht="15">
      <c r="A4" s="674" t="s">
        <v>473</v>
      </c>
      <c r="B4" s="674"/>
      <c r="C4" s="674"/>
      <c r="D4" s="674"/>
      <c r="E4" s="674"/>
      <c r="F4" s="674"/>
      <c r="G4" s="674"/>
      <c r="H4" s="674"/>
    </row>
    <row r="5" spans="1:9" ht="15">
      <c r="A5" s="674" t="s">
        <v>1991</v>
      </c>
      <c r="B5" s="674"/>
      <c r="C5" s="674"/>
      <c r="D5" s="674"/>
      <c r="E5" s="674"/>
      <c r="F5" s="674"/>
      <c r="G5" s="674"/>
      <c r="H5" s="674"/>
    </row>
    <row r="6" spans="1:9" ht="15">
      <c r="A6" s="674" t="s">
        <v>1992</v>
      </c>
      <c r="B6" s="674"/>
      <c r="C6" s="674"/>
      <c r="D6" s="674"/>
      <c r="E6" s="674"/>
      <c r="F6" s="674"/>
      <c r="G6" s="674"/>
      <c r="H6" s="674"/>
    </row>
    <row r="7" spans="1:9" ht="15">
      <c r="A7" s="674" t="s">
        <v>474</v>
      </c>
      <c r="B7" s="674"/>
      <c r="C7" s="674"/>
      <c r="D7" s="674"/>
      <c r="E7" s="674"/>
      <c r="F7" s="674"/>
      <c r="G7" s="674"/>
      <c r="H7" s="674"/>
    </row>
    <row r="8" spans="1:9" ht="15">
      <c r="A8" s="674" t="s">
        <v>106</v>
      </c>
      <c r="B8" s="674"/>
      <c r="C8" s="674"/>
      <c r="D8" s="674"/>
      <c r="E8" s="674"/>
      <c r="F8" s="674"/>
      <c r="G8" s="674"/>
      <c r="H8" s="674"/>
    </row>
    <row r="9" spans="1:9" ht="15">
      <c r="A9" s="774" t="s">
        <v>110</v>
      </c>
      <c r="B9" s="774" t="s">
        <v>111</v>
      </c>
      <c r="C9" s="774" t="s">
        <v>112</v>
      </c>
      <c r="D9" s="774" t="s">
        <v>113</v>
      </c>
      <c r="E9" s="774" t="s">
        <v>114</v>
      </c>
      <c r="F9" s="774" t="s">
        <v>115</v>
      </c>
      <c r="G9" s="774" t="s">
        <v>116</v>
      </c>
      <c r="H9" s="674"/>
    </row>
    <row r="10" spans="1:9" ht="15">
      <c r="A10" s="774" t="s">
        <v>106</v>
      </c>
      <c r="B10" s="774"/>
      <c r="C10" s="774"/>
      <c r="D10" s="774"/>
      <c r="E10" s="774"/>
      <c r="F10" s="774"/>
      <c r="G10" s="774"/>
      <c r="H10" s="674"/>
    </row>
    <row r="11" spans="1:9" ht="15">
      <c r="A11" s="774">
        <v>904</v>
      </c>
      <c r="B11" s="774">
        <v>402</v>
      </c>
      <c r="C11" s="774">
        <v>87</v>
      </c>
      <c r="D11" s="774" t="s">
        <v>2036</v>
      </c>
      <c r="E11" s="775">
        <v>44957</v>
      </c>
      <c r="F11" s="917">
        <v>24369999</v>
      </c>
      <c r="G11" s="917"/>
      <c r="H11" s="934"/>
      <c r="I11" s="798"/>
    </row>
    <row r="12" spans="1:9" ht="15">
      <c r="A12" s="774">
        <v>905</v>
      </c>
      <c r="B12" s="774">
        <v>503</v>
      </c>
      <c r="C12" s="774">
        <v>8</v>
      </c>
      <c r="D12" s="774" t="s">
        <v>1994</v>
      </c>
      <c r="E12" s="775">
        <v>44953</v>
      </c>
      <c r="F12" s="917">
        <v>2815655</v>
      </c>
      <c r="G12" s="917"/>
      <c r="H12" s="934"/>
      <c r="I12" s="798"/>
    </row>
    <row r="13" spans="1:9" ht="15">
      <c r="A13" s="774">
        <v>905</v>
      </c>
      <c r="B13" s="774">
        <v>503</v>
      </c>
      <c r="C13" s="774">
        <v>8</v>
      </c>
      <c r="D13" s="774" t="s">
        <v>1994</v>
      </c>
      <c r="E13" s="775">
        <v>44953</v>
      </c>
      <c r="F13" s="917">
        <v>534974</v>
      </c>
      <c r="G13" s="917"/>
      <c r="H13" s="934"/>
      <c r="I13" s="798"/>
    </row>
    <row r="14" spans="1:9" ht="15">
      <c r="A14" s="774">
        <v>911</v>
      </c>
      <c r="B14" s="774">
        <v>156</v>
      </c>
      <c r="C14" s="774">
        <v>7</v>
      </c>
      <c r="D14" s="774" t="s">
        <v>2037</v>
      </c>
      <c r="E14" s="775">
        <v>44956</v>
      </c>
      <c r="F14" s="917">
        <v>24538</v>
      </c>
      <c r="G14" s="917"/>
      <c r="H14" s="934"/>
      <c r="I14" s="798"/>
    </row>
    <row r="15" spans="1:9" ht="15">
      <c r="A15" s="774">
        <v>911</v>
      </c>
      <c r="B15" s="774">
        <v>156</v>
      </c>
      <c r="C15" s="774">
        <v>7</v>
      </c>
      <c r="D15" s="774" t="s">
        <v>2037</v>
      </c>
      <c r="E15" s="775">
        <v>44956</v>
      </c>
      <c r="F15" s="917">
        <v>1727</v>
      </c>
      <c r="G15" s="917"/>
      <c r="H15" s="934"/>
      <c r="I15" s="798"/>
    </row>
    <row r="16" spans="1:9" ht="15">
      <c r="A16" s="774">
        <v>911</v>
      </c>
      <c r="B16" s="774">
        <v>503</v>
      </c>
      <c r="C16" s="774">
        <v>12</v>
      </c>
      <c r="D16" s="774" t="s">
        <v>1994</v>
      </c>
      <c r="E16" s="775">
        <v>44956</v>
      </c>
      <c r="F16" s="917">
        <v>13403</v>
      </c>
      <c r="G16" s="917"/>
      <c r="H16" s="934"/>
      <c r="I16" s="798"/>
    </row>
    <row r="17" spans="4:10">
      <c r="J17" s="798"/>
    </row>
    <row r="18" spans="4:10">
      <c r="D18" s="378" t="s">
        <v>117</v>
      </c>
      <c r="E18" s="377"/>
      <c r="F18" s="379">
        <f>+SUM(F11:F16)</f>
        <v>27760296</v>
      </c>
      <c r="G18" s="379">
        <f>+SUM(G11:G15)</f>
        <v>0</v>
      </c>
      <c r="H18" s="776"/>
      <c r="J18" s="799"/>
    </row>
    <row r="19" spans="4:10">
      <c r="D19" s="74"/>
      <c r="F19" s="1119">
        <f>+F12+F13</f>
        <v>3350629</v>
      </c>
      <c r="G19" s="72"/>
    </row>
    <row r="20" spans="4:10">
      <c r="D20" s="74" t="s">
        <v>118</v>
      </c>
      <c r="F20" s="72">
        <f>+F19*0.004</f>
        <v>13402.516</v>
      </c>
      <c r="G20" s="380">
        <v>14152186791.83</v>
      </c>
    </row>
    <row r="21" spans="4:10">
      <c r="D21" s="378" t="s">
        <v>119</v>
      </c>
      <c r="F21" s="72"/>
      <c r="G21" s="376">
        <f>+G20+G18-F18</f>
        <v>14124426495.83</v>
      </c>
      <c r="H21" s="381"/>
    </row>
    <row r="23" spans="4:10">
      <c r="J23" s="366"/>
    </row>
    <row r="24" spans="4:10">
      <c r="J24" s="366"/>
    </row>
    <row r="25" spans="4:10">
      <c r="E25" s="800"/>
    </row>
  </sheetData>
  <autoFilter ref="A9:G15" xr:uid="{00000000-0009-0000-0000-000006000000}"/>
  <phoneticPr fontId="23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5"/>
  <dimension ref="A1:K26"/>
  <sheetViews>
    <sheetView showGridLines="0" zoomScale="90" zoomScaleNormal="90" workbookViewId="0">
      <selection activeCell="D15" sqref="D15"/>
    </sheetView>
  </sheetViews>
  <sheetFormatPr baseColWidth="10" defaultRowHeight="12.75"/>
  <cols>
    <col min="1" max="3" width="11.42578125" style="72"/>
    <col min="4" max="4" width="53.85546875" style="72" customWidth="1"/>
    <col min="5" max="5" width="12.42578125" style="72" customWidth="1"/>
    <col min="6" max="6" width="23" style="381" bestFit="1" customWidth="1"/>
    <col min="7" max="7" width="20.28515625" style="381" bestFit="1" customWidth="1"/>
    <col min="8" max="8" width="19.42578125" style="72" customWidth="1"/>
    <col min="9" max="9" width="17.5703125" style="72" bestFit="1" customWidth="1"/>
    <col min="10" max="10" width="20.85546875" style="72" bestFit="1" customWidth="1"/>
    <col min="11" max="11" width="12.7109375" style="72" bestFit="1" customWidth="1"/>
    <col min="12" max="16384" width="11.42578125" style="72"/>
  </cols>
  <sheetData>
    <row r="1" spans="1:11">
      <c r="A1" s="72" t="s">
        <v>105</v>
      </c>
      <c r="D1" s="74"/>
      <c r="F1" s="72"/>
      <c r="G1" s="72"/>
    </row>
    <row r="2" spans="1:11">
      <c r="A2" s="72" t="s">
        <v>106</v>
      </c>
      <c r="D2" s="74"/>
      <c r="F2" s="72"/>
      <c r="G2" s="72"/>
    </row>
    <row r="3" spans="1:11">
      <c r="A3" s="72" t="s">
        <v>107</v>
      </c>
      <c r="D3" s="74"/>
      <c r="F3" s="72"/>
      <c r="G3" s="72"/>
    </row>
    <row r="4" spans="1:11" ht="15">
      <c r="A4" s="674" t="s">
        <v>307</v>
      </c>
      <c r="D4" s="74"/>
      <c r="F4" s="72"/>
      <c r="G4" s="72"/>
    </row>
    <row r="5" spans="1:11">
      <c r="A5" s="72" t="s">
        <v>1991</v>
      </c>
      <c r="D5" s="74"/>
      <c r="F5" s="72"/>
      <c r="G5" s="72"/>
    </row>
    <row r="6" spans="1:11">
      <c r="A6" s="72" t="s">
        <v>1991</v>
      </c>
      <c r="D6" s="74"/>
      <c r="F6" s="72"/>
      <c r="G6" s="72"/>
    </row>
    <row r="7" spans="1:11">
      <c r="A7" s="72" t="s">
        <v>120</v>
      </c>
      <c r="D7" s="74"/>
      <c r="F7" s="72"/>
      <c r="G7" s="72"/>
    </row>
    <row r="8" spans="1:11">
      <c r="A8" s="72" t="s">
        <v>106</v>
      </c>
      <c r="D8" s="74"/>
      <c r="F8" s="72"/>
      <c r="G8" s="72"/>
    </row>
    <row r="9" spans="1:11" s="377" customFormat="1">
      <c r="A9" s="935" t="s">
        <v>110</v>
      </c>
      <c r="B9" s="935" t="s">
        <v>111</v>
      </c>
      <c r="C9" s="935" t="s">
        <v>112</v>
      </c>
      <c r="D9" s="936" t="s">
        <v>113</v>
      </c>
      <c r="E9" s="935" t="s">
        <v>114</v>
      </c>
      <c r="F9" s="935" t="s">
        <v>115</v>
      </c>
      <c r="G9" s="935" t="s">
        <v>116</v>
      </c>
      <c r="H9" s="937" t="s">
        <v>37</v>
      </c>
      <c r="I9" s="937" t="s">
        <v>115</v>
      </c>
      <c r="J9" s="937" t="s">
        <v>171</v>
      </c>
      <c r="K9" s="937"/>
    </row>
    <row r="10" spans="1:11" s="377" customFormat="1" ht="15">
      <c r="A10" s="667">
        <v>901</v>
      </c>
      <c r="B10" s="667">
        <v>103</v>
      </c>
      <c r="C10" s="667">
        <v>153</v>
      </c>
      <c r="D10" s="667" t="s">
        <v>1993</v>
      </c>
      <c r="E10" s="666">
        <v>44957</v>
      </c>
      <c r="F10" s="935"/>
      <c r="G10" s="1092">
        <v>95234681</v>
      </c>
      <c r="H10" s="937"/>
      <c r="I10" s="937"/>
      <c r="J10" s="937"/>
      <c r="K10" s="937"/>
    </row>
    <row r="11" spans="1:11">
      <c r="A11" s="63"/>
      <c r="B11" s="63"/>
      <c r="C11" s="63"/>
      <c r="D11" s="74"/>
      <c r="E11" s="75"/>
      <c r="F11" s="76"/>
      <c r="G11" s="77"/>
      <c r="H11" s="236"/>
      <c r="I11" s="233"/>
      <c r="J11" s="234">
        <v>39200</v>
      </c>
      <c r="K11" s="233"/>
    </row>
    <row r="12" spans="1:11" ht="15" customHeight="1">
      <c r="A12" s="63"/>
      <c r="B12" s="63"/>
      <c r="C12" s="63"/>
      <c r="D12" s="74"/>
      <c r="E12" s="75"/>
      <c r="F12" s="77"/>
      <c r="G12" s="76"/>
      <c r="H12" s="233"/>
      <c r="I12" s="233"/>
      <c r="J12" s="233"/>
      <c r="K12" s="235" t="e">
        <f>+#REF!+J11</f>
        <v>#REF!</v>
      </c>
    </row>
    <row r="13" spans="1:11">
      <c r="D13" s="378" t="s">
        <v>117</v>
      </c>
      <c r="E13" s="377"/>
      <c r="F13" s="379">
        <f>+SUM(F10:F10)</f>
        <v>0</v>
      </c>
      <c r="G13" s="379">
        <f>+SUM(G10:G10)</f>
        <v>95234681</v>
      </c>
      <c r="H13" s="938"/>
      <c r="I13" s="939"/>
      <c r="J13" s="236"/>
      <c r="K13" s="233"/>
    </row>
    <row r="14" spans="1:11">
      <c r="D14" s="74"/>
      <c r="F14" s="72"/>
      <c r="G14" s="72"/>
      <c r="H14" s="233"/>
      <c r="I14" s="233"/>
      <c r="J14" s="233"/>
      <c r="K14" s="233"/>
    </row>
    <row r="15" spans="1:11" ht="15">
      <c r="D15" s="74" t="s">
        <v>118</v>
      </c>
      <c r="F15" s="72"/>
      <c r="G15" s="380">
        <v>595549402</v>
      </c>
      <c r="H15" s="940"/>
    </row>
    <row r="16" spans="1:11">
      <c r="D16" s="378" t="s">
        <v>119</v>
      </c>
      <c r="F16" s="72"/>
      <c r="G16" s="376">
        <f>+G15+G13-F13</f>
        <v>690784083</v>
      </c>
      <c r="H16" s="380"/>
    </row>
    <row r="17" spans="4:8">
      <c r="D17" s="74"/>
      <c r="F17" s="72"/>
      <c r="G17" s="943">
        <v>4192175</v>
      </c>
      <c r="H17" s="944" t="e">
        <f>+G15+#REF!-#REF!</f>
        <v>#REF!</v>
      </c>
    </row>
    <row r="18" spans="4:8">
      <c r="F18" s="941"/>
      <c r="G18" s="942">
        <f>+'Anexo 2 Sena'!E45+'Anexo 2 Sena'!F79</f>
        <v>83551813</v>
      </c>
      <c r="H18" s="233"/>
    </row>
    <row r="19" spans="4:8">
      <c r="F19" s="941"/>
      <c r="G19" s="942">
        <f>+G16-G18</f>
        <v>607232270</v>
      </c>
      <c r="H19" s="233"/>
    </row>
    <row r="20" spans="4:8">
      <c r="F20" s="941"/>
      <c r="G20" s="942"/>
      <c r="H20" s="233"/>
    </row>
    <row r="21" spans="4:8">
      <c r="F21" s="941"/>
      <c r="G21" s="941"/>
    </row>
    <row r="22" spans="4:8">
      <c r="F22" s="941"/>
      <c r="G22" s="941"/>
    </row>
    <row r="23" spans="4:8">
      <c r="F23" s="941"/>
      <c r="G23" s="941"/>
    </row>
    <row r="24" spans="4:8">
      <c r="G24" s="942"/>
    </row>
    <row r="25" spans="4:8">
      <c r="G25" s="942"/>
    </row>
    <row r="26" spans="4:8">
      <c r="G26" s="942"/>
    </row>
  </sheetData>
  <autoFilter ref="A9:G10" xr:uid="{00000000-0009-0000-0000-000007000000}">
    <sortState ref="A10:G13">
      <sortCondition ref="E9:E10"/>
    </sortState>
  </autoFilter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A1:I20"/>
  <sheetViews>
    <sheetView showGridLines="0" workbookViewId="0">
      <selection activeCell="A7" sqref="A7"/>
    </sheetView>
  </sheetViews>
  <sheetFormatPr baseColWidth="10" defaultRowHeight="15"/>
  <cols>
    <col min="4" max="4" width="31.140625" customWidth="1"/>
    <col min="6" max="6" width="14.28515625" bestFit="1" customWidth="1"/>
    <col min="7" max="7" width="14.85546875" bestFit="1" customWidth="1"/>
    <col min="8" max="8" width="14.140625" bestFit="1" customWidth="1"/>
  </cols>
  <sheetData>
    <row r="1" spans="1:7">
      <c r="A1" t="s">
        <v>105</v>
      </c>
    </row>
    <row r="2" spans="1:7">
      <c r="A2" t="s">
        <v>106</v>
      </c>
    </row>
    <row r="3" spans="1:7">
      <c r="A3" t="s">
        <v>107</v>
      </c>
    </row>
    <row r="4" spans="1:7">
      <c r="A4" t="s">
        <v>228</v>
      </c>
    </row>
    <row r="5" spans="1:7">
      <c r="A5" s="294" t="s">
        <v>1991</v>
      </c>
    </row>
    <row r="6" spans="1:7">
      <c r="A6" s="294" t="s">
        <v>1992</v>
      </c>
    </row>
    <row r="7" spans="1:7">
      <c r="A7" t="s">
        <v>227</v>
      </c>
    </row>
    <row r="8" spans="1:7">
      <c r="A8" t="s">
        <v>106</v>
      </c>
    </row>
    <row r="10" spans="1:7" s="294" customFormat="1">
      <c r="A10" s="668" t="s">
        <v>110</v>
      </c>
      <c r="B10" s="668" t="s">
        <v>111</v>
      </c>
      <c r="C10" s="668" t="s">
        <v>112</v>
      </c>
      <c r="D10" s="668" t="s">
        <v>113</v>
      </c>
      <c r="E10" s="668" t="s">
        <v>114</v>
      </c>
      <c r="F10" s="668" t="s">
        <v>115</v>
      </c>
      <c r="G10" s="668" t="s">
        <v>116</v>
      </c>
    </row>
    <row r="11" spans="1:7" s="294" customFormat="1">
      <c r="A11" s="668" t="s">
        <v>106</v>
      </c>
      <c r="B11" s="668"/>
      <c r="C11" s="668"/>
      <c r="D11" s="668"/>
      <c r="E11" s="668"/>
      <c r="F11" s="668"/>
      <c r="G11" s="668"/>
    </row>
    <row r="12" spans="1:7" s="294" customFormat="1">
      <c r="A12" s="668">
        <v>905</v>
      </c>
      <c r="B12" s="668">
        <v>503</v>
      </c>
      <c r="C12" s="668">
        <v>8</v>
      </c>
      <c r="D12" s="668" t="s">
        <v>1994</v>
      </c>
      <c r="E12" s="298">
        <v>44953</v>
      </c>
      <c r="F12" s="668"/>
      <c r="G12" s="301">
        <v>3350629</v>
      </c>
    </row>
    <row r="13" spans="1:7" s="294" customFormat="1">
      <c r="A13" s="668"/>
      <c r="B13" s="668"/>
      <c r="C13" s="668"/>
      <c r="D13" s="668"/>
      <c r="E13" s="298"/>
      <c r="F13" s="668"/>
      <c r="G13" s="301"/>
    </row>
    <row r="14" spans="1:7" s="294" customFormat="1"/>
    <row r="15" spans="1:7">
      <c r="A15" s="294"/>
      <c r="B15" s="294"/>
      <c r="C15" s="294"/>
      <c r="D15" s="294"/>
      <c r="E15" s="298"/>
      <c r="F15" s="294"/>
      <c r="G15" s="301"/>
    </row>
    <row r="17" spans="4:9">
      <c r="D17" s="71" t="s">
        <v>117</v>
      </c>
      <c r="E17" s="73"/>
      <c r="F17" s="78">
        <f>SUM(F10:F15)</f>
        <v>0</v>
      </c>
      <c r="G17" s="78">
        <f>SUM(G12:G15)</f>
        <v>3350629</v>
      </c>
      <c r="H17" s="278"/>
    </row>
    <row r="18" spans="4:9">
      <c r="D18" s="56"/>
      <c r="E18" s="28"/>
      <c r="F18" s="28"/>
      <c r="G18" s="28"/>
    </row>
    <row r="19" spans="4:9">
      <c r="D19" s="56" t="s">
        <v>118</v>
      </c>
      <c r="E19" s="28"/>
      <c r="F19" s="28"/>
      <c r="G19" s="380">
        <v>29292594</v>
      </c>
      <c r="I19" s="301"/>
    </row>
    <row r="20" spans="4:9">
      <c r="D20" s="378" t="s">
        <v>119</v>
      </c>
      <c r="E20" s="28"/>
      <c r="F20" s="28"/>
      <c r="G20" s="376">
        <f>+G19+F17-G17</f>
        <v>25941965</v>
      </c>
      <c r="I20" s="30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/>
  <dimension ref="A1:J65517"/>
  <sheetViews>
    <sheetView showGridLines="0" topLeftCell="B4" workbookViewId="0">
      <selection activeCell="J6" sqref="J6"/>
    </sheetView>
  </sheetViews>
  <sheetFormatPr baseColWidth="10" defaultColWidth="8" defaultRowHeight="12.75"/>
  <cols>
    <col min="1" max="1" width="18.28515625" style="384" bestFit="1" customWidth="1"/>
    <col min="2" max="2" width="38.140625" style="384" customWidth="1"/>
    <col min="3" max="3" width="9" style="384" bestFit="1" customWidth="1"/>
    <col min="4" max="5" width="21" style="384" bestFit="1" customWidth="1"/>
    <col min="6" max="6" width="22.42578125" style="384" bestFit="1" customWidth="1"/>
    <col min="7" max="7" width="8" style="384"/>
    <col min="8" max="8" width="24.85546875" style="384" bestFit="1" customWidth="1"/>
    <col min="9" max="9" width="21.5703125" style="384" bestFit="1" customWidth="1"/>
    <col min="10" max="10" width="16.5703125" style="384" bestFit="1" customWidth="1"/>
    <col min="11" max="16384" width="8" style="384"/>
  </cols>
  <sheetData>
    <row r="1" spans="1:10" ht="62.25" customHeight="1">
      <c r="A1" s="1280" t="s">
        <v>1135</v>
      </c>
      <c r="B1" s="1281"/>
      <c r="C1" s="1281"/>
      <c r="D1" s="1281"/>
      <c r="E1" s="1281"/>
      <c r="F1" s="1281"/>
    </row>
    <row r="2" spans="1:10" ht="15.75">
      <c r="A2" s="385"/>
      <c r="B2" s="385"/>
      <c r="C2" s="385"/>
      <c r="D2" s="385"/>
      <c r="E2" s="385"/>
      <c r="F2" s="385"/>
    </row>
    <row r="3" spans="1:10" ht="15.75" customHeight="1">
      <c r="A3" s="1282" t="s">
        <v>92</v>
      </c>
      <c r="B3" s="1283"/>
      <c r="C3" s="385"/>
      <c r="D3" s="385"/>
      <c r="E3" s="385"/>
      <c r="F3" s="1284" t="s">
        <v>93</v>
      </c>
      <c r="G3" s="1285"/>
      <c r="H3" s="1286"/>
      <c r="I3" s="1287"/>
    </row>
    <row r="4" spans="1:10" ht="15.75">
      <c r="A4" s="386" t="s">
        <v>94</v>
      </c>
      <c r="B4" s="991">
        <v>14830024843.859999</v>
      </c>
      <c r="C4" s="385"/>
      <c r="D4" s="385"/>
      <c r="E4" s="385"/>
      <c r="F4" s="1288" t="s">
        <v>36</v>
      </c>
      <c r="G4" s="1286"/>
      <c r="H4" s="669" t="s">
        <v>95</v>
      </c>
      <c r="I4" s="669" t="s">
        <v>96</v>
      </c>
    </row>
    <row r="5" spans="1:10" ht="15.75" customHeight="1">
      <c r="A5" s="387" t="s">
        <v>280</v>
      </c>
      <c r="B5" s="820">
        <f>+E19</f>
        <v>95396395</v>
      </c>
      <c r="C5" s="385"/>
      <c r="D5" s="385"/>
      <c r="E5" s="385"/>
      <c r="F5" s="1289" t="s">
        <v>225</v>
      </c>
      <c r="G5" s="1289"/>
      <c r="H5" s="670">
        <f>+E18</f>
        <v>95396395</v>
      </c>
      <c r="I5" s="670">
        <v>0</v>
      </c>
      <c r="J5" s="744"/>
    </row>
    <row r="6" spans="1:10" ht="15.75" customHeight="1">
      <c r="A6" s="387" t="s">
        <v>281</v>
      </c>
      <c r="B6" s="820">
        <f>+D19</f>
        <v>6592655</v>
      </c>
      <c r="C6" s="385"/>
      <c r="D6" s="385"/>
      <c r="E6" s="385"/>
      <c r="F6" s="1290" t="s">
        <v>531</v>
      </c>
      <c r="G6" s="1290"/>
      <c r="H6" s="670">
        <v>0</v>
      </c>
      <c r="I6" s="670">
        <f>+D14+D16</f>
        <v>26266</v>
      </c>
      <c r="J6" s="744">
        <f>+H6-I6</f>
        <v>-26266</v>
      </c>
    </row>
    <row r="7" spans="1:10" ht="15.75" customHeight="1">
      <c r="A7" s="388" t="s">
        <v>97</v>
      </c>
      <c r="B7" s="1040">
        <f>+B4+B5-B6</f>
        <v>14918828583.859999</v>
      </c>
      <c r="C7" s="385"/>
      <c r="D7" s="385"/>
      <c r="E7" s="385"/>
      <c r="F7" s="1291" t="s">
        <v>535</v>
      </c>
      <c r="G7" s="1292"/>
      <c r="H7" s="670">
        <v>0</v>
      </c>
      <c r="I7" s="670">
        <v>0</v>
      </c>
      <c r="J7" s="744"/>
    </row>
    <row r="8" spans="1:10" ht="15.75" customHeight="1">
      <c r="A8" s="786"/>
      <c r="B8" s="787"/>
      <c r="C8" s="385"/>
      <c r="D8" s="385"/>
      <c r="E8" s="385"/>
      <c r="F8" s="1291" t="s">
        <v>600</v>
      </c>
      <c r="G8" s="1292"/>
      <c r="H8" s="670">
        <v>0</v>
      </c>
      <c r="I8" s="670"/>
      <c r="J8" s="744"/>
    </row>
    <row r="9" spans="1:10" ht="15.75" customHeight="1">
      <c r="A9" s="389"/>
      <c r="B9" s="390"/>
      <c r="C9" s="385"/>
      <c r="D9" s="385"/>
      <c r="E9" s="385"/>
      <c r="F9" s="1291" t="s">
        <v>532</v>
      </c>
      <c r="G9" s="1292"/>
      <c r="H9" s="670">
        <v>0</v>
      </c>
      <c r="I9" s="670">
        <f>+D15+D17</f>
        <v>6566389</v>
      </c>
      <c r="J9" s="744"/>
    </row>
    <row r="10" spans="1:10" ht="15.75" customHeight="1">
      <c r="A10" s="389"/>
      <c r="B10" s="390"/>
      <c r="C10" s="385"/>
      <c r="D10" s="385"/>
      <c r="E10" s="385"/>
      <c r="F10" s="1291" t="s">
        <v>624</v>
      </c>
      <c r="G10" s="1292"/>
      <c r="H10" s="670">
        <v>0</v>
      </c>
      <c r="I10" s="670">
        <v>0</v>
      </c>
      <c r="J10" s="744"/>
    </row>
    <row r="11" spans="1:10" ht="15.75">
      <c r="A11" s="389"/>
      <c r="B11" s="390"/>
      <c r="C11" s="385"/>
      <c r="D11" s="385"/>
      <c r="E11" s="385"/>
      <c r="F11" s="1279" t="s">
        <v>98</v>
      </c>
      <c r="G11" s="1279"/>
      <c r="H11" s="671">
        <f>SUM(H5:H10)</f>
        <v>95396395</v>
      </c>
      <c r="I11" s="671">
        <f>SUM(I5:I10)</f>
        <v>6592655</v>
      </c>
      <c r="J11" s="744"/>
    </row>
    <row r="12" spans="1:10">
      <c r="H12" s="391"/>
      <c r="I12" s="391"/>
    </row>
    <row r="13" spans="1:10" ht="15.75">
      <c r="A13" s="689" t="s">
        <v>99</v>
      </c>
      <c r="B13" s="690" t="s">
        <v>100</v>
      </c>
      <c r="C13" s="691" t="s">
        <v>101</v>
      </c>
      <c r="D13" s="688" t="s">
        <v>102</v>
      </c>
      <c r="E13" s="691" t="s">
        <v>103</v>
      </c>
      <c r="F13" s="693" t="s">
        <v>104</v>
      </c>
      <c r="H13" s="391"/>
      <c r="I13" s="391"/>
    </row>
    <row r="14" spans="1:10" ht="15.75">
      <c r="A14" s="568">
        <v>44943</v>
      </c>
      <c r="B14" s="1032" t="s">
        <v>533</v>
      </c>
      <c r="C14" s="692"/>
      <c r="D14" s="1033">
        <v>24539</v>
      </c>
      <c r="E14" s="1034"/>
      <c r="F14" s="570">
        <f>+B4+E14-D14</f>
        <v>14830000304.859999</v>
      </c>
    </row>
    <row r="15" spans="1:10" ht="15.75">
      <c r="A15" s="568">
        <v>44943</v>
      </c>
      <c r="B15" s="1032" t="s">
        <v>534</v>
      </c>
      <c r="C15" s="692"/>
      <c r="D15" s="1033">
        <v>6134735</v>
      </c>
      <c r="E15" s="1034"/>
      <c r="F15" s="570">
        <f>+F14-D15+E15</f>
        <v>14823865569.859999</v>
      </c>
    </row>
    <row r="16" spans="1:10" ht="15.75">
      <c r="A16" s="568">
        <v>44949</v>
      </c>
      <c r="B16" s="1032" t="s">
        <v>533</v>
      </c>
      <c r="C16" s="692"/>
      <c r="D16" s="1033">
        <v>1727</v>
      </c>
      <c r="E16" s="1034"/>
      <c r="F16" s="570">
        <f t="shared" ref="F16:F18" si="0">+F15-D16+E16</f>
        <v>14823863842.859999</v>
      </c>
    </row>
    <row r="17" spans="1:6" ht="15.75">
      <c r="A17" s="568">
        <v>44949</v>
      </c>
      <c r="B17" s="1032" t="s">
        <v>534</v>
      </c>
      <c r="C17" s="692"/>
      <c r="D17" s="1033">
        <v>431654</v>
      </c>
      <c r="E17" s="1034"/>
      <c r="F17" s="570">
        <f t="shared" si="0"/>
        <v>14823432188.859999</v>
      </c>
    </row>
    <row r="18" spans="1:6" ht="15.75">
      <c r="A18" s="568">
        <v>44957</v>
      </c>
      <c r="B18" s="1032" t="s">
        <v>516</v>
      </c>
      <c r="C18" s="692"/>
      <c r="D18" s="1033">
        <v>0</v>
      </c>
      <c r="E18" s="1034">
        <v>95396395</v>
      </c>
      <c r="F18" s="570">
        <f t="shared" si="0"/>
        <v>14918828583.859999</v>
      </c>
    </row>
    <row r="19" spans="1:6" ht="15.75">
      <c r="A19" s="569"/>
      <c r="B19" s="569"/>
      <c r="C19" s="569"/>
      <c r="D19" s="1035">
        <f>SUM(D14:D18)</f>
        <v>6592655</v>
      </c>
      <c r="E19" s="1035">
        <f>SUM(E14:E18)</f>
        <v>95396395</v>
      </c>
      <c r="F19" s="1118"/>
    </row>
    <row r="22" spans="1:6">
      <c r="E22" s="1049"/>
    </row>
    <row r="65517" spans="1:1" ht="15.75">
      <c r="A65517" s="392"/>
    </row>
  </sheetData>
  <autoFilter ref="A13:F13" xr:uid="{00000000-0009-0000-0000-000009000000}"/>
  <mergeCells count="11">
    <mergeCell ref="F11:G11"/>
    <mergeCell ref="A1:F1"/>
    <mergeCell ref="A3:B3"/>
    <mergeCell ref="F3:I3"/>
    <mergeCell ref="F4:G4"/>
    <mergeCell ref="F5:G5"/>
    <mergeCell ref="F6:G6"/>
    <mergeCell ref="F8:G8"/>
    <mergeCell ref="F10:G10"/>
    <mergeCell ref="F7:G7"/>
    <mergeCell ref="F9:G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">
    <pageSetUpPr fitToPage="1"/>
  </sheetPr>
  <dimension ref="A1:K450"/>
  <sheetViews>
    <sheetView view="pageBreakPreview" zoomScale="91" zoomScaleNormal="85" zoomScaleSheetLayoutView="91" workbookViewId="0">
      <selection activeCell="G1" sqref="G1"/>
    </sheetView>
  </sheetViews>
  <sheetFormatPr baseColWidth="10" defaultRowHeight="15"/>
  <cols>
    <col min="1" max="1" width="22.5703125" style="870" bestFit="1" customWidth="1"/>
    <col min="2" max="2" width="29.85546875" style="870" bestFit="1" customWidth="1"/>
    <col min="3" max="3" width="26.140625" style="870" bestFit="1" customWidth="1"/>
    <col min="4" max="4" width="27" style="870" bestFit="1" customWidth="1"/>
    <col min="5" max="5" width="27.28515625" style="870" bestFit="1" customWidth="1"/>
    <col min="6" max="6" width="21.85546875" style="870" bestFit="1" customWidth="1"/>
    <col min="7" max="7" width="15" style="870" customWidth="1"/>
    <col min="8" max="8" width="29.5703125" style="870" bestFit="1" customWidth="1"/>
    <col min="9" max="9" width="30.140625" style="870" bestFit="1" customWidth="1"/>
    <col min="10" max="10" width="17.42578125" style="870" bestFit="1" customWidth="1"/>
    <col min="11" max="11" width="14.140625" style="870" bestFit="1" customWidth="1"/>
    <col min="12" max="16384" width="11.42578125" style="870"/>
  </cols>
  <sheetData>
    <row r="1" spans="1:11" ht="63.75" customHeight="1">
      <c r="A1" s="1297" t="s">
        <v>1331</v>
      </c>
      <c r="B1" s="1298"/>
      <c r="C1" s="1298"/>
      <c r="D1" s="1298"/>
      <c r="E1" s="1298"/>
      <c r="F1" s="1298"/>
      <c r="G1" s="869"/>
      <c r="H1" s="869"/>
      <c r="I1" s="869"/>
      <c r="J1" s="869"/>
    </row>
    <row r="2" spans="1:11" ht="15.75">
      <c r="A2" s="871"/>
      <c r="B2" s="871"/>
      <c r="C2" s="871"/>
      <c r="D2" s="871"/>
      <c r="E2" s="871"/>
      <c r="F2" s="871"/>
      <c r="G2" s="869"/>
      <c r="H2" s="869"/>
      <c r="I2" s="869"/>
      <c r="J2" s="869"/>
    </row>
    <row r="3" spans="1:11" ht="15.75">
      <c r="A3" s="1299" t="s">
        <v>92</v>
      </c>
      <c r="B3" s="1300"/>
      <c r="C3" s="871"/>
      <c r="D3" s="871"/>
      <c r="E3" s="871"/>
      <c r="F3" s="1301" t="s">
        <v>93</v>
      </c>
      <c r="G3" s="1302"/>
      <c r="H3" s="1303"/>
      <c r="I3" s="1304"/>
      <c r="J3" s="869"/>
    </row>
    <row r="4" spans="1:11" ht="15.75">
      <c r="A4" s="872" t="s">
        <v>94</v>
      </c>
      <c r="B4" s="992">
        <v>11900866530.439999</v>
      </c>
      <c r="C4" s="871"/>
      <c r="D4" s="904"/>
      <c r="E4" s="871"/>
      <c r="F4" s="1305" t="s">
        <v>36</v>
      </c>
      <c r="G4" s="1303"/>
      <c r="H4" s="873" t="s">
        <v>95</v>
      </c>
      <c r="I4" s="873" t="s">
        <v>96</v>
      </c>
      <c r="J4" s="869"/>
    </row>
    <row r="5" spans="1:11" ht="15.75">
      <c r="A5" s="874" t="s">
        <v>280</v>
      </c>
      <c r="B5" s="875">
        <f>+E450</f>
        <v>91065309.000000015</v>
      </c>
      <c r="C5" s="871"/>
      <c r="D5" s="871"/>
      <c r="E5" s="871"/>
      <c r="F5" s="1293" t="s">
        <v>225</v>
      </c>
      <c r="G5" s="1293"/>
      <c r="H5" s="1113">
        <f>+E14+E17+E20+E23+E26+E29+E31+E33+E35+E38+E114+E220+E226+E231+E233+E235+E289+E381+E414+E418+E420+E422+E425+E428+E431+E434+E437+E439+E441+E444+E446</f>
        <v>1065309.2599999998</v>
      </c>
      <c r="I5" s="1113">
        <v>0</v>
      </c>
      <c r="J5" s="876"/>
      <c r="K5" s="1010"/>
    </row>
    <row r="6" spans="1:11" ht="15.75">
      <c r="A6" s="874" t="s">
        <v>281</v>
      </c>
      <c r="B6" s="875">
        <f>+D450</f>
        <v>10746075140.729998</v>
      </c>
      <c r="C6" s="871"/>
      <c r="D6" s="871"/>
      <c r="E6" s="871"/>
      <c r="F6" s="1293" t="s">
        <v>699</v>
      </c>
      <c r="G6" s="1293"/>
      <c r="H6" s="1113">
        <v>0</v>
      </c>
      <c r="I6" s="1113">
        <f>+D16+D19+D22+D25+D28+D37+D40+D228+D237++D424+D427+D430+D433+D436+D443+D448+D449</f>
        <v>244.87</v>
      </c>
      <c r="J6" s="993">
        <f>-I6</f>
        <v>-244.87</v>
      </c>
    </row>
    <row r="7" spans="1:11" ht="15.75">
      <c r="A7" s="877" t="s">
        <v>97</v>
      </c>
      <c r="B7" s="878">
        <f>+B4+B5-B6</f>
        <v>1245856698.710001</v>
      </c>
      <c r="C7" s="871"/>
      <c r="D7" s="871"/>
      <c r="E7" s="871"/>
      <c r="F7" s="1293" t="s">
        <v>739</v>
      </c>
      <c r="G7" s="1293"/>
      <c r="H7" s="1113">
        <f>+E229+E416</f>
        <v>358565.74</v>
      </c>
      <c r="I7" s="1113">
        <f>+D116+D222+D230+D291+D383+D417</f>
        <v>42812803.860000007</v>
      </c>
      <c r="J7" s="876"/>
    </row>
    <row r="8" spans="1:11" ht="15.75">
      <c r="A8" s="879"/>
      <c r="B8" s="880"/>
      <c r="C8" s="871"/>
      <c r="D8" s="871"/>
      <c r="E8" s="871"/>
      <c r="F8" s="1294" t="s">
        <v>535</v>
      </c>
      <c r="G8" s="1295"/>
      <c r="H8" s="1113">
        <v>0</v>
      </c>
      <c r="I8" s="1113">
        <v>0</v>
      </c>
      <c r="J8" s="876"/>
    </row>
    <row r="9" spans="1:11" ht="15.75">
      <c r="A9" s="879"/>
      <c r="B9" s="880"/>
      <c r="C9" s="871"/>
      <c r="D9" s="871"/>
      <c r="E9" s="871"/>
      <c r="F9" s="1294" t="s">
        <v>700</v>
      </c>
      <c r="G9" s="1295"/>
      <c r="H9" s="1113">
        <f>+E223+E224+E394</f>
        <v>89641434</v>
      </c>
      <c r="I9" s="1113">
        <v>10703187518</v>
      </c>
      <c r="J9" s="876">
        <f>+I9-H9</f>
        <v>10613546084</v>
      </c>
    </row>
    <row r="10" spans="1:11" ht="15.75">
      <c r="A10" s="879"/>
      <c r="B10" s="880"/>
      <c r="C10" s="871"/>
      <c r="D10" s="871"/>
      <c r="E10" s="871"/>
      <c r="F10" s="963" t="s">
        <v>880</v>
      </c>
      <c r="G10" s="964"/>
      <c r="H10" s="1113"/>
      <c r="I10" s="1113">
        <f>+D15+D18+D21+D24+D27+D30+D32+D34+D36+D39+D115+D221+D227+D232+D234+D236+D290+D382+D415+D419+D421+D423+D426+D429+D432+D435+D438+D440+D442+D445+D447</f>
        <v>74574</v>
      </c>
      <c r="J10" s="876"/>
    </row>
    <row r="11" spans="1:11" ht="15.75">
      <c r="A11" s="879"/>
      <c r="B11" s="880"/>
      <c r="C11" s="871"/>
      <c r="D11" s="871"/>
      <c r="E11" s="871"/>
      <c r="F11" s="1296" t="s">
        <v>98</v>
      </c>
      <c r="G11" s="1296"/>
      <c r="H11" s="881">
        <f>SUM(H5:H10)</f>
        <v>91065309</v>
      </c>
      <c r="I11" s="881">
        <f>SUM(I5:I10)</f>
        <v>10746075140.73</v>
      </c>
      <c r="J11" s="869"/>
    </row>
    <row r="12" spans="1:11">
      <c r="A12" s="869"/>
      <c r="B12" s="869"/>
      <c r="C12" s="869"/>
      <c r="D12" s="869"/>
      <c r="E12" s="869"/>
      <c r="F12" s="869"/>
      <c r="G12" s="869"/>
      <c r="H12" s="882"/>
      <c r="I12" s="882"/>
      <c r="J12" s="869"/>
    </row>
    <row r="13" spans="1:11" ht="15.75">
      <c r="A13" s="883" t="s">
        <v>99</v>
      </c>
      <c r="B13" s="884" t="s">
        <v>100</v>
      </c>
      <c r="C13" s="885" t="s">
        <v>101</v>
      </c>
      <c r="D13" s="886" t="s">
        <v>102</v>
      </c>
      <c r="E13" s="885" t="s">
        <v>103</v>
      </c>
      <c r="F13" s="1036" t="s">
        <v>104</v>
      </c>
      <c r="G13" s="869"/>
      <c r="H13" s="882"/>
      <c r="I13" s="882"/>
      <c r="J13" s="869"/>
    </row>
    <row r="14" spans="1:11" ht="15.75">
      <c r="A14" s="887" t="s">
        <v>1776</v>
      </c>
      <c r="B14" s="888" t="s">
        <v>740</v>
      </c>
      <c r="C14" s="889"/>
      <c r="D14" s="890">
        <v>0</v>
      </c>
      <c r="E14" s="891">
        <v>65210.23</v>
      </c>
      <c r="F14" s="1037">
        <f>+$B$4-D14+E14</f>
        <v>11900931740.669998</v>
      </c>
      <c r="G14" s="869"/>
      <c r="H14" s="882"/>
      <c r="I14" s="882"/>
      <c r="J14" s="869"/>
    </row>
    <row r="15" spans="1:11" ht="15.75">
      <c r="A15" s="887" t="s">
        <v>1776</v>
      </c>
      <c r="B15" s="888" t="s">
        <v>701</v>
      </c>
      <c r="C15" s="889"/>
      <c r="D15" s="890">
        <v>4565</v>
      </c>
      <c r="E15" s="891">
        <v>0</v>
      </c>
      <c r="F15" s="1037">
        <f>+F14-D15+E15</f>
        <v>11900927175.669998</v>
      </c>
      <c r="G15" s="869"/>
      <c r="H15" s="882"/>
      <c r="I15" s="882"/>
      <c r="J15" s="869"/>
    </row>
    <row r="16" spans="1:11" ht="15.75">
      <c r="A16" s="887" t="s">
        <v>1776</v>
      </c>
      <c r="B16" s="888" t="s">
        <v>20</v>
      </c>
      <c r="C16" s="889">
        <v>0</v>
      </c>
      <c r="D16" s="890">
        <v>18.260000000000002</v>
      </c>
      <c r="E16" s="891">
        <v>0</v>
      </c>
      <c r="F16" s="1037">
        <f t="shared" ref="F16:F79" si="0">+F15-D16+E16</f>
        <v>11900927157.409998</v>
      </c>
      <c r="G16" s="869"/>
      <c r="H16" s="882"/>
      <c r="I16" s="882"/>
      <c r="J16" s="869"/>
    </row>
    <row r="17" spans="1:10" ht="15.75">
      <c r="A17" s="887" t="s">
        <v>1777</v>
      </c>
      <c r="B17" s="888" t="s">
        <v>740</v>
      </c>
      <c r="C17" s="889"/>
      <c r="D17" s="890">
        <v>0</v>
      </c>
      <c r="E17" s="891">
        <v>65210.559999999998</v>
      </c>
      <c r="F17" s="1037">
        <f t="shared" si="0"/>
        <v>11900992367.969997</v>
      </c>
      <c r="G17" s="869"/>
      <c r="H17" s="882"/>
      <c r="I17" s="882"/>
      <c r="J17" s="869"/>
    </row>
    <row r="18" spans="1:10" ht="15.75">
      <c r="A18" s="887" t="s">
        <v>1777</v>
      </c>
      <c r="B18" s="888" t="s">
        <v>701</v>
      </c>
      <c r="C18" s="889"/>
      <c r="D18" s="890">
        <v>4565</v>
      </c>
      <c r="E18" s="891">
        <v>0</v>
      </c>
      <c r="F18" s="1037">
        <f t="shared" si="0"/>
        <v>11900987802.969997</v>
      </c>
      <c r="G18" s="869"/>
      <c r="H18" s="882"/>
      <c r="I18" s="882"/>
      <c r="J18" s="869"/>
    </row>
    <row r="19" spans="1:10" ht="15.75">
      <c r="A19" s="887" t="s">
        <v>1777</v>
      </c>
      <c r="B19" s="888" t="s">
        <v>20</v>
      </c>
      <c r="C19" s="889">
        <v>0</v>
      </c>
      <c r="D19" s="890">
        <v>18.260000000000002</v>
      </c>
      <c r="E19" s="891">
        <v>0</v>
      </c>
      <c r="F19" s="1037">
        <f t="shared" si="0"/>
        <v>11900987784.709997</v>
      </c>
      <c r="G19" s="869"/>
      <c r="H19" s="882"/>
      <c r="I19" s="882"/>
      <c r="J19" s="869"/>
    </row>
    <row r="20" spans="1:10" ht="15.75">
      <c r="A20" s="887" t="s">
        <v>1778</v>
      </c>
      <c r="B20" s="888" t="s">
        <v>740</v>
      </c>
      <c r="C20" s="889"/>
      <c r="D20" s="890">
        <v>0</v>
      </c>
      <c r="E20" s="891">
        <v>65210.89</v>
      </c>
      <c r="F20" s="1037">
        <f t="shared" si="0"/>
        <v>11901052995.599997</v>
      </c>
      <c r="G20" s="869"/>
      <c r="H20" s="882"/>
      <c r="I20" s="882"/>
      <c r="J20" s="869"/>
    </row>
    <row r="21" spans="1:10" ht="15.75">
      <c r="A21" s="887" t="s">
        <v>1778</v>
      </c>
      <c r="B21" s="888" t="s">
        <v>701</v>
      </c>
      <c r="C21" s="889"/>
      <c r="D21" s="890">
        <v>4565</v>
      </c>
      <c r="E21" s="891">
        <v>0</v>
      </c>
      <c r="F21" s="1037">
        <f t="shared" si="0"/>
        <v>11901048430.599997</v>
      </c>
      <c r="G21" s="869"/>
      <c r="H21" s="882"/>
      <c r="I21" s="882"/>
      <c r="J21" s="869"/>
    </row>
    <row r="22" spans="1:10" ht="15.75">
      <c r="A22" s="887" t="s">
        <v>1778</v>
      </c>
      <c r="B22" s="888" t="s">
        <v>20</v>
      </c>
      <c r="C22" s="889">
        <v>0</v>
      </c>
      <c r="D22" s="890">
        <v>18.260000000000002</v>
      </c>
      <c r="E22" s="891">
        <v>0</v>
      </c>
      <c r="F22" s="1037">
        <f t="shared" si="0"/>
        <v>11901048412.339996</v>
      </c>
      <c r="G22" s="869"/>
      <c r="H22" s="882"/>
      <c r="I22" s="882"/>
      <c r="J22" s="869"/>
    </row>
    <row r="23" spans="1:10" ht="15.75">
      <c r="A23" s="887" t="s">
        <v>1779</v>
      </c>
      <c r="B23" s="888" t="s">
        <v>740</v>
      </c>
      <c r="C23" s="889"/>
      <c r="D23" s="890">
        <v>0</v>
      </c>
      <c r="E23" s="891">
        <v>65211.22</v>
      </c>
      <c r="F23" s="1037">
        <f t="shared" si="0"/>
        <v>11901113623.559996</v>
      </c>
      <c r="G23" s="869"/>
      <c r="H23" s="882"/>
      <c r="I23" s="882"/>
      <c r="J23" s="869"/>
    </row>
    <row r="24" spans="1:10" ht="15.75">
      <c r="A24" s="887" t="s">
        <v>1779</v>
      </c>
      <c r="B24" s="888" t="s">
        <v>701</v>
      </c>
      <c r="C24" s="889"/>
      <c r="D24" s="890">
        <v>4565</v>
      </c>
      <c r="E24" s="891">
        <v>0</v>
      </c>
      <c r="F24" s="1037">
        <f t="shared" si="0"/>
        <v>11901109058.559996</v>
      </c>
      <c r="G24" s="869"/>
      <c r="H24" s="882"/>
      <c r="I24" s="882"/>
      <c r="J24" s="869"/>
    </row>
    <row r="25" spans="1:10" ht="15.75">
      <c r="A25" s="887" t="s">
        <v>1779</v>
      </c>
      <c r="B25" s="888" t="s">
        <v>20</v>
      </c>
      <c r="C25" s="889">
        <v>0</v>
      </c>
      <c r="D25" s="890">
        <v>18.260000000000002</v>
      </c>
      <c r="E25" s="891">
        <v>0</v>
      </c>
      <c r="F25" s="1037">
        <f t="shared" si="0"/>
        <v>11901109040.299995</v>
      </c>
      <c r="G25" s="869"/>
      <c r="H25" s="882"/>
      <c r="I25" s="882"/>
      <c r="J25" s="869"/>
    </row>
    <row r="26" spans="1:10" ht="15.75">
      <c r="A26" s="887" t="s">
        <v>1780</v>
      </c>
      <c r="B26" s="888" t="s">
        <v>740</v>
      </c>
      <c r="C26" s="889"/>
      <c r="D26" s="890">
        <v>0</v>
      </c>
      <c r="E26" s="891">
        <v>65211.56</v>
      </c>
      <c r="F26" s="1037">
        <f t="shared" si="0"/>
        <v>11901174251.859995</v>
      </c>
      <c r="G26" s="869"/>
      <c r="H26" s="882"/>
      <c r="I26" s="882"/>
      <c r="J26" s="869"/>
    </row>
    <row r="27" spans="1:10" ht="15.75">
      <c r="A27" s="887" t="s">
        <v>1780</v>
      </c>
      <c r="B27" s="888" t="s">
        <v>701</v>
      </c>
      <c r="C27" s="889"/>
      <c r="D27" s="890">
        <v>4565</v>
      </c>
      <c r="E27" s="891">
        <v>0</v>
      </c>
      <c r="F27" s="1037">
        <f t="shared" si="0"/>
        <v>11901169686.859995</v>
      </c>
      <c r="G27" s="869"/>
      <c r="H27" s="882"/>
      <c r="I27" s="882"/>
      <c r="J27" s="869"/>
    </row>
    <row r="28" spans="1:10" ht="15.75">
      <c r="A28" s="887" t="s">
        <v>1780</v>
      </c>
      <c r="B28" s="888" t="s">
        <v>20</v>
      </c>
      <c r="C28" s="889">
        <v>0</v>
      </c>
      <c r="D28" s="890">
        <v>18.260000000000002</v>
      </c>
      <c r="E28" s="891">
        <v>0</v>
      </c>
      <c r="F28" s="1037">
        <f t="shared" si="0"/>
        <v>11901169668.599995</v>
      </c>
      <c r="G28" s="869"/>
      <c r="H28" s="882"/>
      <c r="I28" s="882"/>
      <c r="J28" s="869"/>
    </row>
    <row r="29" spans="1:10" ht="15.75">
      <c r="A29" s="887" t="s">
        <v>1781</v>
      </c>
      <c r="B29" s="888" t="s">
        <v>740</v>
      </c>
      <c r="C29" s="889"/>
      <c r="D29" s="890">
        <v>0</v>
      </c>
      <c r="E29" s="891">
        <v>65211.89</v>
      </c>
      <c r="F29" s="1037">
        <f t="shared" si="0"/>
        <v>11901234880.489994</v>
      </c>
      <c r="G29" s="869"/>
      <c r="H29" s="882"/>
      <c r="I29" s="882"/>
      <c r="J29" s="869"/>
    </row>
    <row r="30" spans="1:10" ht="15.75">
      <c r="A30" s="887" t="s">
        <v>1781</v>
      </c>
      <c r="B30" s="888" t="s">
        <v>701</v>
      </c>
      <c r="C30" s="889"/>
      <c r="D30" s="890">
        <v>4565</v>
      </c>
      <c r="E30" s="891">
        <v>0</v>
      </c>
      <c r="F30" s="1037">
        <f t="shared" si="0"/>
        <v>11901230315.489994</v>
      </c>
      <c r="G30" s="869"/>
      <c r="H30" s="882"/>
      <c r="I30" s="882"/>
      <c r="J30" s="869"/>
    </row>
    <row r="31" spans="1:10" ht="15.75">
      <c r="A31" s="887" t="s">
        <v>1781</v>
      </c>
      <c r="B31" s="888" t="s">
        <v>740</v>
      </c>
      <c r="C31" s="889"/>
      <c r="D31" s="890">
        <v>0</v>
      </c>
      <c r="E31" s="891">
        <v>65212.22</v>
      </c>
      <c r="F31" s="1037">
        <f t="shared" si="0"/>
        <v>11901295527.709993</v>
      </c>
      <c r="G31" s="869"/>
      <c r="H31" s="882"/>
      <c r="I31" s="882"/>
      <c r="J31" s="869"/>
    </row>
    <row r="32" spans="1:10" ht="15.75">
      <c r="A32" s="887" t="s">
        <v>1781</v>
      </c>
      <c r="B32" s="888" t="s">
        <v>701</v>
      </c>
      <c r="C32" s="889"/>
      <c r="D32" s="890">
        <v>4565</v>
      </c>
      <c r="E32" s="891">
        <v>0</v>
      </c>
      <c r="F32" s="1037">
        <f t="shared" si="0"/>
        <v>11901290962.709993</v>
      </c>
      <c r="G32" s="869"/>
      <c r="H32" s="882"/>
      <c r="I32" s="882"/>
      <c r="J32" s="869"/>
    </row>
    <row r="33" spans="1:10" ht="15.75">
      <c r="A33" s="887" t="s">
        <v>1781</v>
      </c>
      <c r="B33" s="888" t="s">
        <v>740</v>
      </c>
      <c r="C33" s="889"/>
      <c r="D33" s="890">
        <v>0</v>
      </c>
      <c r="E33" s="891">
        <v>65212.55</v>
      </c>
      <c r="F33" s="1037">
        <f t="shared" si="0"/>
        <v>11901356175.259993</v>
      </c>
      <c r="G33" s="869"/>
      <c r="H33" s="882"/>
      <c r="I33" s="882"/>
      <c r="J33" s="869"/>
    </row>
    <row r="34" spans="1:10" ht="15.75">
      <c r="A34" s="887" t="s">
        <v>1781</v>
      </c>
      <c r="B34" s="888" t="s">
        <v>701</v>
      </c>
      <c r="C34" s="889"/>
      <c r="D34" s="890">
        <v>4565</v>
      </c>
      <c r="E34" s="891">
        <v>0</v>
      </c>
      <c r="F34" s="1037">
        <f t="shared" si="0"/>
        <v>11901351610.259993</v>
      </c>
      <c r="G34" s="869"/>
      <c r="H34" s="882"/>
      <c r="I34" s="882"/>
      <c r="J34" s="869"/>
    </row>
    <row r="35" spans="1:10" ht="15.75">
      <c r="A35" s="887" t="s">
        <v>1781</v>
      </c>
      <c r="B35" s="888" t="s">
        <v>740</v>
      </c>
      <c r="C35" s="889"/>
      <c r="D35" s="890">
        <v>0</v>
      </c>
      <c r="E35" s="891">
        <v>65212.89</v>
      </c>
      <c r="F35" s="1037">
        <f t="shared" si="0"/>
        <v>11901416823.149992</v>
      </c>
      <c r="G35" s="869"/>
      <c r="H35" s="882"/>
      <c r="I35" s="882"/>
      <c r="J35" s="869"/>
    </row>
    <row r="36" spans="1:10" ht="15.75">
      <c r="A36" s="887" t="s">
        <v>1781</v>
      </c>
      <c r="B36" s="888" t="s">
        <v>701</v>
      </c>
      <c r="C36" s="889"/>
      <c r="D36" s="890">
        <v>4565</v>
      </c>
      <c r="E36" s="891">
        <v>0</v>
      </c>
      <c r="F36" s="1037">
        <f t="shared" si="0"/>
        <v>11901412258.149992</v>
      </c>
      <c r="G36" s="869"/>
      <c r="H36" s="882"/>
      <c r="I36" s="882"/>
      <c r="J36" s="869"/>
    </row>
    <row r="37" spans="1:10" ht="15.75">
      <c r="A37" s="887" t="s">
        <v>1781</v>
      </c>
      <c r="B37" s="888" t="s">
        <v>20</v>
      </c>
      <c r="C37" s="889">
        <v>0</v>
      </c>
      <c r="D37" s="890">
        <v>73.040000000000006</v>
      </c>
      <c r="E37" s="891">
        <v>0</v>
      </c>
      <c r="F37" s="1037">
        <f t="shared" si="0"/>
        <v>11901412185.109991</v>
      </c>
      <c r="G37" s="869"/>
      <c r="H37" s="882"/>
      <c r="I37" s="882"/>
      <c r="J37" s="869"/>
    </row>
    <row r="38" spans="1:10" ht="15.75">
      <c r="A38" s="887" t="s">
        <v>1782</v>
      </c>
      <c r="B38" s="888" t="s">
        <v>740</v>
      </c>
      <c r="C38" s="889"/>
      <c r="D38" s="890">
        <v>0</v>
      </c>
      <c r="E38" s="891">
        <v>65213.22</v>
      </c>
      <c r="F38" s="1037">
        <f t="shared" si="0"/>
        <v>11901477398.32999</v>
      </c>
      <c r="G38" s="869"/>
      <c r="H38" s="882"/>
      <c r="I38" s="882"/>
      <c r="J38" s="869"/>
    </row>
    <row r="39" spans="1:10" ht="15.75">
      <c r="A39" s="887" t="s">
        <v>1782</v>
      </c>
      <c r="B39" s="888" t="s">
        <v>701</v>
      </c>
      <c r="C39" s="889"/>
      <c r="D39" s="890">
        <v>4565</v>
      </c>
      <c r="E39" s="891">
        <v>0</v>
      </c>
      <c r="F39" s="1037">
        <f t="shared" si="0"/>
        <v>11901472833.32999</v>
      </c>
      <c r="G39" s="869"/>
      <c r="H39" s="882"/>
      <c r="I39" s="882"/>
      <c r="J39" s="869"/>
    </row>
    <row r="40" spans="1:10" ht="15.75">
      <c r="A40" s="887" t="s">
        <v>1782</v>
      </c>
      <c r="B40" s="888" t="s">
        <v>20</v>
      </c>
      <c r="C40" s="889">
        <v>0</v>
      </c>
      <c r="D40" s="890">
        <v>18.260000000000002</v>
      </c>
      <c r="E40" s="891">
        <v>0</v>
      </c>
      <c r="F40" s="1037">
        <f t="shared" si="0"/>
        <v>11901472815.06999</v>
      </c>
      <c r="G40" s="869"/>
      <c r="H40" s="882"/>
      <c r="I40" s="882"/>
      <c r="J40" s="869"/>
    </row>
    <row r="41" spans="1:10" ht="15.75">
      <c r="A41" s="887" t="s">
        <v>1783</v>
      </c>
      <c r="B41" s="888" t="s">
        <v>1168</v>
      </c>
      <c r="C41" s="889" t="s">
        <v>1798</v>
      </c>
      <c r="D41" s="890">
        <v>24900398</v>
      </c>
      <c r="E41" s="891">
        <v>0</v>
      </c>
      <c r="F41" s="1037">
        <f t="shared" si="0"/>
        <v>11876572417.06999</v>
      </c>
      <c r="G41" s="869"/>
      <c r="H41" s="882"/>
      <c r="I41" s="882"/>
      <c r="J41" s="869"/>
    </row>
    <row r="42" spans="1:10" ht="15.75">
      <c r="A42" s="887" t="s">
        <v>1783</v>
      </c>
      <c r="B42" s="888" t="s">
        <v>1167</v>
      </c>
      <c r="C42" s="889" t="s">
        <v>1799</v>
      </c>
      <c r="D42" s="890">
        <v>24900398</v>
      </c>
      <c r="E42" s="891">
        <v>0</v>
      </c>
      <c r="F42" s="1037">
        <f t="shared" si="0"/>
        <v>11851672019.06999</v>
      </c>
      <c r="G42" s="869"/>
      <c r="H42" s="882"/>
      <c r="I42" s="882"/>
      <c r="J42" s="869"/>
    </row>
    <row r="43" spans="1:10" ht="15.75">
      <c r="A43" s="887" t="s">
        <v>1783</v>
      </c>
      <c r="B43" s="888" t="s">
        <v>1168</v>
      </c>
      <c r="C43" s="889" t="s">
        <v>1800</v>
      </c>
      <c r="D43" s="890">
        <v>24900398</v>
      </c>
      <c r="E43" s="891">
        <v>0</v>
      </c>
      <c r="F43" s="1037">
        <f t="shared" si="0"/>
        <v>11826771621.06999</v>
      </c>
      <c r="G43" s="869"/>
      <c r="H43" s="882"/>
      <c r="I43" s="882"/>
      <c r="J43" s="869"/>
    </row>
    <row r="44" spans="1:10" ht="15.75">
      <c r="A44" s="887" t="s">
        <v>1783</v>
      </c>
      <c r="B44" s="888" t="s">
        <v>1168</v>
      </c>
      <c r="C44" s="889" t="s">
        <v>1801</v>
      </c>
      <c r="D44" s="890">
        <v>24900398</v>
      </c>
      <c r="E44" s="891">
        <v>0</v>
      </c>
      <c r="F44" s="1037">
        <f t="shared" si="0"/>
        <v>11801871223.06999</v>
      </c>
      <c r="G44" s="869"/>
      <c r="H44" s="882"/>
      <c r="I44" s="882"/>
      <c r="J44" s="869"/>
    </row>
    <row r="45" spans="1:10" ht="15.75">
      <c r="A45" s="887" t="s">
        <v>1783</v>
      </c>
      <c r="B45" s="888" t="s">
        <v>1168</v>
      </c>
      <c r="C45" s="889" t="s">
        <v>1802</v>
      </c>
      <c r="D45" s="890">
        <v>24900398</v>
      </c>
      <c r="E45" s="891">
        <v>0</v>
      </c>
      <c r="F45" s="1037">
        <f t="shared" si="0"/>
        <v>11776970825.06999</v>
      </c>
      <c r="G45" s="869"/>
      <c r="H45" s="882"/>
      <c r="I45" s="882"/>
      <c r="J45" s="869"/>
    </row>
    <row r="46" spans="1:10" ht="15.75">
      <c r="A46" s="887" t="s">
        <v>1783</v>
      </c>
      <c r="B46" s="888" t="s">
        <v>1168</v>
      </c>
      <c r="C46" s="889" t="s">
        <v>1803</v>
      </c>
      <c r="D46" s="890">
        <v>49800797</v>
      </c>
      <c r="E46" s="891">
        <v>0</v>
      </c>
      <c r="F46" s="1037">
        <f t="shared" si="0"/>
        <v>11727170028.06999</v>
      </c>
      <c r="G46" s="869"/>
      <c r="H46" s="882"/>
      <c r="I46" s="882"/>
      <c r="J46" s="869"/>
    </row>
    <row r="47" spans="1:10" ht="15.75">
      <c r="A47" s="887" t="s">
        <v>1783</v>
      </c>
      <c r="B47" s="888" t="s">
        <v>1168</v>
      </c>
      <c r="C47" s="889" t="s">
        <v>1804</v>
      </c>
      <c r="D47" s="890">
        <v>19920319</v>
      </c>
      <c r="E47" s="891">
        <v>0</v>
      </c>
      <c r="F47" s="1037">
        <f t="shared" si="0"/>
        <v>11707249709.06999</v>
      </c>
      <c r="G47" s="869"/>
      <c r="H47" s="882"/>
      <c r="I47" s="882"/>
      <c r="J47" s="869"/>
    </row>
    <row r="48" spans="1:10" ht="15.75">
      <c r="A48" s="887" t="s">
        <v>1783</v>
      </c>
      <c r="B48" s="888" t="s">
        <v>1168</v>
      </c>
      <c r="C48" s="889" t="s">
        <v>1805</v>
      </c>
      <c r="D48" s="890">
        <v>24900398</v>
      </c>
      <c r="E48" s="891">
        <v>0</v>
      </c>
      <c r="F48" s="1037">
        <f t="shared" si="0"/>
        <v>11682349311.06999</v>
      </c>
      <c r="G48" s="869"/>
      <c r="H48" s="882"/>
      <c r="I48" s="882"/>
      <c r="J48" s="869"/>
    </row>
    <row r="49" spans="1:10" ht="15.75">
      <c r="A49" s="887" t="s">
        <v>1783</v>
      </c>
      <c r="B49" s="888" t="s">
        <v>1168</v>
      </c>
      <c r="C49" s="889" t="s">
        <v>1806</v>
      </c>
      <c r="D49" s="890">
        <v>24900398</v>
      </c>
      <c r="E49" s="891">
        <v>0</v>
      </c>
      <c r="F49" s="1037">
        <f t="shared" si="0"/>
        <v>11657448913.06999</v>
      </c>
      <c r="G49" s="869"/>
      <c r="H49" s="882"/>
      <c r="I49" s="882"/>
      <c r="J49" s="869"/>
    </row>
    <row r="50" spans="1:10" ht="15.75">
      <c r="A50" s="887" t="s">
        <v>1783</v>
      </c>
      <c r="B50" s="888" t="s">
        <v>1168</v>
      </c>
      <c r="C50" s="889" t="s">
        <v>1807</v>
      </c>
      <c r="D50" s="890">
        <v>49800797</v>
      </c>
      <c r="E50" s="891">
        <v>0</v>
      </c>
      <c r="F50" s="1037">
        <f t="shared" si="0"/>
        <v>11607648116.06999</v>
      </c>
      <c r="G50" s="869"/>
      <c r="H50" s="882"/>
      <c r="I50" s="882"/>
      <c r="J50" s="869"/>
    </row>
    <row r="51" spans="1:10" ht="15.75">
      <c r="A51" s="887" t="s">
        <v>1783</v>
      </c>
      <c r="B51" s="888" t="s">
        <v>1168</v>
      </c>
      <c r="C51" s="889" t="s">
        <v>1808</v>
      </c>
      <c r="D51" s="890">
        <v>24900398</v>
      </c>
      <c r="E51" s="891">
        <v>0</v>
      </c>
      <c r="F51" s="1037">
        <f t="shared" si="0"/>
        <v>11582747718.06999</v>
      </c>
      <c r="G51" s="869"/>
      <c r="H51" s="882"/>
      <c r="I51" s="882"/>
      <c r="J51" s="869"/>
    </row>
    <row r="52" spans="1:10" ht="15.75">
      <c r="A52" s="887" t="s">
        <v>1783</v>
      </c>
      <c r="B52" s="888" t="s">
        <v>1168</v>
      </c>
      <c r="C52" s="889" t="s">
        <v>1809</v>
      </c>
      <c r="D52" s="890">
        <v>24900398</v>
      </c>
      <c r="E52" s="891">
        <v>0</v>
      </c>
      <c r="F52" s="1037">
        <f t="shared" si="0"/>
        <v>11557847320.06999</v>
      </c>
      <c r="G52" s="869"/>
      <c r="H52" s="882"/>
      <c r="I52" s="882"/>
      <c r="J52" s="869"/>
    </row>
    <row r="53" spans="1:10" ht="15.75">
      <c r="A53" s="887" t="s">
        <v>1783</v>
      </c>
      <c r="B53" s="888" t="s">
        <v>1168</v>
      </c>
      <c r="C53" s="889" t="s">
        <v>1810</v>
      </c>
      <c r="D53" s="890">
        <v>24900398</v>
      </c>
      <c r="E53" s="891">
        <v>0</v>
      </c>
      <c r="F53" s="1037">
        <f t="shared" si="0"/>
        <v>11532946922.06999</v>
      </c>
      <c r="G53" s="869"/>
      <c r="H53" s="882"/>
      <c r="I53" s="882"/>
      <c r="J53" s="869"/>
    </row>
    <row r="54" spans="1:10" ht="15.75">
      <c r="A54" s="887" t="s">
        <v>1783</v>
      </c>
      <c r="B54" s="888" t="s">
        <v>1168</v>
      </c>
      <c r="C54" s="889" t="s">
        <v>1811</v>
      </c>
      <c r="D54" s="890">
        <v>39840637</v>
      </c>
      <c r="E54" s="891">
        <v>0</v>
      </c>
      <c r="F54" s="1037">
        <f t="shared" si="0"/>
        <v>11493106285.06999</v>
      </c>
      <c r="G54" s="869"/>
      <c r="H54" s="882"/>
      <c r="I54" s="882"/>
      <c r="J54" s="869"/>
    </row>
    <row r="55" spans="1:10" ht="15.75">
      <c r="A55" s="887" t="s">
        <v>1783</v>
      </c>
      <c r="B55" s="888" t="s">
        <v>1168</v>
      </c>
      <c r="C55" s="889" t="s">
        <v>1812</v>
      </c>
      <c r="D55" s="890">
        <v>19920319</v>
      </c>
      <c r="E55" s="891">
        <v>0</v>
      </c>
      <c r="F55" s="1037">
        <f t="shared" si="0"/>
        <v>11473185966.06999</v>
      </c>
      <c r="G55" s="869"/>
      <c r="H55" s="882"/>
      <c r="I55" s="882"/>
      <c r="J55" s="869"/>
    </row>
    <row r="56" spans="1:10" ht="15.75">
      <c r="A56" s="887" t="s">
        <v>1783</v>
      </c>
      <c r="B56" s="888" t="s">
        <v>1168</v>
      </c>
      <c r="C56" s="889" t="s">
        <v>1813</v>
      </c>
      <c r="D56" s="890">
        <v>24900398</v>
      </c>
      <c r="E56" s="891">
        <v>0</v>
      </c>
      <c r="F56" s="1037">
        <f t="shared" si="0"/>
        <v>11448285568.06999</v>
      </c>
      <c r="G56" s="869"/>
      <c r="H56" s="882"/>
      <c r="I56" s="882"/>
      <c r="J56" s="869"/>
    </row>
    <row r="57" spans="1:10" ht="15.75">
      <c r="A57" s="887" t="s">
        <v>1783</v>
      </c>
      <c r="B57" s="888" t="s">
        <v>1168</v>
      </c>
      <c r="C57" s="889" t="s">
        <v>1814</v>
      </c>
      <c r="D57" s="890">
        <v>24900398</v>
      </c>
      <c r="E57" s="891">
        <v>0</v>
      </c>
      <c r="F57" s="1037">
        <f t="shared" si="0"/>
        <v>11423385170.06999</v>
      </c>
      <c r="G57" s="869"/>
      <c r="H57" s="882"/>
      <c r="I57" s="882"/>
      <c r="J57" s="869"/>
    </row>
    <row r="58" spans="1:10" ht="15.75">
      <c r="A58" s="887" t="s">
        <v>1783</v>
      </c>
      <c r="B58" s="888" t="s">
        <v>1168</v>
      </c>
      <c r="C58" s="889" t="s">
        <v>1815</v>
      </c>
      <c r="D58" s="890">
        <v>39840637</v>
      </c>
      <c r="E58" s="891">
        <v>0</v>
      </c>
      <c r="F58" s="1037">
        <f t="shared" si="0"/>
        <v>11383544533.06999</v>
      </c>
      <c r="G58" s="869"/>
      <c r="H58" s="882"/>
      <c r="I58" s="882"/>
      <c r="J58" s="869"/>
    </row>
    <row r="59" spans="1:10" ht="15.75">
      <c r="A59" s="887" t="s">
        <v>1783</v>
      </c>
      <c r="B59" s="888" t="s">
        <v>1168</v>
      </c>
      <c r="C59" s="889" t="s">
        <v>1816</v>
      </c>
      <c r="D59" s="890">
        <v>49800797</v>
      </c>
      <c r="E59" s="891">
        <v>0</v>
      </c>
      <c r="F59" s="1037">
        <f t="shared" si="0"/>
        <v>11333743736.06999</v>
      </c>
      <c r="G59" s="869"/>
      <c r="H59" s="882"/>
      <c r="I59" s="882"/>
      <c r="J59" s="869"/>
    </row>
    <row r="60" spans="1:10" ht="15.75">
      <c r="A60" s="887" t="s">
        <v>1783</v>
      </c>
      <c r="B60" s="888" t="s">
        <v>1168</v>
      </c>
      <c r="C60" s="889" t="s">
        <v>1817</v>
      </c>
      <c r="D60" s="890">
        <v>39840637</v>
      </c>
      <c r="E60" s="891">
        <v>0</v>
      </c>
      <c r="F60" s="1037">
        <f t="shared" si="0"/>
        <v>11293903099.06999</v>
      </c>
      <c r="G60" s="869"/>
      <c r="H60" s="882"/>
      <c r="I60" s="882"/>
      <c r="J60" s="869"/>
    </row>
    <row r="61" spans="1:10" ht="15.75">
      <c r="A61" s="887" t="s">
        <v>1783</v>
      </c>
      <c r="B61" s="888" t="s">
        <v>1168</v>
      </c>
      <c r="C61" s="889" t="s">
        <v>1818</v>
      </c>
      <c r="D61" s="890">
        <v>49800797</v>
      </c>
      <c r="E61" s="891">
        <v>0</v>
      </c>
      <c r="F61" s="1037">
        <f t="shared" si="0"/>
        <v>11244102302.06999</v>
      </c>
      <c r="G61" s="869"/>
      <c r="H61" s="882"/>
      <c r="I61" s="882"/>
      <c r="J61" s="869"/>
    </row>
    <row r="62" spans="1:10" ht="15.75">
      <c r="A62" s="887" t="s">
        <v>1783</v>
      </c>
      <c r="B62" s="888" t="s">
        <v>1168</v>
      </c>
      <c r="C62" s="889" t="s">
        <v>1819</v>
      </c>
      <c r="D62" s="890">
        <v>19920319</v>
      </c>
      <c r="E62" s="891">
        <v>0</v>
      </c>
      <c r="F62" s="1037">
        <f t="shared" si="0"/>
        <v>11224181983.06999</v>
      </c>
      <c r="G62" s="869"/>
      <c r="H62" s="882"/>
      <c r="I62" s="882"/>
      <c r="J62" s="869"/>
    </row>
    <row r="63" spans="1:10" ht="15.75">
      <c r="A63" s="887" t="s">
        <v>1783</v>
      </c>
      <c r="B63" s="888" t="s">
        <v>1168</v>
      </c>
      <c r="C63" s="889" t="s">
        <v>1820</v>
      </c>
      <c r="D63" s="890">
        <v>49800797</v>
      </c>
      <c r="E63" s="891">
        <v>0</v>
      </c>
      <c r="F63" s="1037">
        <f t="shared" si="0"/>
        <v>11174381186.06999</v>
      </c>
      <c r="G63" s="869"/>
      <c r="H63" s="882"/>
      <c r="I63" s="882"/>
      <c r="J63" s="869"/>
    </row>
    <row r="64" spans="1:10" ht="15.75">
      <c r="A64" s="887" t="s">
        <v>1783</v>
      </c>
      <c r="B64" s="888" t="s">
        <v>1168</v>
      </c>
      <c r="C64" s="889" t="s">
        <v>1821</v>
      </c>
      <c r="D64" s="890">
        <v>24900398</v>
      </c>
      <c r="E64" s="891">
        <v>0</v>
      </c>
      <c r="F64" s="1037">
        <f t="shared" si="0"/>
        <v>11149480788.06999</v>
      </c>
      <c r="G64" s="869"/>
      <c r="H64" s="882"/>
      <c r="I64" s="882"/>
      <c r="J64" s="869"/>
    </row>
    <row r="65" spans="1:10" ht="15.75">
      <c r="A65" s="887" t="s">
        <v>1783</v>
      </c>
      <c r="B65" s="888" t="s">
        <v>1168</v>
      </c>
      <c r="C65" s="889" t="s">
        <v>1822</v>
      </c>
      <c r="D65" s="890">
        <v>19920319</v>
      </c>
      <c r="E65" s="891">
        <v>0</v>
      </c>
      <c r="F65" s="1037">
        <f t="shared" si="0"/>
        <v>11129560469.06999</v>
      </c>
      <c r="G65" s="869"/>
      <c r="H65" s="882"/>
      <c r="I65" s="882"/>
      <c r="J65" s="869"/>
    </row>
    <row r="66" spans="1:10" ht="15.75">
      <c r="A66" s="887" t="s">
        <v>1783</v>
      </c>
      <c r="B66" s="888" t="s">
        <v>1797</v>
      </c>
      <c r="C66" s="889" t="s">
        <v>1823</v>
      </c>
      <c r="D66" s="890">
        <v>49800797</v>
      </c>
      <c r="E66" s="891">
        <v>0</v>
      </c>
      <c r="F66" s="1037">
        <f t="shared" si="0"/>
        <v>11079759672.06999</v>
      </c>
      <c r="G66" s="869"/>
      <c r="H66" s="882"/>
      <c r="I66" s="882"/>
      <c r="J66" s="869"/>
    </row>
    <row r="67" spans="1:10" ht="15.75">
      <c r="A67" s="887" t="s">
        <v>1783</v>
      </c>
      <c r="B67" s="888" t="s">
        <v>1168</v>
      </c>
      <c r="C67" s="889" t="s">
        <v>1824</v>
      </c>
      <c r="D67" s="890">
        <v>19920319</v>
      </c>
      <c r="E67" s="891">
        <v>0</v>
      </c>
      <c r="F67" s="1037">
        <f t="shared" si="0"/>
        <v>11059839353.06999</v>
      </c>
      <c r="G67" s="869"/>
      <c r="H67" s="882"/>
      <c r="I67" s="882"/>
      <c r="J67" s="869"/>
    </row>
    <row r="68" spans="1:10" ht="15.75">
      <c r="A68" s="887" t="s">
        <v>1783</v>
      </c>
      <c r="B68" s="888" t="s">
        <v>1168</v>
      </c>
      <c r="C68" s="889" t="s">
        <v>1825</v>
      </c>
      <c r="D68" s="890">
        <v>49800797</v>
      </c>
      <c r="E68" s="891">
        <v>0</v>
      </c>
      <c r="F68" s="1037">
        <f t="shared" si="0"/>
        <v>11010038556.06999</v>
      </c>
      <c r="G68" s="869"/>
      <c r="H68" s="882"/>
      <c r="I68" s="882"/>
      <c r="J68" s="869"/>
    </row>
    <row r="69" spans="1:10" ht="15.75">
      <c r="A69" s="887" t="s">
        <v>1783</v>
      </c>
      <c r="B69" s="888" t="s">
        <v>1168</v>
      </c>
      <c r="C69" s="889" t="s">
        <v>1826</v>
      </c>
      <c r="D69" s="890">
        <v>19920319</v>
      </c>
      <c r="E69" s="891">
        <v>0</v>
      </c>
      <c r="F69" s="1037">
        <f t="shared" si="0"/>
        <v>10990118237.06999</v>
      </c>
      <c r="G69" s="869"/>
      <c r="H69" s="882"/>
      <c r="I69" s="882"/>
      <c r="J69" s="869"/>
    </row>
    <row r="70" spans="1:10" ht="15.75">
      <c r="A70" s="887" t="s">
        <v>1783</v>
      </c>
      <c r="B70" s="888" t="s">
        <v>1168</v>
      </c>
      <c r="C70" s="889" t="s">
        <v>1827</v>
      </c>
      <c r="D70" s="890">
        <v>49800797</v>
      </c>
      <c r="E70" s="891">
        <v>0</v>
      </c>
      <c r="F70" s="1037">
        <f t="shared" si="0"/>
        <v>10940317440.06999</v>
      </c>
      <c r="G70" s="869"/>
      <c r="H70" s="882"/>
      <c r="I70" s="882"/>
      <c r="J70" s="869"/>
    </row>
    <row r="71" spans="1:10" ht="15.75">
      <c r="A71" s="887" t="s">
        <v>1783</v>
      </c>
      <c r="B71" s="888" t="s">
        <v>1168</v>
      </c>
      <c r="C71" s="889" t="s">
        <v>1828</v>
      </c>
      <c r="D71" s="890">
        <v>49800797</v>
      </c>
      <c r="E71" s="891">
        <v>0</v>
      </c>
      <c r="F71" s="1037">
        <f t="shared" si="0"/>
        <v>10890516643.06999</v>
      </c>
      <c r="G71" s="869"/>
      <c r="H71" s="882"/>
      <c r="I71" s="882"/>
      <c r="J71" s="869"/>
    </row>
    <row r="72" spans="1:10" ht="15.75">
      <c r="A72" s="887" t="s">
        <v>1783</v>
      </c>
      <c r="B72" s="888" t="s">
        <v>1168</v>
      </c>
      <c r="C72" s="889" t="s">
        <v>1829</v>
      </c>
      <c r="D72" s="890">
        <v>19920319</v>
      </c>
      <c r="E72" s="891">
        <v>0</v>
      </c>
      <c r="F72" s="1037">
        <f t="shared" si="0"/>
        <v>10870596324.06999</v>
      </c>
      <c r="G72" s="869"/>
      <c r="H72" s="882"/>
      <c r="I72" s="882"/>
      <c r="J72" s="869"/>
    </row>
    <row r="73" spans="1:10" ht="15.75">
      <c r="A73" s="887" t="s">
        <v>1783</v>
      </c>
      <c r="B73" s="888" t="s">
        <v>1168</v>
      </c>
      <c r="C73" s="889" t="s">
        <v>1830</v>
      </c>
      <c r="D73" s="890">
        <v>19920319</v>
      </c>
      <c r="E73" s="891">
        <v>0</v>
      </c>
      <c r="F73" s="1037">
        <f t="shared" si="0"/>
        <v>10850676005.06999</v>
      </c>
      <c r="G73" s="869"/>
      <c r="H73" s="882"/>
      <c r="I73" s="882"/>
      <c r="J73" s="869"/>
    </row>
    <row r="74" spans="1:10" ht="15.75">
      <c r="A74" s="887" t="s">
        <v>1783</v>
      </c>
      <c r="B74" s="888" t="s">
        <v>1168</v>
      </c>
      <c r="C74" s="889" t="s">
        <v>1831</v>
      </c>
      <c r="D74" s="890">
        <v>49800797</v>
      </c>
      <c r="E74" s="891">
        <v>0</v>
      </c>
      <c r="F74" s="1037">
        <f t="shared" si="0"/>
        <v>10800875208.06999</v>
      </c>
      <c r="G74" s="869"/>
      <c r="H74" s="882"/>
      <c r="I74" s="882"/>
      <c r="J74" s="869"/>
    </row>
    <row r="75" spans="1:10" ht="15.75">
      <c r="A75" s="887" t="s">
        <v>1783</v>
      </c>
      <c r="B75" s="888" t="s">
        <v>1168</v>
      </c>
      <c r="C75" s="889" t="s">
        <v>1832</v>
      </c>
      <c r="D75" s="890">
        <v>24900398</v>
      </c>
      <c r="E75" s="891">
        <v>0</v>
      </c>
      <c r="F75" s="1037">
        <f t="shared" si="0"/>
        <v>10775974810.06999</v>
      </c>
      <c r="G75" s="869"/>
      <c r="H75" s="882"/>
      <c r="I75" s="882"/>
      <c r="J75" s="869"/>
    </row>
    <row r="76" spans="1:10" ht="15.75">
      <c r="A76" s="887" t="s">
        <v>1783</v>
      </c>
      <c r="B76" s="888" t="s">
        <v>1168</v>
      </c>
      <c r="C76" s="889" t="s">
        <v>1833</v>
      </c>
      <c r="D76" s="890">
        <v>19920319</v>
      </c>
      <c r="E76" s="891">
        <v>0</v>
      </c>
      <c r="F76" s="1037">
        <f t="shared" si="0"/>
        <v>10756054491.06999</v>
      </c>
      <c r="G76" s="869"/>
      <c r="H76" s="882"/>
      <c r="I76" s="882"/>
      <c r="J76" s="869"/>
    </row>
    <row r="77" spans="1:10" ht="15.75">
      <c r="A77" s="887" t="s">
        <v>1783</v>
      </c>
      <c r="B77" s="888" t="s">
        <v>1168</v>
      </c>
      <c r="C77" s="889" t="s">
        <v>1834</v>
      </c>
      <c r="D77" s="890">
        <v>19920319</v>
      </c>
      <c r="E77" s="891">
        <v>0</v>
      </c>
      <c r="F77" s="1037">
        <f t="shared" si="0"/>
        <v>10736134172.06999</v>
      </c>
      <c r="G77" s="869"/>
      <c r="H77" s="882"/>
      <c r="I77" s="882"/>
      <c r="J77" s="869"/>
    </row>
    <row r="78" spans="1:10" ht="15.75">
      <c r="A78" s="887" t="s">
        <v>1783</v>
      </c>
      <c r="B78" s="888" t="s">
        <v>1168</v>
      </c>
      <c r="C78" s="889" t="s">
        <v>1835</v>
      </c>
      <c r="D78" s="890">
        <v>24900398</v>
      </c>
      <c r="E78" s="891">
        <v>0</v>
      </c>
      <c r="F78" s="1037">
        <f t="shared" si="0"/>
        <v>10711233774.06999</v>
      </c>
      <c r="G78" s="869"/>
      <c r="H78" s="882"/>
      <c r="I78" s="882"/>
      <c r="J78" s="869"/>
    </row>
    <row r="79" spans="1:10" ht="15.75">
      <c r="A79" s="887" t="s">
        <v>1783</v>
      </c>
      <c r="B79" s="888" t="s">
        <v>1168</v>
      </c>
      <c r="C79" s="889" t="s">
        <v>1836</v>
      </c>
      <c r="D79" s="890">
        <v>19920319</v>
      </c>
      <c r="E79" s="891">
        <v>0</v>
      </c>
      <c r="F79" s="1037">
        <f t="shared" si="0"/>
        <v>10691313455.06999</v>
      </c>
      <c r="G79" s="869"/>
      <c r="H79" s="882"/>
      <c r="I79" s="882"/>
      <c r="J79" s="869"/>
    </row>
    <row r="80" spans="1:10" ht="15.75">
      <c r="A80" s="887" t="s">
        <v>1783</v>
      </c>
      <c r="B80" s="888" t="s">
        <v>1168</v>
      </c>
      <c r="C80" s="889" t="s">
        <v>1837</v>
      </c>
      <c r="D80" s="890">
        <v>19920319</v>
      </c>
      <c r="E80" s="891">
        <v>0</v>
      </c>
      <c r="F80" s="1037">
        <f t="shared" ref="F80:F143" si="1">+F79-D80+E80</f>
        <v>10671393136.06999</v>
      </c>
      <c r="G80" s="869"/>
      <c r="H80" s="882"/>
      <c r="I80" s="882"/>
      <c r="J80" s="869"/>
    </row>
    <row r="81" spans="1:10" ht="15.75">
      <c r="A81" s="887" t="s">
        <v>1783</v>
      </c>
      <c r="B81" s="888" t="s">
        <v>1168</v>
      </c>
      <c r="C81" s="889" t="s">
        <v>1838</v>
      </c>
      <c r="D81" s="890">
        <v>24900398</v>
      </c>
      <c r="E81" s="891">
        <v>0</v>
      </c>
      <c r="F81" s="1037">
        <f t="shared" si="1"/>
        <v>10646492738.06999</v>
      </c>
      <c r="G81" s="869"/>
      <c r="H81" s="882"/>
      <c r="I81" s="882"/>
      <c r="J81" s="869"/>
    </row>
    <row r="82" spans="1:10" ht="15.75">
      <c r="A82" s="887" t="s">
        <v>1783</v>
      </c>
      <c r="B82" s="888" t="s">
        <v>1168</v>
      </c>
      <c r="C82" s="889" t="s">
        <v>1839</v>
      </c>
      <c r="D82" s="890">
        <v>24900398</v>
      </c>
      <c r="E82" s="891">
        <v>0</v>
      </c>
      <c r="F82" s="1037">
        <f t="shared" si="1"/>
        <v>10621592340.06999</v>
      </c>
      <c r="G82" s="869"/>
      <c r="H82" s="882"/>
      <c r="I82" s="882"/>
      <c r="J82" s="869"/>
    </row>
    <row r="83" spans="1:10" ht="15.75">
      <c r="A83" s="887" t="s">
        <v>1783</v>
      </c>
      <c r="B83" s="888" t="s">
        <v>1167</v>
      </c>
      <c r="C83" s="889" t="s">
        <v>1840</v>
      </c>
      <c r="D83" s="890">
        <v>29880478</v>
      </c>
      <c r="E83" s="891">
        <v>0</v>
      </c>
      <c r="F83" s="1037">
        <f t="shared" si="1"/>
        <v>10591711862.06999</v>
      </c>
      <c r="G83" s="869"/>
      <c r="H83" s="882"/>
      <c r="I83" s="882"/>
      <c r="J83" s="869"/>
    </row>
    <row r="84" spans="1:10" ht="15.75">
      <c r="A84" s="887" t="s">
        <v>1783</v>
      </c>
      <c r="B84" s="888" t="s">
        <v>1168</v>
      </c>
      <c r="C84" s="889" t="s">
        <v>1841</v>
      </c>
      <c r="D84" s="890">
        <v>49800797</v>
      </c>
      <c r="E84" s="891">
        <v>0</v>
      </c>
      <c r="F84" s="1037">
        <f t="shared" si="1"/>
        <v>10541911065.06999</v>
      </c>
      <c r="G84" s="869"/>
      <c r="H84" s="882"/>
      <c r="I84" s="882"/>
      <c r="J84" s="869"/>
    </row>
    <row r="85" spans="1:10" ht="15.75">
      <c r="A85" s="887" t="s">
        <v>1783</v>
      </c>
      <c r="B85" s="888" t="s">
        <v>1168</v>
      </c>
      <c r="C85" s="889" t="s">
        <v>1842</v>
      </c>
      <c r="D85" s="890">
        <v>49800797</v>
      </c>
      <c r="E85" s="891">
        <v>0</v>
      </c>
      <c r="F85" s="1037">
        <f t="shared" si="1"/>
        <v>10492110268.06999</v>
      </c>
      <c r="G85" s="869"/>
      <c r="H85" s="882"/>
      <c r="I85" s="882"/>
      <c r="J85" s="869"/>
    </row>
    <row r="86" spans="1:10" ht="15.75">
      <c r="A86" s="887" t="s">
        <v>1783</v>
      </c>
      <c r="B86" s="888" t="s">
        <v>1168</v>
      </c>
      <c r="C86" s="889" t="s">
        <v>1843</v>
      </c>
      <c r="D86" s="890">
        <v>19920319</v>
      </c>
      <c r="E86" s="891">
        <v>0</v>
      </c>
      <c r="F86" s="1037">
        <f t="shared" si="1"/>
        <v>10472189949.06999</v>
      </c>
      <c r="G86" s="869"/>
      <c r="H86" s="882"/>
      <c r="I86" s="882"/>
      <c r="J86" s="869"/>
    </row>
    <row r="87" spans="1:10" ht="15.75">
      <c r="A87" s="887" t="s">
        <v>1783</v>
      </c>
      <c r="B87" s="888" t="s">
        <v>1168</v>
      </c>
      <c r="C87" s="889" t="s">
        <v>1844</v>
      </c>
      <c r="D87" s="890">
        <v>19920319</v>
      </c>
      <c r="E87" s="891">
        <v>0</v>
      </c>
      <c r="F87" s="1037">
        <f t="shared" si="1"/>
        <v>10452269630.06999</v>
      </c>
      <c r="G87" s="869"/>
      <c r="H87" s="882"/>
      <c r="I87" s="882"/>
      <c r="J87" s="869"/>
    </row>
    <row r="88" spans="1:10" ht="15.75">
      <c r="A88" s="887" t="s">
        <v>1783</v>
      </c>
      <c r="B88" s="888" t="s">
        <v>1168</v>
      </c>
      <c r="C88" s="889" t="s">
        <v>1845</v>
      </c>
      <c r="D88" s="890">
        <v>49800797</v>
      </c>
      <c r="E88" s="891">
        <v>0</v>
      </c>
      <c r="F88" s="1037">
        <f t="shared" si="1"/>
        <v>10402468833.06999</v>
      </c>
      <c r="G88" s="869"/>
      <c r="H88" s="882"/>
      <c r="I88" s="882"/>
      <c r="J88" s="869"/>
    </row>
    <row r="89" spans="1:10" ht="15.75">
      <c r="A89" s="887" t="s">
        <v>1783</v>
      </c>
      <c r="B89" s="888" t="s">
        <v>1168</v>
      </c>
      <c r="C89" s="889" t="s">
        <v>1846</v>
      </c>
      <c r="D89" s="890">
        <v>19920319</v>
      </c>
      <c r="E89" s="891">
        <v>0</v>
      </c>
      <c r="F89" s="1037">
        <f t="shared" si="1"/>
        <v>10382548514.06999</v>
      </c>
      <c r="G89" s="869"/>
      <c r="H89" s="882"/>
      <c r="I89" s="882"/>
      <c r="J89" s="869"/>
    </row>
    <row r="90" spans="1:10" ht="15.75">
      <c r="A90" s="887" t="s">
        <v>1783</v>
      </c>
      <c r="B90" s="888" t="s">
        <v>1168</v>
      </c>
      <c r="C90" s="889" t="s">
        <v>1847</v>
      </c>
      <c r="D90" s="890">
        <v>34860558</v>
      </c>
      <c r="E90" s="891">
        <v>0</v>
      </c>
      <c r="F90" s="1037">
        <f t="shared" si="1"/>
        <v>10347687956.06999</v>
      </c>
      <c r="G90" s="869"/>
      <c r="H90" s="882"/>
      <c r="I90" s="882"/>
      <c r="J90" s="869"/>
    </row>
    <row r="91" spans="1:10" ht="15.75">
      <c r="A91" s="887" t="s">
        <v>1783</v>
      </c>
      <c r="B91" s="888" t="s">
        <v>1168</v>
      </c>
      <c r="C91" s="889" t="s">
        <v>1848</v>
      </c>
      <c r="D91" s="890">
        <v>24900398</v>
      </c>
      <c r="E91" s="891">
        <v>0</v>
      </c>
      <c r="F91" s="1037">
        <f t="shared" si="1"/>
        <v>10322787558.06999</v>
      </c>
      <c r="G91" s="869"/>
      <c r="H91" s="882"/>
      <c r="I91" s="882"/>
      <c r="J91" s="869"/>
    </row>
    <row r="92" spans="1:10" ht="15.75">
      <c r="A92" s="887" t="s">
        <v>1783</v>
      </c>
      <c r="B92" s="888" t="s">
        <v>1168</v>
      </c>
      <c r="C92" s="889" t="s">
        <v>1849</v>
      </c>
      <c r="D92" s="890">
        <v>24900398</v>
      </c>
      <c r="E92" s="891">
        <v>0</v>
      </c>
      <c r="F92" s="1037">
        <f t="shared" si="1"/>
        <v>10297887160.06999</v>
      </c>
      <c r="G92" s="869"/>
      <c r="H92" s="882"/>
      <c r="I92" s="882"/>
      <c r="J92" s="869"/>
    </row>
    <row r="93" spans="1:10" ht="15.75">
      <c r="A93" s="887" t="s">
        <v>1783</v>
      </c>
      <c r="B93" s="888" t="s">
        <v>1168</v>
      </c>
      <c r="C93" s="889" t="s">
        <v>1850</v>
      </c>
      <c r="D93" s="890">
        <v>29880478</v>
      </c>
      <c r="E93" s="891">
        <v>0</v>
      </c>
      <c r="F93" s="1037">
        <f t="shared" si="1"/>
        <v>10268006682.06999</v>
      </c>
      <c r="G93" s="869"/>
      <c r="H93" s="882"/>
      <c r="I93" s="882"/>
      <c r="J93" s="869"/>
    </row>
    <row r="94" spans="1:10" ht="15.75">
      <c r="A94" s="887" t="s">
        <v>1783</v>
      </c>
      <c r="B94" s="888" t="s">
        <v>1168</v>
      </c>
      <c r="C94" s="889" t="s">
        <v>1851</v>
      </c>
      <c r="D94" s="890">
        <v>24900398</v>
      </c>
      <c r="E94" s="891">
        <v>0</v>
      </c>
      <c r="F94" s="1037">
        <f t="shared" si="1"/>
        <v>10243106284.06999</v>
      </c>
      <c r="G94" s="869"/>
      <c r="H94" s="882"/>
      <c r="I94" s="882"/>
      <c r="J94" s="869"/>
    </row>
    <row r="95" spans="1:10" ht="15.75">
      <c r="A95" s="887" t="s">
        <v>1783</v>
      </c>
      <c r="B95" s="888" t="s">
        <v>1168</v>
      </c>
      <c r="C95" s="889" t="s">
        <v>1852</v>
      </c>
      <c r="D95" s="890">
        <v>24900398</v>
      </c>
      <c r="E95" s="891">
        <v>0</v>
      </c>
      <c r="F95" s="1037">
        <f t="shared" si="1"/>
        <v>10218205886.06999</v>
      </c>
      <c r="G95" s="869"/>
      <c r="H95" s="882"/>
      <c r="I95" s="882"/>
      <c r="J95" s="869"/>
    </row>
    <row r="96" spans="1:10" ht="15.75">
      <c r="A96" s="887" t="s">
        <v>1783</v>
      </c>
      <c r="B96" s="888" t="s">
        <v>1168</v>
      </c>
      <c r="C96" s="889" t="s">
        <v>1853</v>
      </c>
      <c r="D96" s="890">
        <v>34860558</v>
      </c>
      <c r="E96" s="891">
        <v>0</v>
      </c>
      <c r="F96" s="1037">
        <f t="shared" si="1"/>
        <v>10183345328.06999</v>
      </c>
      <c r="G96" s="869"/>
      <c r="H96" s="882"/>
      <c r="I96" s="882"/>
      <c r="J96" s="869"/>
    </row>
    <row r="97" spans="1:10" ht="15.75">
      <c r="A97" s="887" t="s">
        <v>1783</v>
      </c>
      <c r="B97" s="888" t="s">
        <v>1168</v>
      </c>
      <c r="C97" s="889" t="s">
        <v>1854</v>
      </c>
      <c r="D97" s="890">
        <v>24900398</v>
      </c>
      <c r="E97" s="891">
        <v>0</v>
      </c>
      <c r="F97" s="1037">
        <f t="shared" si="1"/>
        <v>10158444930.06999</v>
      </c>
      <c r="G97" s="869"/>
      <c r="H97" s="882"/>
      <c r="I97" s="882"/>
      <c r="J97" s="869"/>
    </row>
    <row r="98" spans="1:10" ht="15.75">
      <c r="A98" s="887" t="s">
        <v>1783</v>
      </c>
      <c r="B98" s="888" t="s">
        <v>1168</v>
      </c>
      <c r="C98" s="889" t="s">
        <v>1855</v>
      </c>
      <c r="D98" s="890">
        <v>24900398</v>
      </c>
      <c r="E98" s="891">
        <v>0</v>
      </c>
      <c r="F98" s="1037">
        <f t="shared" si="1"/>
        <v>10133544532.06999</v>
      </c>
      <c r="G98" s="869"/>
      <c r="H98" s="882"/>
      <c r="I98" s="882"/>
      <c r="J98" s="869"/>
    </row>
    <row r="99" spans="1:10" ht="15.75">
      <c r="A99" s="887" t="s">
        <v>1783</v>
      </c>
      <c r="B99" s="888" t="s">
        <v>1168</v>
      </c>
      <c r="C99" s="889" t="s">
        <v>1856</v>
      </c>
      <c r="D99" s="890">
        <v>19920319</v>
      </c>
      <c r="E99" s="891">
        <v>0</v>
      </c>
      <c r="F99" s="1037">
        <f t="shared" si="1"/>
        <v>10113624213.06999</v>
      </c>
      <c r="G99" s="869"/>
      <c r="H99" s="882"/>
      <c r="I99" s="882"/>
      <c r="J99" s="869"/>
    </row>
    <row r="100" spans="1:10" ht="15.75">
      <c r="A100" s="887" t="s">
        <v>1783</v>
      </c>
      <c r="B100" s="888" t="s">
        <v>1168</v>
      </c>
      <c r="C100" s="889" t="s">
        <v>1857</v>
      </c>
      <c r="D100" s="890">
        <v>39840637</v>
      </c>
      <c r="E100" s="891">
        <v>0</v>
      </c>
      <c r="F100" s="1037">
        <f t="shared" si="1"/>
        <v>10073783576.06999</v>
      </c>
      <c r="G100" s="869"/>
      <c r="H100" s="882"/>
      <c r="I100" s="882"/>
      <c r="J100" s="869"/>
    </row>
    <row r="101" spans="1:10" ht="15.75">
      <c r="A101" s="887" t="s">
        <v>1783</v>
      </c>
      <c r="B101" s="888" t="s">
        <v>1168</v>
      </c>
      <c r="C101" s="889" t="s">
        <v>1858</v>
      </c>
      <c r="D101" s="890">
        <v>29880478</v>
      </c>
      <c r="E101" s="891">
        <v>0</v>
      </c>
      <c r="F101" s="1037">
        <f t="shared" si="1"/>
        <v>10043903098.06999</v>
      </c>
      <c r="G101" s="869"/>
      <c r="H101" s="882"/>
      <c r="I101" s="882"/>
      <c r="J101" s="869"/>
    </row>
    <row r="102" spans="1:10" ht="15.75">
      <c r="A102" s="887" t="s">
        <v>1783</v>
      </c>
      <c r="B102" s="888" t="s">
        <v>1168</v>
      </c>
      <c r="C102" s="889" t="s">
        <v>1859</v>
      </c>
      <c r="D102" s="890">
        <v>19920319</v>
      </c>
      <c r="E102" s="891">
        <v>0</v>
      </c>
      <c r="F102" s="1037">
        <f t="shared" si="1"/>
        <v>10023982779.06999</v>
      </c>
      <c r="G102" s="869"/>
      <c r="H102" s="882"/>
      <c r="I102" s="882"/>
      <c r="J102" s="869"/>
    </row>
    <row r="103" spans="1:10" ht="15.75">
      <c r="A103" s="887" t="s">
        <v>1783</v>
      </c>
      <c r="B103" s="888" t="s">
        <v>1168</v>
      </c>
      <c r="C103" s="889" t="s">
        <v>1860</v>
      </c>
      <c r="D103" s="890">
        <v>49800797</v>
      </c>
      <c r="E103" s="891">
        <v>0</v>
      </c>
      <c r="F103" s="1037">
        <f t="shared" si="1"/>
        <v>9974181982.0699902</v>
      </c>
      <c r="G103" s="869"/>
      <c r="H103" s="882"/>
      <c r="I103" s="882"/>
      <c r="J103" s="869"/>
    </row>
    <row r="104" spans="1:10" ht="15.75">
      <c r="A104" s="887" t="s">
        <v>1783</v>
      </c>
      <c r="B104" s="888" t="s">
        <v>1168</v>
      </c>
      <c r="C104" s="889" t="s">
        <v>1861</v>
      </c>
      <c r="D104" s="890">
        <v>49800797</v>
      </c>
      <c r="E104" s="891">
        <v>0</v>
      </c>
      <c r="F104" s="1037">
        <f t="shared" si="1"/>
        <v>9924381185.0699902</v>
      </c>
      <c r="G104" s="869"/>
      <c r="H104" s="882"/>
      <c r="I104" s="882"/>
      <c r="J104" s="869"/>
    </row>
    <row r="105" spans="1:10" ht="15.75">
      <c r="A105" s="887" t="s">
        <v>1783</v>
      </c>
      <c r="B105" s="888" t="s">
        <v>1168</v>
      </c>
      <c r="C105" s="889" t="s">
        <v>1862</v>
      </c>
      <c r="D105" s="890">
        <v>24900398</v>
      </c>
      <c r="E105" s="891">
        <v>0</v>
      </c>
      <c r="F105" s="1037">
        <f t="shared" si="1"/>
        <v>9899480787.0699902</v>
      </c>
      <c r="G105" s="869"/>
      <c r="H105" s="882"/>
      <c r="I105" s="882"/>
      <c r="J105" s="869"/>
    </row>
    <row r="106" spans="1:10" ht="15.75">
      <c r="A106" s="887" t="s">
        <v>1783</v>
      </c>
      <c r="B106" s="888" t="s">
        <v>1168</v>
      </c>
      <c r="C106" s="889" t="s">
        <v>1863</v>
      </c>
      <c r="D106" s="890">
        <v>19920319</v>
      </c>
      <c r="E106" s="891">
        <v>0</v>
      </c>
      <c r="F106" s="1037">
        <f t="shared" si="1"/>
        <v>9879560468.0699902</v>
      </c>
      <c r="G106" s="869"/>
      <c r="H106" s="882"/>
      <c r="I106" s="882"/>
      <c r="J106" s="869"/>
    </row>
    <row r="107" spans="1:10" ht="15.75">
      <c r="A107" s="887" t="s">
        <v>1783</v>
      </c>
      <c r="B107" s="888" t="s">
        <v>1168</v>
      </c>
      <c r="C107" s="889" t="s">
        <v>1864</v>
      </c>
      <c r="D107" s="890">
        <v>19920319</v>
      </c>
      <c r="E107" s="891">
        <v>0</v>
      </c>
      <c r="F107" s="1037">
        <f t="shared" si="1"/>
        <v>9859640149.0699902</v>
      </c>
      <c r="G107" s="869"/>
      <c r="H107" s="882"/>
      <c r="I107" s="882"/>
      <c r="J107" s="869"/>
    </row>
    <row r="108" spans="1:10" ht="15.75">
      <c r="A108" s="887" t="s">
        <v>1783</v>
      </c>
      <c r="B108" s="888" t="s">
        <v>1168</v>
      </c>
      <c r="C108" s="889" t="s">
        <v>1865</v>
      </c>
      <c r="D108" s="890">
        <v>49800797</v>
      </c>
      <c r="E108" s="891">
        <v>0</v>
      </c>
      <c r="F108" s="1037">
        <f t="shared" si="1"/>
        <v>9809839352.0699902</v>
      </c>
      <c r="G108" s="869"/>
      <c r="H108" s="882"/>
      <c r="I108" s="882"/>
      <c r="J108" s="869"/>
    </row>
    <row r="109" spans="1:10" ht="15.75">
      <c r="A109" s="887" t="s">
        <v>1783</v>
      </c>
      <c r="B109" s="888" t="s">
        <v>1168</v>
      </c>
      <c r="C109" s="889" t="s">
        <v>1866</v>
      </c>
      <c r="D109" s="890">
        <v>24900398</v>
      </c>
      <c r="E109" s="891">
        <v>0</v>
      </c>
      <c r="F109" s="1037">
        <f t="shared" si="1"/>
        <v>9784938954.0699902</v>
      </c>
      <c r="G109" s="869"/>
      <c r="H109" s="882"/>
      <c r="I109" s="882"/>
      <c r="J109" s="869"/>
    </row>
    <row r="110" spans="1:10" ht="15.75">
      <c r="A110" s="887" t="s">
        <v>1783</v>
      </c>
      <c r="B110" s="888" t="s">
        <v>1168</v>
      </c>
      <c r="C110" s="889" t="s">
        <v>1867</v>
      </c>
      <c r="D110" s="890">
        <v>29880478</v>
      </c>
      <c r="E110" s="891">
        <v>0</v>
      </c>
      <c r="F110" s="1037">
        <f t="shared" si="1"/>
        <v>9755058476.0699902</v>
      </c>
      <c r="G110" s="869"/>
      <c r="H110" s="882"/>
      <c r="I110" s="882"/>
      <c r="J110" s="869"/>
    </row>
    <row r="111" spans="1:10" ht="15.75">
      <c r="A111" s="887" t="s">
        <v>1783</v>
      </c>
      <c r="B111" s="888" t="s">
        <v>1168</v>
      </c>
      <c r="C111" s="889" t="s">
        <v>1868</v>
      </c>
      <c r="D111" s="890">
        <v>24900398</v>
      </c>
      <c r="E111" s="891">
        <v>0</v>
      </c>
      <c r="F111" s="1037">
        <f t="shared" si="1"/>
        <v>9730158078.0699902</v>
      </c>
      <c r="G111" s="869"/>
      <c r="H111" s="882"/>
      <c r="I111" s="882"/>
      <c r="J111" s="869"/>
    </row>
    <row r="112" spans="1:10" ht="15.75">
      <c r="A112" s="887" t="s">
        <v>1783</v>
      </c>
      <c r="B112" s="888" t="s">
        <v>1168</v>
      </c>
      <c r="C112" s="889" t="s">
        <v>1869</v>
      </c>
      <c r="D112" s="890">
        <v>49800797</v>
      </c>
      <c r="E112" s="891">
        <v>0</v>
      </c>
      <c r="F112" s="1037">
        <f t="shared" si="1"/>
        <v>9680357281.0699902</v>
      </c>
      <c r="G112" s="869"/>
      <c r="H112" s="882"/>
      <c r="I112" s="882"/>
      <c r="J112" s="869"/>
    </row>
    <row r="113" spans="1:10" ht="15.75">
      <c r="A113" s="887" t="s">
        <v>1783</v>
      </c>
      <c r="B113" s="888" t="s">
        <v>1168</v>
      </c>
      <c r="C113" s="889" t="s">
        <v>1870</v>
      </c>
      <c r="D113" s="890">
        <v>19920319</v>
      </c>
      <c r="E113" s="891">
        <v>0</v>
      </c>
      <c r="F113" s="1037">
        <f t="shared" si="1"/>
        <v>9660436962.0699902</v>
      </c>
      <c r="G113" s="869"/>
      <c r="H113" s="882"/>
      <c r="I113" s="882"/>
      <c r="J113" s="869"/>
    </row>
    <row r="114" spans="1:10" ht="15.75">
      <c r="A114" s="887" t="s">
        <v>1783</v>
      </c>
      <c r="B114" s="888" t="s">
        <v>740</v>
      </c>
      <c r="C114" s="889"/>
      <c r="D114" s="890">
        <v>0</v>
      </c>
      <c r="E114" s="891">
        <v>65213.55</v>
      </c>
      <c r="F114" s="1037">
        <f t="shared" si="1"/>
        <v>9660502175.6199894</v>
      </c>
      <c r="G114" s="869"/>
      <c r="H114" s="882"/>
      <c r="I114" s="882"/>
      <c r="J114" s="869"/>
    </row>
    <row r="115" spans="1:10" ht="15.75">
      <c r="A115" s="887" t="s">
        <v>1783</v>
      </c>
      <c r="B115" s="888" t="s">
        <v>701</v>
      </c>
      <c r="C115" s="889"/>
      <c r="D115" s="890">
        <v>4565</v>
      </c>
      <c r="E115" s="891">
        <v>0</v>
      </c>
      <c r="F115" s="1037">
        <f t="shared" si="1"/>
        <v>9660497610.6199894</v>
      </c>
      <c r="G115" s="869"/>
      <c r="H115" s="882"/>
      <c r="I115" s="882"/>
      <c r="J115" s="869"/>
    </row>
    <row r="116" spans="1:10" ht="15.75">
      <c r="A116" s="887" t="s">
        <v>1783</v>
      </c>
      <c r="B116" s="888" t="s">
        <v>20</v>
      </c>
      <c r="C116" s="889">
        <v>0</v>
      </c>
      <c r="D116" s="890">
        <v>8964161.7300000004</v>
      </c>
      <c r="E116" s="891">
        <v>0</v>
      </c>
      <c r="F116" s="1037">
        <f t="shared" si="1"/>
        <v>9651533448.8899899</v>
      </c>
      <c r="G116" s="869"/>
      <c r="H116" s="882"/>
      <c r="I116" s="882"/>
      <c r="J116" s="869"/>
    </row>
    <row r="117" spans="1:10" ht="15.75">
      <c r="A117" s="887" t="s">
        <v>1784</v>
      </c>
      <c r="B117" s="888" t="s">
        <v>1167</v>
      </c>
      <c r="C117" s="889" t="s">
        <v>1871</v>
      </c>
      <c r="D117" s="890">
        <v>24900398</v>
      </c>
      <c r="E117" s="891">
        <v>0</v>
      </c>
      <c r="F117" s="1037">
        <f t="shared" si="1"/>
        <v>9626633050.8899899</v>
      </c>
      <c r="G117" s="869"/>
      <c r="H117" s="882"/>
      <c r="I117" s="882"/>
      <c r="J117" s="869"/>
    </row>
    <row r="118" spans="1:10" ht="15.75">
      <c r="A118" s="887" t="s">
        <v>1784</v>
      </c>
      <c r="B118" s="888" t="s">
        <v>1167</v>
      </c>
      <c r="C118" s="889" t="s">
        <v>1872</v>
      </c>
      <c r="D118" s="890">
        <v>24900398</v>
      </c>
      <c r="E118" s="891">
        <v>0</v>
      </c>
      <c r="F118" s="1037">
        <f t="shared" si="1"/>
        <v>9601732652.8899899</v>
      </c>
      <c r="G118" s="869"/>
      <c r="H118" s="882"/>
      <c r="I118" s="882"/>
      <c r="J118" s="869"/>
    </row>
    <row r="119" spans="1:10" ht="15.75">
      <c r="A119" s="887" t="s">
        <v>1784</v>
      </c>
      <c r="B119" s="888" t="s">
        <v>1167</v>
      </c>
      <c r="C119" s="889" t="s">
        <v>1873</v>
      </c>
      <c r="D119" s="890">
        <v>24900398</v>
      </c>
      <c r="E119" s="891">
        <v>0</v>
      </c>
      <c r="F119" s="1037">
        <f t="shared" si="1"/>
        <v>9576832254.8899899</v>
      </c>
      <c r="G119" s="869"/>
      <c r="H119" s="882"/>
      <c r="I119" s="882"/>
      <c r="J119" s="869"/>
    </row>
    <row r="120" spans="1:10" ht="15.75">
      <c r="A120" s="887" t="s">
        <v>1784</v>
      </c>
      <c r="B120" s="888" t="s">
        <v>1167</v>
      </c>
      <c r="C120" s="889" t="s">
        <v>1874</v>
      </c>
      <c r="D120" s="890">
        <v>19920319</v>
      </c>
      <c r="E120" s="891">
        <v>0</v>
      </c>
      <c r="F120" s="1037">
        <f t="shared" si="1"/>
        <v>9556911935.8899899</v>
      </c>
      <c r="G120" s="869"/>
      <c r="H120" s="882"/>
      <c r="I120" s="882"/>
      <c r="J120" s="869"/>
    </row>
    <row r="121" spans="1:10" ht="15.75">
      <c r="A121" s="887" t="s">
        <v>1784</v>
      </c>
      <c r="B121" s="888" t="s">
        <v>1797</v>
      </c>
      <c r="C121" s="889" t="s">
        <v>1875</v>
      </c>
      <c r="D121" s="890">
        <v>24900398</v>
      </c>
      <c r="E121" s="891">
        <v>0</v>
      </c>
      <c r="F121" s="1037">
        <f t="shared" si="1"/>
        <v>9532011537.8899899</v>
      </c>
      <c r="G121" s="869"/>
      <c r="H121" s="882"/>
      <c r="I121" s="882"/>
      <c r="J121" s="869"/>
    </row>
    <row r="122" spans="1:10" ht="15.75">
      <c r="A122" s="887" t="s">
        <v>1784</v>
      </c>
      <c r="B122" s="888" t="s">
        <v>1168</v>
      </c>
      <c r="C122" s="889" t="s">
        <v>1876</v>
      </c>
      <c r="D122" s="890">
        <v>24900398</v>
      </c>
      <c r="E122" s="891">
        <v>0</v>
      </c>
      <c r="F122" s="1037">
        <f t="shared" si="1"/>
        <v>9507111139.8899899</v>
      </c>
      <c r="G122" s="869"/>
      <c r="H122" s="882"/>
      <c r="I122" s="882"/>
      <c r="J122" s="869"/>
    </row>
    <row r="123" spans="1:10" ht="15.75">
      <c r="A123" s="887" t="s">
        <v>1784</v>
      </c>
      <c r="B123" s="888" t="s">
        <v>1168</v>
      </c>
      <c r="C123" s="889" t="s">
        <v>1877</v>
      </c>
      <c r="D123" s="890">
        <v>49800797</v>
      </c>
      <c r="E123" s="891">
        <v>0</v>
      </c>
      <c r="F123" s="1037">
        <f t="shared" si="1"/>
        <v>9457310342.8899899</v>
      </c>
      <c r="G123" s="869"/>
      <c r="H123" s="882"/>
      <c r="I123" s="882"/>
      <c r="J123" s="869"/>
    </row>
    <row r="124" spans="1:10" ht="15.75">
      <c r="A124" s="887" t="s">
        <v>1784</v>
      </c>
      <c r="B124" s="888" t="s">
        <v>1168</v>
      </c>
      <c r="C124" s="889" t="s">
        <v>1878</v>
      </c>
      <c r="D124" s="890">
        <v>19920319</v>
      </c>
      <c r="E124" s="891">
        <v>0</v>
      </c>
      <c r="F124" s="1037">
        <f t="shared" si="1"/>
        <v>9437390023.8899899</v>
      </c>
      <c r="G124" s="869"/>
      <c r="H124" s="882"/>
      <c r="I124" s="882"/>
      <c r="J124" s="869"/>
    </row>
    <row r="125" spans="1:10" ht="15.75">
      <c r="A125" s="887" t="s">
        <v>1784</v>
      </c>
      <c r="B125" s="888" t="s">
        <v>1168</v>
      </c>
      <c r="C125" s="889" t="s">
        <v>1879</v>
      </c>
      <c r="D125" s="890">
        <v>19920319</v>
      </c>
      <c r="E125" s="891">
        <v>0</v>
      </c>
      <c r="F125" s="1037">
        <f t="shared" si="1"/>
        <v>9417469704.8899899</v>
      </c>
      <c r="G125" s="869"/>
      <c r="H125" s="882"/>
      <c r="I125" s="882"/>
      <c r="J125" s="869"/>
    </row>
    <row r="126" spans="1:10" ht="15.75">
      <c r="A126" s="887" t="s">
        <v>1784</v>
      </c>
      <c r="B126" s="888" t="s">
        <v>1168</v>
      </c>
      <c r="C126" s="889" t="s">
        <v>1880</v>
      </c>
      <c r="D126" s="890">
        <v>19920319</v>
      </c>
      <c r="E126" s="891">
        <v>0</v>
      </c>
      <c r="F126" s="1037">
        <f t="shared" si="1"/>
        <v>9397549385.8899899</v>
      </c>
      <c r="G126" s="869"/>
      <c r="H126" s="882"/>
      <c r="I126" s="882"/>
      <c r="J126" s="869"/>
    </row>
    <row r="127" spans="1:10" ht="15.75">
      <c r="A127" s="887" t="s">
        <v>1784</v>
      </c>
      <c r="B127" s="888" t="s">
        <v>1168</v>
      </c>
      <c r="C127" s="889" t="s">
        <v>1881</v>
      </c>
      <c r="D127" s="890">
        <v>49800797</v>
      </c>
      <c r="E127" s="891">
        <v>0</v>
      </c>
      <c r="F127" s="1037">
        <f t="shared" si="1"/>
        <v>9347748588.8899899</v>
      </c>
      <c r="G127" s="869"/>
      <c r="H127" s="882"/>
      <c r="I127" s="882"/>
      <c r="J127" s="869"/>
    </row>
    <row r="128" spans="1:10" ht="15.75">
      <c r="A128" s="887" t="s">
        <v>1784</v>
      </c>
      <c r="B128" s="888" t="s">
        <v>1168</v>
      </c>
      <c r="C128" s="889" t="s">
        <v>1882</v>
      </c>
      <c r="D128" s="890">
        <v>24900398</v>
      </c>
      <c r="E128" s="891">
        <v>0</v>
      </c>
      <c r="F128" s="1037">
        <f t="shared" si="1"/>
        <v>9322848190.8899899</v>
      </c>
      <c r="G128" s="869"/>
      <c r="H128" s="882"/>
      <c r="I128" s="882"/>
      <c r="J128" s="869"/>
    </row>
    <row r="129" spans="1:10" ht="15.75">
      <c r="A129" s="887" t="s">
        <v>1784</v>
      </c>
      <c r="B129" s="888" t="s">
        <v>1168</v>
      </c>
      <c r="C129" s="889" t="s">
        <v>1883</v>
      </c>
      <c r="D129" s="890">
        <v>24900398</v>
      </c>
      <c r="E129" s="891">
        <v>0</v>
      </c>
      <c r="F129" s="1037">
        <f t="shared" si="1"/>
        <v>9297947792.8899899</v>
      </c>
      <c r="G129" s="869"/>
      <c r="H129" s="882"/>
      <c r="I129" s="882"/>
      <c r="J129" s="869"/>
    </row>
    <row r="130" spans="1:10" ht="15.75">
      <c r="A130" s="887" t="s">
        <v>1784</v>
      </c>
      <c r="B130" s="888" t="s">
        <v>1168</v>
      </c>
      <c r="C130" s="889" t="s">
        <v>1884</v>
      </c>
      <c r="D130" s="890">
        <v>19920319</v>
      </c>
      <c r="E130" s="891">
        <v>0</v>
      </c>
      <c r="F130" s="1037">
        <f t="shared" si="1"/>
        <v>9278027473.8899899</v>
      </c>
      <c r="G130" s="869"/>
      <c r="H130" s="882"/>
      <c r="I130" s="882"/>
      <c r="J130" s="869"/>
    </row>
    <row r="131" spans="1:10" ht="15.75">
      <c r="A131" s="887" t="s">
        <v>1784</v>
      </c>
      <c r="B131" s="888" t="s">
        <v>1168</v>
      </c>
      <c r="C131" s="889" t="s">
        <v>1885</v>
      </c>
      <c r="D131" s="890">
        <v>24900398</v>
      </c>
      <c r="E131" s="891">
        <v>0</v>
      </c>
      <c r="F131" s="1037">
        <f t="shared" si="1"/>
        <v>9253127075.8899899</v>
      </c>
      <c r="G131" s="869"/>
      <c r="H131" s="882"/>
      <c r="I131" s="882"/>
      <c r="J131" s="869"/>
    </row>
    <row r="132" spans="1:10" ht="15.75">
      <c r="A132" s="887" t="s">
        <v>1784</v>
      </c>
      <c r="B132" s="888" t="s">
        <v>1168</v>
      </c>
      <c r="C132" s="889" t="s">
        <v>1886</v>
      </c>
      <c r="D132" s="890">
        <v>19920319</v>
      </c>
      <c r="E132" s="891">
        <v>0</v>
      </c>
      <c r="F132" s="1037">
        <f t="shared" si="1"/>
        <v>9233206756.8899899</v>
      </c>
      <c r="G132" s="869"/>
      <c r="H132" s="882"/>
      <c r="I132" s="882"/>
      <c r="J132" s="869"/>
    </row>
    <row r="133" spans="1:10" ht="15.75">
      <c r="A133" s="887" t="s">
        <v>1784</v>
      </c>
      <c r="B133" s="888" t="s">
        <v>1168</v>
      </c>
      <c r="C133" s="889" t="s">
        <v>1887</v>
      </c>
      <c r="D133" s="890">
        <v>24900398</v>
      </c>
      <c r="E133" s="891">
        <v>0</v>
      </c>
      <c r="F133" s="1037">
        <f t="shared" si="1"/>
        <v>9208306358.8899899</v>
      </c>
      <c r="G133" s="869"/>
      <c r="H133" s="882"/>
      <c r="I133" s="882"/>
      <c r="J133" s="869"/>
    </row>
    <row r="134" spans="1:10" ht="15.75">
      <c r="A134" s="887" t="s">
        <v>1784</v>
      </c>
      <c r="B134" s="888" t="s">
        <v>1168</v>
      </c>
      <c r="C134" s="889" t="s">
        <v>1888</v>
      </c>
      <c r="D134" s="890">
        <v>49800797</v>
      </c>
      <c r="E134" s="891">
        <v>0</v>
      </c>
      <c r="F134" s="1037">
        <f t="shared" si="1"/>
        <v>9158505561.8899899</v>
      </c>
      <c r="G134" s="869"/>
      <c r="H134" s="882"/>
      <c r="I134" s="882"/>
      <c r="J134" s="869"/>
    </row>
    <row r="135" spans="1:10" ht="15.75">
      <c r="A135" s="887" t="s">
        <v>1784</v>
      </c>
      <c r="B135" s="888" t="s">
        <v>1168</v>
      </c>
      <c r="C135" s="889" t="s">
        <v>1889</v>
      </c>
      <c r="D135" s="890">
        <v>49800797</v>
      </c>
      <c r="E135" s="891">
        <v>0</v>
      </c>
      <c r="F135" s="1037">
        <f t="shared" si="1"/>
        <v>9108704764.8899899</v>
      </c>
      <c r="G135" s="869"/>
      <c r="H135" s="882"/>
      <c r="I135" s="882"/>
      <c r="J135" s="869"/>
    </row>
    <row r="136" spans="1:10" ht="15.75">
      <c r="A136" s="887" t="s">
        <v>1784</v>
      </c>
      <c r="B136" s="888" t="s">
        <v>1168</v>
      </c>
      <c r="C136" s="889" t="s">
        <v>1890</v>
      </c>
      <c r="D136" s="890">
        <v>49800797</v>
      </c>
      <c r="E136" s="891">
        <v>0</v>
      </c>
      <c r="F136" s="1037">
        <f t="shared" si="1"/>
        <v>9058903967.8899899</v>
      </c>
      <c r="G136" s="869"/>
      <c r="H136" s="882"/>
      <c r="I136" s="882"/>
      <c r="J136" s="869"/>
    </row>
    <row r="137" spans="1:10" ht="15.75">
      <c r="A137" s="887" t="s">
        <v>1784</v>
      </c>
      <c r="B137" s="888" t="s">
        <v>1168</v>
      </c>
      <c r="C137" s="889" t="s">
        <v>1891</v>
      </c>
      <c r="D137" s="890">
        <v>19920319</v>
      </c>
      <c r="E137" s="891">
        <v>0</v>
      </c>
      <c r="F137" s="1037">
        <f t="shared" si="1"/>
        <v>9038983648.8899899</v>
      </c>
      <c r="G137" s="869"/>
      <c r="H137" s="882"/>
      <c r="I137" s="882"/>
      <c r="J137" s="869"/>
    </row>
    <row r="138" spans="1:10" ht="15.75">
      <c r="A138" s="887" t="s">
        <v>1784</v>
      </c>
      <c r="B138" s="888" t="s">
        <v>1168</v>
      </c>
      <c r="C138" s="889" t="s">
        <v>1892</v>
      </c>
      <c r="D138" s="890">
        <v>49800797</v>
      </c>
      <c r="E138" s="891">
        <v>0</v>
      </c>
      <c r="F138" s="1037">
        <f t="shared" si="1"/>
        <v>8989182851.8899899</v>
      </c>
      <c r="G138" s="869"/>
      <c r="H138" s="882"/>
      <c r="I138" s="882"/>
      <c r="J138" s="869"/>
    </row>
    <row r="139" spans="1:10" ht="15.75">
      <c r="A139" s="887" t="s">
        <v>1784</v>
      </c>
      <c r="B139" s="888" t="s">
        <v>1168</v>
      </c>
      <c r="C139" s="889" t="s">
        <v>1893</v>
      </c>
      <c r="D139" s="890">
        <v>39840637</v>
      </c>
      <c r="E139" s="891">
        <v>0</v>
      </c>
      <c r="F139" s="1037">
        <f t="shared" si="1"/>
        <v>8949342214.8899899</v>
      </c>
      <c r="G139" s="869"/>
      <c r="H139" s="882"/>
      <c r="I139" s="882"/>
      <c r="J139" s="869"/>
    </row>
    <row r="140" spans="1:10" ht="15.75">
      <c r="A140" s="887" t="s">
        <v>1784</v>
      </c>
      <c r="B140" s="888" t="s">
        <v>1168</v>
      </c>
      <c r="C140" s="889" t="s">
        <v>1894</v>
      </c>
      <c r="D140" s="890">
        <v>49800797</v>
      </c>
      <c r="E140" s="891">
        <v>0</v>
      </c>
      <c r="F140" s="1037">
        <f t="shared" si="1"/>
        <v>8899541417.8899899</v>
      </c>
      <c r="G140" s="869"/>
      <c r="H140" s="882"/>
      <c r="I140" s="882"/>
      <c r="J140" s="869"/>
    </row>
    <row r="141" spans="1:10" ht="15.75">
      <c r="A141" s="887" t="s">
        <v>1784</v>
      </c>
      <c r="B141" s="888" t="s">
        <v>1168</v>
      </c>
      <c r="C141" s="889" t="s">
        <v>1895</v>
      </c>
      <c r="D141" s="890">
        <v>39840637</v>
      </c>
      <c r="E141" s="891">
        <v>0</v>
      </c>
      <c r="F141" s="1037">
        <f t="shared" si="1"/>
        <v>8859700780.8899899</v>
      </c>
      <c r="G141" s="869"/>
      <c r="H141" s="882"/>
      <c r="I141" s="882"/>
      <c r="J141" s="869"/>
    </row>
    <row r="142" spans="1:10" ht="15.75">
      <c r="A142" s="887" t="s">
        <v>1784</v>
      </c>
      <c r="B142" s="888" t="s">
        <v>1168</v>
      </c>
      <c r="C142" s="889" t="s">
        <v>1896</v>
      </c>
      <c r="D142" s="890">
        <v>19920319</v>
      </c>
      <c r="E142" s="891">
        <v>0</v>
      </c>
      <c r="F142" s="1037">
        <f t="shared" si="1"/>
        <v>8839780461.8899899</v>
      </c>
      <c r="G142" s="869"/>
      <c r="H142" s="882"/>
      <c r="I142" s="882"/>
      <c r="J142" s="869"/>
    </row>
    <row r="143" spans="1:10" ht="15.75">
      <c r="A143" s="887" t="s">
        <v>1784</v>
      </c>
      <c r="B143" s="888" t="s">
        <v>1168</v>
      </c>
      <c r="C143" s="889" t="s">
        <v>1897</v>
      </c>
      <c r="D143" s="890">
        <v>24900398</v>
      </c>
      <c r="E143" s="891">
        <v>0</v>
      </c>
      <c r="F143" s="1037">
        <f t="shared" si="1"/>
        <v>8814880063.8899899</v>
      </c>
      <c r="G143" s="869"/>
      <c r="H143" s="882"/>
      <c r="I143" s="882"/>
      <c r="J143" s="869"/>
    </row>
    <row r="144" spans="1:10" ht="15.75">
      <c r="A144" s="887" t="s">
        <v>1784</v>
      </c>
      <c r="B144" s="888" t="s">
        <v>1168</v>
      </c>
      <c r="C144" s="889" t="s">
        <v>1898</v>
      </c>
      <c r="D144" s="890">
        <v>29880478</v>
      </c>
      <c r="E144" s="891">
        <v>0</v>
      </c>
      <c r="F144" s="1037">
        <f t="shared" ref="F144:F207" si="2">+F143-D144+E144</f>
        <v>8784999585.8899899</v>
      </c>
      <c r="G144" s="869"/>
      <c r="H144" s="882"/>
      <c r="I144" s="882"/>
      <c r="J144" s="869"/>
    </row>
    <row r="145" spans="1:10" ht="15.75">
      <c r="A145" s="887" t="s">
        <v>1784</v>
      </c>
      <c r="B145" s="888" t="s">
        <v>1168</v>
      </c>
      <c r="C145" s="889" t="s">
        <v>1899</v>
      </c>
      <c r="D145" s="890">
        <v>49800797</v>
      </c>
      <c r="E145" s="891">
        <v>0</v>
      </c>
      <c r="F145" s="1037">
        <f t="shared" si="2"/>
        <v>8735198788.8899899</v>
      </c>
      <c r="G145" s="869"/>
      <c r="H145" s="882"/>
      <c r="I145" s="882"/>
      <c r="J145" s="869"/>
    </row>
    <row r="146" spans="1:10" ht="15.75">
      <c r="A146" s="887" t="s">
        <v>1784</v>
      </c>
      <c r="B146" s="888" t="s">
        <v>1168</v>
      </c>
      <c r="C146" s="889" t="s">
        <v>1900</v>
      </c>
      <c r="D146" s="890">
        <v>49800797</v>
      </c>
      <c r="E146" s="891">
        <v>0</v>
      </c>
      <c r="F146" s="1037">
        <f t="shared" si="2"/>
        <v>8685397991.8899899</v>
      </c>
      <c r="G146" s="869"/>
      <c r="H146" s="882"/>
      <c r="I146" s="882"/>
      <c r="J146" s="869"/>
    </row>
    <row r="147" spans="1:10" ht="15.75">
      <c r="A147" s="887" t="s">
        <v>1784</v>
      </c>
      <c r="B147" s="888" t="s">
        <v>1168</v>
      </c>
      <c r="C147" s="889" t="s">
        <v>1901</v>
      </c>
      <c r="D147" s="890">
        <v>49800797</v>
      </c>
      <c r="E147" s="891">
        <v>0</v>
      </c>
      <c r="F147" s="1037">
        <f t="shared" si="2"/>
        <v>8635597194.8899899</v>
      </c>
      <c r="G147" s="869"/>
      <c r="H147" s="882"/>
      <c r="I147" s="882"/>
      <c r="J147" s="869"/>
    </row>
    <row r="148" spans="1:10" ht="15.75">
      <c r="A148" s="887" t="s">
        <v>1784</v>
      </c>
      <c r="B148" s="888" t="s">
        <v>1168</v>
      </c>
      <c r="C148" s="889" t="s">
        <v>1902</v>
      </c>
      <c r="D148" s="890">
        <v>19920319</v>
      </c>
      <c r="E148" s="891">
        <v>0</v>
      </c>
      <c r="F148" s="1037">
        <f t="shared" si="2"/>
        <v>8615676875.8899899</v>
      </c>
      <c r="G148" s="869"/>
      <c r="H148" s="882"/>
      <c r="I148" s="882"/>
      <c r="J148" s="869"/>
    </row>
    <row r="149" spans="1:10" ht="15.75">
      <c r="A149" s="887" t="s">
        <v>1784</v>
      </c>
      <c r="B149" s="888" t="s">
        <v>1168</v>
      </c>
      <c r="C149" s="889" t="s">
        <v>1903</v>
      </c>
      <c r="D149" s="890">
        <v>19920319</v>
      </c>
      <c r="E149" s="891">
        <v>0</v>
      </c>
      <c r="F149" s="1037">
        <f t="shared" si="2"/>
        <v>8595756556.8899899</v>
      </c>
      <c r="G149" s="869"/>
      <c r="H149" s="882"/>
      <c r="I149" s="882"/>
      <c r="J149" s="869"/>
    </row>
    <row r="150" spans="1:10" ht="15.75">
      <c r="A150" s="887" t="s">
        <v>1784</v>
      </c>
      <c r="B150" s="888" t="s">
        <v>1168</v>
      </c>
      <c r="C150" s="889" t="s">
        <v>1904</v>
      </c>
      <c r="D150" s="890">
        <v>19920319</v>
      </c>
      <c r="E150" s="891">
        <v>0</v>
      </c>
      <c r="F150" s="1037">
        <f t="shared" si="2"/>
        <v>8575836237.8899899</v>
      </c>
      <c r="G150" s="869"/>
      <c r="H150" s="882"/>
      <c r="I150" s="882"/>
      <c r="J150" s="869"/>
    </row>
    <row r="151" spans="1:10" ht="15.75">
      <c r="A151" s="887" t="s">
        <v>1784</v>
      </c>
      <c r="B151" s="888" t="s">
        <v>1168</v>
      </c>
      <c r="C151" s="889" t="s">
        <v>1905</v>
      </c>
      <c r="D151" s="890">
        <v>24900398</v>
      </c>
      <c r="E151" s="891">
        <v>0</v>
      </c>
      <c r="F151" s="1037">
        <f t="shared" si="2"/>
        <v>8550935839.8899899</v>
      </c>
      <c r="G151" s="869"/>
      <c r="H151" s="882"/>
      <c r="I151" s="882"/>
      <c r="J151" s="869"/>
    </row>
    <row r="152" spans="1:10" ht="15.75">
      <c r="A152" s="887" t="s">
        <v>1784</v>
      </c>
      <c r="B152" s="888" t="s">
        <v>1168</v>
      </c>
      <c r="C152" s="889" t="s">
        <v>1906</v>
      </c>
      <c r="D152" s="890">
        <v>24900398</v>
      </c>
      <c r="E152" s="891">
        <v>0</v>
      </c>
      <c r="F152" s="1037">
        <f t="shared" si="2"/>
        <v>8526035441.8899899</v>
      </c>
      <c r="G152" s="869"/>
      <c r="H152" s="882"/>
      <c r="I152" s="882"/>
      <c r="J152" s="869"/>
    </row>
    <row r="153" spans="1:10" ht="15.75">
      <c r="A153" s="887" t="s">
        <v>1784</v>
      </c>
      <c r="B153" s="888" t="s">
        <v>1168</v>
      </c>
      <c r="C153" s="889" t="s">
        <v>1907</v>
      </c>
      <c r="D153" s="890">
        <v>49800797</v>
      </c>
      <c r="E153" s="891">
        <v>0</v>
      </c>
      <c r="F153" s="1037">
        <f t="shared" si="2"/>
        <v>8476234644.8899899</v>
      </c>
      <c r="G153" s="869"/>
      <c r="H153" s="882"/>
      <c r="I153" s="882"/>
      <c r="J153" s="869"/>
    </row>
    <row r="154" spans="1:10" ht="15.75">
      <c r="A154" s="887" t="s">
        <v>1784</v>
      </c>
      <c r="B154" s="888" t="s">
        <v>1168</v>
      </c>
      <c r="C154" s="889" t="s">
        <v>1908</v>
      </c>
      <c r="D154" s="890">
        <v>19920319</v>
      </c>
      <c r="E154" s="891">
        <v>0</v>
      </c>
      <c r="F154" s="1037">
        <f t="shared" si="2"/>
        <v>8456314325.8899899</v>
      </c>
      <c r="G154" s="869"/>
      <c r="H154" s="882"/>
      <c r="I154" s="882"/>
      <c r="J154" s="869"/>
    </row>
    <row r="155" spans="1:10" ht="15.75">
      <c r="A155" s="887" t="s">
        <v>1784</v>
      </c>
      <c r="B155" s="888" t="s">
        <v>1168</v>
      </c>
      <c r="C155" s="889" t="s">
        <v>1909</v>
      </c>
      <c r="D155" s="890">
        <v>24900398</v>
      </c>
      <c r="E155" s="891">
        <v>0</v>
      </c>
      <c r="F155" s="1037">
        <f t="shared" si="2"/>
        <v>8431413927.8899899</v>
      </c>
      <c r="G155" s="869"/>
      <c r="H155" s="882"/>
      <c r="I155" s="882"/>
      <c r="J155" s="869"/>
    </row>
    <row r="156" spans="1:10" ht="15.75">
      <c r="A156" s="887" t="s">
        <v>1784</v>
      </c>
      <c r="B156" s="888" t="s">
        <v>1168</v>
      </c>
      <c r="C156" s="889" t="s">
        <v>1910</v>
      </c>
      <c r="D156" s="890">
        <v>24900398</v>
      </c>
      <c r="E156" s="891">
        <v>0</v>
      </c>
      <c r="F156" s="1037">
        <f t="shared" si="2"/>
        <v>8406513529.8899899</v>
      </c>
      <c r="G156" s="869"/>
      <c r="H156" s="882"/>
      <c r="I156" s="882"/>
      <c r="J156" s="869"/>
    </row>
    <row r="157" spans="1:10" ht="15.75">
      <c r="A157" s="887" t="s">
        <v>1784</v>
      </c>
      <c r="B157" s="888" t="s">
        <v>1168</v>
      </c>
      <c r="C157" s="889" t="s">
        <v>1911</v>
      </c>
      <c r="D157" s="890">
        <v>19920319</v>
      </c>
      <c r="E157" s="891">
        <v>0</v>
      </c>
      <c r="F157" s="1037">
        <f t="shared" si="2"/>
        <v>8386593210.8899899</v>
      </c>
      <c r="G157" s="869"/>
      <c r="H157" s="882"/>
      <c r="I157" s="882"/>
      <c r="J157" s="869"/>
    </row>
    <row r="158" spans="1:10" ht="15.75">
      <c r="A158" s="887" t="s">
        <v>1784</v>
      </c>
      <c r="B158" s="888" t="s">
        <v>1168</v>
      </c>
      <c r="C158" s="889" t="s">
        <v>1912</v>
      </c>
      <c r="D158" s="890">
        <v>24900398</v>
      </c>
      <c r="E158" s="891">
        <v>0</v>
      </c>
      <c r="F158" s="1037">
        <f t="shared" si="2"/>
        <v>8361692812.8899899</v>
      </c>
      <c r="G158" s="869"/>
      <c r="H158" s="882"/>
      <c r="I158" s="882"/>
      <c r="J158" s="869"/>
    </row>
    <row r="159" spans="1:10" ht="15.75">
      <c r="A159" s="887" t="s">
        <v>1784</v>
      </c>
      <c r="B159" s="888" t="s">
        <v>1168</v>
      </c>
      <c r="C159" s="889" t="s">
        <v>1913</v>
      </c>
      <c r="D159" s="890">
        <v>19920319</v>
      </c>
      <c r="E159" s="891">
        <v>0</v>
      </c>
      <c r="F159" s="1037">
        <f t="shared" si="2"/>
        <v>8341772493.8899899</v>
      </c>
      <c r="G159" s="869"/>
      <c r="H159" s="882"/>
      <c r="I159" s="882"/>
      <c r="J159" s="869"/>
    </row>
    <row r="160" spans="1:10" ht="15.75">
      <c r="A160" s="887" t="s">
        <v>1784</v>
      </c>
      <c r="B160" s="888" t="s">
        <v>1168</v>
      </c>
      <c r="C160" s="889" t="s">
        <v>1914</v>
      </c>
      <c r="D160" s="890">
        <v>19920319</v>
      </c>
      <c r="E160" s="891">
        <v>0</v>
      </c>
      <c r="F160" s="1037">
        <f t="shared" si="2"/>
        <v>8321852174.8899899</v>
      </c>
      <c r="G160" s="869"/>
      <c r="H160" s="882"/>
      <c r="I160" s="882"/>
      <c r="J160" s="869"/>
    </row>
    <row r="161" spans="1:10" ht="15.75">
      <c r="A161" s="887" t="s">
        <v>1784</v>
      </c>
      <c r="B161" s="888" t="s">
        <v>1168</v>
      </c>
      <c r="C161" s="889" t="s">
        <v>1915</v>
      </c>
      <c r="D161" s="890">
        <v>49800797</v>
      </c>
      <c r="E161" s="891">
        <v>0</v>
      </c>
      <c r="F161" s="1037">
        <f t="shared" si="2"/>
        <v>8272051377.8899899</v>
      </c>
      <c r="G161" s="869"/>
      <c r="H161" s="882"/>
      <c r="I161" s="882"/>
      <c r="J161" s="869"/>
    </row>
    <row r="162" spans="1:10" ht="15.75">
      <c r="A162" s="887" t="s">
        <v>1784</v>
      </c>
      <c r="B162" s="888" t="s">
        <v>1168</v>
      </c>
      <c r="C162" s="889" t="s">
        <v>1916</v>
      </c>
      <c r="D162" s="890">
        <v>19920319</v>
      </c>
      <c r="E162" s="891">
        <v>0</v>
      </c>
      <c r="F162" s="1037">
        <f t="shared" si="2"/>
        <v>8252131058.8899899</v>
      </c>
      <c r="G162" s="869"/>
      <c r="H162" s="882"/>
      <c r="I162" s="882"/>
      <c r="J162" s="869"/>
    </row>
    <row r="163" spans="1:10" ht="15.75">
      <c r="A163" s="887" t="s">
        <v>1784</v>
      </c>
      <c r="B163" s="888" t="s">
        <v>1168</v>
      </c>
      <c r="C163" s="889" t="s">
        <v>1917</v>
      </c>
      <c r="D163" s="890">
        <v>24900398</v>
      </c>
      <c r="E163" s="891">
        <v>0</v>
      </c>
      <c r="F163" s="1037">
        <f t="shared" si="2"/>
        <v>8227230660.8899899</v>
      </c>
      <c r="G163" s="869"/>
      <c r="H163" s="882"/>
      <c r="I163" s="882"/>
      <c r="J163" s="869"/>
    </row>
    <row r="164" spans="1:10" ht="15.75">
      <c r="A164" s="887" t="s">
        <v>1784</v>
      </c>
      <c r="B164" s="888" t="s">
        <v>1168</v>
      </c>
      <c r="C164" s="889" t="s">
        <v>1918</v>
      </c>
      <c r="D164" s="890">
        <v>49800797</v>
      </c>
      <c r="E164" s="891">
        <v>0</v>
      </c>
      <c r="F164" s="1037">
        <f t="shared" si="2"/>
        <v>8177429863.8899899</v>
      </c>
      <c r="G164" s="869"/>
      <c r="H164" s="882"/>
      <c r="I164" s="882"/>
      <c r="J164" s="869"/>
    </row>
    <row r="165" spans="1:10" ht="15.75">
      <c r="A165" s="887" t="s">
        <v>1784</v>
      </c>
      <c r="B165" s="888" t="s">
        <v>1168</v>
      </c>
      <c r="C165" s="889" t="s">
        <v>1919</v>
      </c>
      <c r="D165" s="890">
        <v>19920319</v>
      </c>
      <c r="E165" s="891">
        <v>0</v>
      </c>
      <c r="F165" s="1037">
        <f t="shared" si="2"/>
        <v>8157509544.8899899</v>
      </c>
      <c r="G165" s="869"/>
      <c r="H165" s="882"/>
      <c r="I165" s="882"/>
      <c r="J165" s="869"/>
    </row>
    <row r="166" spans="1:10" ht="15.75">
      <c r="A166" s="887" t="s">
        <v>1784</v>
      </c>
      <c r="B166" s="888" t="s">
        <v>1168</v>
      </c>
      <c r="C166" s="889" t="s">
        <v>1920</v>
      </c>
      <c r="D166" s="890">
        <v>24900398</v>
      </c>
      <c r="E166" s="891">
        <v>0</v>
      </c>
      <c r="F166" s="1037">
        <f t="shared" si="2"/>
        <v>8132609146.8899899</v>
      </c>
      <c r="G166" s="869"/>
      <c r="H166" s="882"/>
      <c r="I166" s="882"/>
      <c r="J166" s="869"/>
    </row>
    <row r="167" spans="1:10" ht="15.75">
      <c r="A167" s="887" t="s">
        <v>1784</v>
      </c>
      <c r="B167" s="888" t="s">
        <v>1168</v>
      </c>
      <c r="C167" s="889" t="s">
        <v>1921</v>
      </c>
      <c r="D167" s="890">
        <v>49800797</v>
      </c>
      <c r="E167" s="891">
        <v>0</v>
      </c>
      <c r="F167" s="1037">
        <f t="shared" si="2"/>
        <v>8082808349.8899899</v>
      </c>
      <c r="G167" s="869"/>
      <c r="H167" s="882"/>
      <c r="I167" s="882"/>
      <c r="J167" s="869"/>
    </row>
    <row r="168" spans="1:10" ht="15.75">
      <c r="A168" s="887" t="s">
        <v>1784</v>
      </c>
      <c r="B168" s="888" t="s">
        <v>1168</v>
      </c>
      <c r="C168" s="889" t="s">
        <v>1922</v>
      </c>
      <c r="D168" s="890">
        <v>49800797</v>
      </c>
      <c r="E168" s="891">
        <v>0</v>
      </c>
      <c r="F168" s="1037">
        <f t="shared" si="2"/>
        <v>8033007552.8899899</v>
      </c>
      <c r="G168" s="869"/>
      <c r="H168" s="882"/>
      <c r="I168" s="882"/>
      <c r="J168" s="869"/>
    </row>
    <row r="169" spans="1:10" ht="15.75">
      <c r="A169" s="887" t="s">
        <v>1784</v>
      </c>
      <c r="B169" s="888" t="s">
        <v>1168</v>
      </c>
      <c r="C169" s="889" t="s">
        <v>1923</v>
      </c>
      <c r="D169" s="890">
        <v>19920319</v>
      </c>
      <c r="E169" s="891">
        <v>0</v>
      </c>
      <c r="F169" s="1037">
        <f t="shared" si="2"/>
        <v>8013087233.8899899</v>
      </c>
      <c r="G169" s="869"/>
      <c r="H169" s="882"/>
      <c r="I169" s="882"/>
      <c r="J169" s="869"/>
    </row>
    <row r="170" spans="1:10" ht="15.75">
      <c r="A170" s="887" t="s">
        <v>1784</v>
      </c>
      <c r="B170" s="888" t="s">
        <v>1168</v>
      </c>
      <c r="C170" s="889" t="s">
        <v>1924</v>
      </c>
      <c r="D170" s="890">
        <v>49800797</v>
      </c>
      <c r="E170" s="891">
        <v>0</v>
      </c>
      <c r="F170" s="1037">
        <f t="shared" si="2"/>
        <v>7963286436.8899899</v>
      </c>
      <c r="G170" s="869"/>
      <c r="H170" s="882"/>
      <c r="I170" s="882"/>
      <c r="J170" s="869"/>
    </row>
    <row r="171" spans="1:10" ht="15.75">
      <c r="A171" s="887" t="s">
        <v>1784</v>
      </c>
      <c r="B171" s="888" t="s">
        <v>1168</v>
      </c>
      <c r="C171" s="889" t="s">
        <v>1925</v>
      </c>
      <c r="D171" s="890">
        <v>19920319</v>
      </c>
      <c r="E171" s="891">
        <v>0</v>
      </c>
      <c r="F171" s="1037">
        <f t="shared" si="2"/>
        <v>7943366117.8899899</v>
      </c>
      <c r="G171" s="869"/>
      <c r="H171" s="882"/>
      <c r="I171" s="882"/>
      <c r="J171" s="869"/>
    </row>
    <row r="172" spans="1:10" ht="15.75">
      <c r="A172" s="887" t="s">
        <v>1784</v>
      </c>
      <c r="B172" s="888" t="s">
        <v>1168</v>
      </c>
      <c r="C172" s="889" t="s">
        <v>1926</v>
      </c>
      <c r="D172" s="890">
        <v>24900398</v>
      </c>
      <c r="E172" s="891">
        <v>0</v>
      </c>
      <c r="F172" s="1037">
        <f t="shared" si="2"/>
        <v>7918465719.8899899</v>
      </c>
      <c r="G172" s="869"/>
      <c r="H172" s="882"/>
      <c r="I172" s="882"/>
      <c r="J172" s="869"/>
    </row>
    <row r="173" spans="1:10" ht="15.75">
      <c r="A173" s="887" t="s">
        <v>1784</v>
      </c>
      <c r="B173" s="888" t="s">
        <v>1168</v>
      </c>
      <c r="C173" s="889" t="s">
        <v>1927</v>
      </c>
      <c r="D173" s="890">
        <v>29880478</v>
      </c>
      <c r="E173" s="891">
        <v>0</v>
      </c>
      <c r="F173" s="1037">
        <f t="shared" si="2"/>
        <v>7888585241.8899899</v>
      </c>
      <c r="G173" s="869"/>
      <c r="H173" s="882"/>
      <c r="I173" s="882"/>
      <c r="J173" s="869"/>
    </row>
    <row r="174" spans="1:10" ht="15.75">
      <c r="A174" s="887" t="s">
        <v>1784</v>
      </c>
      <c r="B174" s="888" t="s">
        <v>1168</v>
      </c>
      <c r="C174" s="889" t="s">
        <v>1928</v>
      </c>
      <c r="D174" s="890">
        <v>24900398</v>
      </c>
      <c r="E174" s="891">
        <v>0</v>
      </c>
      <c r="F174" s="1037">
        <f t="shared" si="2"/>
        <v>7863684843.8899899</v>
      </c>
      <c r="G174" s="869"/>
      <c r="H174" s="882"/>
      <c r="I174" s="882"/>
      <c r="J174" s="869"/>
    </row>
    <row r="175" spans="1:10" ht="15.75">
      <c r="A175" s="887" t="s">
        <v>1784</v>
      </c>
      <c r="B175" s="888" t="s">
        <v>1168</v>
      </c>
      <c r="C175" s="889" t="s">
        <v>1929</v>
      </c>
      <c r="D175" s="890">
        <v>24900398</v>
      </c>
      <c r="E175" s="891">
        <v>0</v>
      </c>
      <c r="F175" s="1037">
        <f t="shared" si="2"/>
        <v>7838784445.8899899</v>
      </c>
      <c r="G175" s="869"/>
      <c r="H175" s="882"/>
      <c r="I175" s="882"/>
      <c r="J175" s="869"/>
    </row>
    <row r="176" spans="1:10" ht="15.75">
      <c r="A176" s="887" t="s">
        <v>1784</v>
      </c>
      <c r="B176" s="888" t="s">
        <v>1168</v>
      </c>
      <c r="C176" s="889" t="s">
        <v>1930</v>
      </c>
      <c r="D176" s="890">
        <v>49800797</v>
      </c>
      <c r="E176" s="891">
        <v>0</v>
      </c>
      <c r="F176" s="1037">
        <f t="shared" si="2"/>
        <v>7788983648.8899899</v>
      </c>
      <c r="G176" s="869"/>
      <c r="H176" s="882"/>
      <c r="I176" s="882"/>
      <c r="J176" s="869"/>
    </row>
    <row r="177" spans="1:10" ht="15.75">
      <c r="A177" s="887" t="s">
        <v>1784</v>
      </c>
      <c r="B177" s="888" t="s">
        <v>1168</v>
      </c>
      <c r="C177" s="889" t="s">
        <v>1931</v>
      </c>
      <c r="D177" s="890">
        <v>24900398</v>
      </c>
      <c r="E177" s="891">
        <v>0</v>
      </c>
      <c r="F177" s="1037">
        <f t="shared" si="2"/>
        <v>7764083250.8899899</v>
      </c>
      <c r="G177" s="869"/>
      <c r="H177" s="882"/>
      <c r="I177" s="882"/>
      <c r="J177" s="869"/>
    </row>
    <row r="178" spans="1:10" ht="15.75">
      <c r="A178" s="887" t="s">
        <v>1784</v>
      </c>
      <c r="B178" s="888" t="s">
        <v>1168</v>
      </c>
      <c r="C178" s="889" t="s">
        <v>1932</v>
      </c>
      <c r="D178" s="890">
        <v>24900398</v>
      </c>
      <c r="E178" s="891">
        <v>0</v>
      </c>
      <c r="F178" s="1037">
        <f t="shared" si="2"/>
        <v>7739182852.8899899</v>
      </c>
      <c r="G178" s="869"/>
      <c r="H178" s="882"/>
      <c r="I178" s="882"/>
      <c r="J178" s="869"/>
    </row>
    <row r="179" spans="1:10" ht="15.75">
      <c r="A179" s="887" t="s">
        <v>1784</v>
      </c>
      <c r="B179" s="888" t="s">
        <v>1168</v>
      </c>
      <c r="C179" s="889" t="s">
        <v>1933</v>
      </c>
      <c r="D179" s="890">
        <v>24900398</v>
      </c>
      <c r="E179" s="891">
        <v>0</v>
      </c>
      <c r="F179" s="1037">
        <f t="shared" si="2"/>
        <v>7714282454.8899899</v>
      </c>
      <c r="G179" s="869"/>
      <c r="H179" s="882"/>
      <c r="I179" s="882"/>
      <c r="J179" s="869"/>
    </row>
    <row r="180" spans="1:10" ht="15.75">
      <c r="A180" s="887" t="s">
        <v>1784</v>
      </c>
      <c r="B180" s="888" t="s">
        <v>1168</v>
      </c>
      <c r="C180" s="889" t="s">
        <v>1934</v>
      </c>
      <c r="D180" s="890">
        <v>49800797</v>
      </c>
      <c r="E180" s="891">
        <v>0</v>
      </c>
      <c r="F180" s="1037">
        <f t="shared" si="2"/>
        <v>7664481657.8899899</v>
      </c>
      <c r="G180" s="869"/>
      <c r="H180" s="882"/>
      <c r="I180" s="882"/>
      <c r="J180" s="869"/>
    </row>
    <row r="181" spans="1:10" ht="15.75">
      <c r="A181" s="887" t="s">
        <v>1784</v>
      </c>
      <c r="B181" s="888" t="s">
        <v>1168</v>
      </c>
      <c r="C181" s="889" t="s">
        <v>1935</v>
      </c>
      <c r="D181" s="890">
        <v>19920319</v>
      </c>
      <c r="E181" s="891">
        <v>0</v>
      </c>
      <c r="F181" s="1037">
        <f t="shared" si="2"/>
        <v>7644561338.8899899</v>
      </c>
      <c r="G181" s="869"/>
      <c r="H181" s="882"/>
      <c r="I181" s="882"/>
      <c r="J181" s="869"/>
    </row>
    <row r="182" spans="1:10" ht="15.75">
      <c r="A182" s="887" t="s">
        <v>1784</v>
      </c>
      <c r="B182" s="888" t="s">
        <v>1168</v>
      </c>
      <c r="C182" s="889" t="s">
        <v>1936</v>
      </c>
      <c r="D182" s="890">
        <v>29880478</v>
      </c>
      <c r="E182" s="891">
        <v>0</v>
      </c>
      <c r="F182" s="1037">
        <f t="shared" si="2"/>
        <v>7614680860.8899899</v>
      </c>
      <c r="G182" s="869"/>
      <c r="H182" s="882"/>
      <c r="I182" s="882"/>
      <c r="J182" s="869"/>
    </row>
    <row r="183" spans="1:10" ht="15.75">
      <c r="A183" s="887" t="s">
        <v>1784</v>
      </c>
      <c r="B183" s="888" t="s">
        <v>1168</v>
      </c>
      <c r="C183" s="889" t="s">
        <v>1937</v>
      </c>
      <c r="D183" s="890">
        <v>49800797</v>
      </c>
      <c r="E183" s="891">
        <v>0</v>
      </c>
      <c r="F183" s="1037">
        <f t="shared" si="2"/>
        <v>7564880063.8899899</v>
      </c>
      <c r="G183" s="869"/>
      <c r="H183" s="882"/>
      <c r="I183" s="882"/>
      <c r="J183" s="869"/>
    </row>
    <row r="184" spans="1:10" ht="15.75">
      <c r="A184" s="887" t="s">
        <v>1784</v>
      </c>
      <c r="B184" s="888" t="s">
        <v>1168</v>
      </c>
      <c r="C184" s="889" t="s">
        <v>1938</v>
      </c>
      <c r="D184" s="890">
        <v>19920319</v>
      </c>
      <c r="E184" s="891">
        <v>0</v>
      </c>
      <c r="F184" s="1037">
        <f t="shared" si="2"/>
        <v>7544959744.8899899</v>
      </c>
      <c r="G184" s="869"/>
      <c r="H184" s="882"/>
      <c r="I184" s="882"/>
      <c r="J184" s="869"/>
    </row>
    <row r="185" spans="1:10" ht="15.75">
      <c r="A185" s="887" t="s">
        <v>1784</v>
      </c>
      <c r="B185" s="888" t="s">
        <v>1168</v>
      </c>
      <c r="C185" s="889" t="s">
        <v>1939</v>
      </c>
      <c r="D185" s="890">
        <v>49800797</v>
      </c>
      <c r="E185" s="891">
        <v>0</v>
      </c>
      <c r="F185" s="1037">
        <f t="shared" si="2"/>
        <v>7495158947.8899899</v>
      </c>
      <c r="G185" s="869"/>
      <c r="H185" s="882"/>
      <c r="I185" s="882"/>
      <c r="J185" s="869"/>
    </row>
    <row r="186" spans="1:10" ht="15.75">
      <c r="A186" s="887" t="s">
        <v>1784</v>
      </c>
      <c r="B186" s="888" t="s">
        <v>1168</v>
      </c>
      <c r="C186" s="889" t="s">
        <v>1940</v>
      </c>
      <c r="D186" s="890">
        <v>49800797</v>
      </c>
      <c r="E186" s="891">
        <v>0</v>
      </c>
      <c r="F186" s="1037">
        <f t="shared" si="2"/>
        <v>7445358150.8899899</v>
      </c>
      <c r="G186" s="869"/>
      <c r="H186" s="882"/>
      <c r="I186" s="882"/>
      <c r="J186" s="869"/>
    </row>
    <row r="187" spans="1:10" ht="15.75">
      <c r="A187" s="887" t="s">
        <v>1784</v>
      </c>
      <c r="B187" s="888" t="s">
        <v>1168</v>
      </c>
      <c r="C187" s="889" t="s">
        <v>1941</v>
      </c>
      <c r="D187" s="890">
        <v>24900398</v>
      </c>
      <c r="E187" s="891">
        <v>0</v>
      </c>
      <c r="F187" s="1037">
        <f t="shared" si="2"/>
        <v>7420457752.8899899</v>
      </c>
      <c r="G187" s="869"/>
      <c r="H187" s="882"/>
      <c r="I187" s="882"/>
      <c r="J187" s="869"/>
    </row>
    <row r="188" spans="1:10" ht="15.75">
      <c r="A188" s="887" t="s">
        <v>1784</v>
      </c>
      <c r="B188" s="888" t="s">
        <v>1168</v>
      </c>
      <c r="C188" s="889" t="s">
        <v>1942</v>
      </c>
      <c r="D188" s="890">
        <v>19920319</v>
      </c>
      <c r="E188" s="891">
        <v>0</v>
      </c>
      <c r="F188" s="1037">
        <f t="shared" si="2"/>
        <v>7400537433.8899899</v>
      </c>
      <c r="G188" s="869"/>
      <c r="H188" s="882"/>
      <c r="I188" s="882"/>
      <c r="J188" s="869"/>
    </row>
    <row r="189" spans="1:10" ht="15.75">
      <c r="A189" s="887" t="s">
        <v>1784</v>
      </c>
      <c r="B189" s="888" t="s">
        <v>1168</v>
      </c>
      <c r="C189" s="889" t="s">
        <v>1943</v>
      </c>
      <c r="D189" s="890">
        <v>19920319</v>
      </c>
      <c r="E189" s="891">
        <v>0</v>
      </c>
      <c r="F189" s="1037">
        <f t="shared" si="2"/>
        <v>7380617114.8899899</v>
      </c>
      <c r="G189" s="869"/>
      <c r="H189" s="882"/>
      <c r="I189" s="882"/>
      <c r="J189" s="869"/>
    </row>
    <row r="190" spans="1:10" ht="15.75">
      <c r="A190" s="887" t="s">
        <v>1784</v>
      </c>
      <c r="B190" s="888" t="s">
        <v>1168</v>
      </c>
      <c r="C190" s="889" t="s">
        <v>1944</v>
      </c>
      <c r="D190" s="890">
        <v>19920319</v>
      </c>
      <c r="E190" s="891">
        <v>0</v>
      </c>
      <c r="F190" s="1037">
        <f t="shared" si="2"/>
        <v>7360696795.8899899</v>
      </c>
      <c r="G190" s="869"/>
      <c r="H190" s="882"/>
      <c r="I190" s="882"/>
      <c r="J190" s="869"/>
    </row>
    <row r="191" spans="1:10" ht="15.75">
      <c r="A191" s="887" t="s">
        <v>1784</v>
      </c>
      <c r="B191" s="888" t="s">
        <v>1168</v>
      </c>
      <c r="C191" s="889" t="s">
        <v>1945</v>
      </c>
      <c r="D191" s="890">
        <v>49800797</v>
      </c>
      <c r="E191" s="891">
        <v>0</v>
      </c>
      <c r="F191" s="1037">
        <f t="shared" si="2"/>
        <v>7310895998.8899899</v>
      </c>
      <c r="G191" s="869"/>
      <c r="H191" s="882"/>
      <c r="I191" s="882"/>
      <c r="J191" s="869"/>
    </row>
    <row r="192" spans="1:10" ht="15.75">
      <c r="A192" s="887" t="s">
        <v>1784</v>
      </c>
      <c r="B192" s="888" t="s">
        <v>1168</v>
      </c>
      <c r="C192" s="889" t="s">
        <v>1946</v>
      </c>
      <c r="D192" s="890">
        <v>49800797</v>
      </c>
      <c r="E192" s="891">
        <v>0</v>
      </c>
      <c r="F192" s="1037">
        <f t="shared" si="2"/>
        <v>7261095201.8899899</v>
      </c>
      <c r="G192" s="869"/>
      <c r="H192" s="882"/>
      <c r="I192" s="882"/>
      <c r="J192" s="869"/>
    </row>
    <row r="193" spans="1:10" ht="15.75">
      <c r="A193" s="887" t="s">
        <v>1784</v>
      </c>
      <c r="B193" s="888" t="s">
        <v>1168</v>
      </c>
      <c r="C193" s="889" t="s">
        <v>1947</v>
      </c>
      <c r="D193" s="890">
        <v>39840637</v>
      </c>
      <c r="E193" s="891">
        <v>0</v>
      </c>
      <c r="F193" s="1037">
        <f t="shared" si="2"/>
        <v>7221254564.8899899</v>
      </c>
      <c r="G193" s="869"/>
      <c r="H193" s="882"/>
      <c r="I193" s="882"/>
      <c r="J193" s="869"/>
    </row>
    <row r="194" spans="1:10" ht="15.75">
      <c r="A194" s="887" t="s">
        <v>1784</v>
      </c>
      <c r="B194" s="888" t="s">
        <v>1168</v>
      </c>
      <c r="C194" s="889" t="s">
        <v>1948</v>
      </c>
      <c r="D194" s="890">
        <v>24900398</v>
      </c>
      <c r="E194" s="891">
        <v>0</v>
      </c>
      <c r="F194" s="1037">
        <f t="shared" si="2"/>
        <v>7196354166.8899899</v>
      </c>
      <c r="G194" s="869"/>
      <c r="H194" s="882"/>
      <c r="I194" s="882"/>
      <c r="J194" s="869"/>
    </row>
    <row r="195" spans="1:10" ht="15.75">
      <c r="A195" s="887" t="s">
        <v>1784</v>
      </c>
      <c r="B195" s="888" t="s">
        <v>1168</v>
      </c>
      <c r="C195" s="889" t="s">
        <v>1949</v>
      </c>
      <c r="D195" s="890">
        <v>24900398</v>
      </c>
      <c r="E195" s="891">
        <v>0</v>
      </c>
      <c r="F195" s="1037">
        <f t="shared" si="2"/>
        <v>7171453768.8899899</v>
      </c>
      <c r="G195" s="869"/>
      <c r="H195" s="882"/>
      <c r="I195" s="882"/>
      <c r="J195" s="869"/>
    </row>
    <row r="196" spans="1:10" ht="15.75">
      <c r="A196" s="887" t="s">
        <v>1784</v>
      </c>
      <c r="B196" s="888" t="s">
        <v>1168</v>
      </c>
      <c r="C196" s="889" t="s">
        <v>1950</v>
      </c>
      <c r="D196" s="890">
        <v>49800797</v>
      </c>
      <c r="E196" s="891">
        <v>0</v>
      </c>
      <c r="F196" s="1037">
        <f t="shared" si="2"/>
        <v>7121652971.8899899</v>
      </c>
      <c r="G196" s="869"/>
      <c r="H196" s="882"/>
      <c r="I196" s="882"/>
      <c r="J196" s="869"/>
    </row>
    <row r="197" spans="1:10" ht="15.75">
      <c r="A197" s="887" t="s">
        <v>1784</v>
      </c>
      <c r="B197" s="888" t="s">
        <v>1168</v>
      </c>
      <c r="C197" s="889" t="s">
        <v>1951</v>
      </c>
      <c r="D197" s="890">
        <v>49800797</v>
      </c>
      <c r="E197" s="891">
        <v>0</v>
      </c>
      <c r="F197" s="1037">
        <f t="shared" si="2"/>
        <v>7071852174.8899899</v>
      </c>
      <c r="G197" s="869"/>
      <c r="H197" s="882"/>
      <c r="I197" s="882"/>
      <c r="J197" s="869"/>
    </row>
    <row r="198" spans="1:10" ht="15.75">
      <c r="A198" s="887" t="s">
        <v>1784</v>
      </c>
      <c r="B198" s="888" t="s">
        <v>1168</v>
      </c>
      <c r="C198" s="889" t="s">
        <v>1952</v>
      </c>
      <c r="D198" s="890">
        <v>49800797</v>
      </c>
      <c r="E198" s="891">
        <v>0</v>
      </c>
      <c r="F198" s="1037">
        <f t="shared" si="2"/>
        <v>7022051377.8899899</v>
      </c>
      <c r="G198" s="869"/>
      <c r="H198" s="882"/>
      <c r="I198" s="882"/>
      <c r="J198" s="869"/>
    </row>
    <row r="199" spans="1:10" ht="15.75">
      <c r="A199" s="887" t="s">
        <v>1784</v>
      </c>
      <c r="B199" s="888" t="s">
        <v>1168</v>
      </c>
      <c r="C199" s="889" t="s">
        <v>1953</v>
      </c>
      <c r="D199" s="890">
        <v>24900398</v>
      </c>
      <c r="E199" s="891">
        <v>0</v>
      </c>
      <c r="F199" s="1037">
        <f t="shared" si="2"/>
        <v>6997150979.8899899</v>
      </c>
      <c r="G199" s="869"/>
      <c r="H199" s="882"/>
      <c r="I199" s="882"/>
      <c r="J199" s="869"/>
    </row>
    <row r="200" spans="1:10" ht="15.75">
      <c r="A200" s="887" t="s">
        <v>1784</v>
      </c>
      <c r="B200" s="888" t="s">
        <v>1168</v>
      </c>
      <c r="C200" s="889" t="s">
        <v>1954</v>
      </c>
      <c r="D200" s="890">
        <v>24900398</v>
      </c>
      <c r="E200" s="891">
        <v>0</v>
      </c>
      <c r="F200" s="1037">
        <f t="shared" si="2"/>
        <v>6972250581.8899899</v>
      </c>
      <c r="G200" s="869"/>
      <c r="H200" s="882"/>
      <c r="I200" s="882"/>
      <c r="J200" s="869"/>
    </row>
    <row r="201" spans="1:10" ht="15.75">
      <c r="A201" s="887" t="s">
        <v>1784</v>
      </c>
      <c r="B201" s="888" t="s">
        <v>1168</v>
      </c>
      <c r="C201" s="889" t="s">
        <v>1955</v>
      </c>
      <c r="D201" s="890">
        <v>49800797</v>
      </c>
      <c r="E201" s="891">
        <v>0</v>
      </c>
      <c r="F201" s="1037">
        <f t="shared" si="2"/>
        <v>6922449784.8899899</v>
      </c>
      <c r="G201" s="869"/>
      <c r="H201" s="882"/>
      <c r="I201" s="882"/>
      <c r="J201" s="869"/>
    </row>
    <row r="202" spans="1:10" ht="15.75">
      <c r="A202" s="887" t="s">
        <v>1784</v>
      </c>
      <c r="B202" s="888" t="s">
        <v>1168</v>
      </c>
      <c r="C202" s="889" t="s">
        <v>1956</v>
      </c>
      <c r="D202" s="890">
        <v>19920319</v>
      </c>
      <c r="E202" s="891">
        <v>0</v>
      </c>
      <c r="F202" s="1037">
        <f t="shared" si="2"/>
        <v>6902529465.8899899</v>
      </c>
      <c r="G202" s="869"/>
      <c r="H202" s="882"/>
      <c r="I202" s="882"/>
      <c r="J202" s="869"/>
    </row>
    <row r="203" spans="1:10" ht="15.75">
      <c r="A203" s="887" t="s">
        <v>1784</v>
      </c>
      <c r="B203" s="888" t="s">
        <v>1168</v>
      </c>
      <c r="C203" s="889" t="s">
        <v>1957</v>
      </c>
      <c r="D203" s="890">
        <v>19920319</v>
      </c>
      <c r="E203" s="891">
        <v>0</v>
      </c>
      <c r="F203" s="1037">
        <f t="shared" si="2"/>
        <v>6882609146.8899899</v>
      </c>
      <c r="G203" s="869"/>
      <c r="H203" s="882"/>
      <c r="I203" s="882"/>
      <c r="J203" s="869"/>
    </row>
    <row r="204" spans="1:10" ht="15.75">
      <c r="A204" s="887" t="s">
        <v>1784</v>
      </c>
      <c r="B204" s="888" t="s">
        <v>1168</v>
      </c>
      <c r="C204" s="889" t="s">
        <v>1958</v>
      </c>
      <c r="D204" s="890">
        <v>24900398</v>
      </c>
      <c r="E204" s="891">
        <v>0</v>
      </c>
      <c r="F204" s="1037">
        <f t="shared" si="2"/>
        <v>6857708748.8899899</v>
      </c>
      <c r="G204" s="869"/>
      <c r="H204" s="882"/>
      <c r="I204" s="882"/>
      <c r="J204" s="869"/>
    </row>
    <row r="205" spans="1:10" ht="15.75">
      <c r="A205" s="887" t="s">
        <v>1784</v>
      </c>
      <c r="B205" s="888" t="s">
        <v>1168</v>
      </c>
      <c r="C205" s="889" t="s">
        <v>1959</v>
      </c>
      <c r="D205" s="890">
        <v>19920319</v>
      </c>
      <c r="E205" s="891">
        <v>0</v>
      </c>
      <c r="F205" s="1037">
        <f t="shared" si="2"/>
        <v>6837788429.8899899</v>
      </c>
      <c r="G205" s="869"/>
      <c r="H205" s="882"/>
      <c r="I205" s="882"/>
      <c r="J205" s="869"/>
    </row>
    <row r="206" spans="1:10" ht="15.75">
      <c r="A206" s="887" t="s">
        <v>1784</v>
      </c>
      <c r="B206" s="888" t="s">
        <v>1168</v>
      </c>
      <c r="C206" s="889" t="s">
        <v>1960</v>
      </c>
      <c r="D206" s="890">
        <v>24900398</v>
      </c>
      <c r="E206" s="891">
        <v>0</v>
      </c>
      <c r="F206" s="1037">
        <f t="shared" si="2"/>
        <v>6812888031.8899899</v>
      </c>
      <c r="G206" s="869"/>
      <c r="H206" s="882"/>
      <c r="I206" s="882"/>
      <c r="J206" s="869"/>
    </row>
    <row r="207" spans="1:10" ht="15.75">
      <c r="A207" s="887" t="s">
        <v>1784</v>
      </c>
      <c r="B207" s="888" t="s">
        <v>1168</v>
      </c>
      <c r="C207" s="889" t="s">
        <v>1961</v>
      </c>
      <c r="D207" s="890">
        <v>39840637</v>
      </c>
      <c r="E207" s="891">
        <v>0</v>
      </c>
      <c r="F207" s="1037">
        <f t="shared" si="2"/>
        <v>6773047394.8899899</v>
      </c>
      <c r="G207" s="869"/>
      <c r="H207" s="882"/>
      <c r="I207" s="882"/>
      <c r="J207" s="869"/>
    </row>
    <row r="208" spans="1:10" ht="15.75">
      <c r="A208" s="887" t="s">
        <v>1784</v>
      </c>
      <c r="B208" s="888" t="s">
        <v>1168</v>
      </c>
      <c r="C208" s="889" t="s">
        <v>1962</v>
      </c>
      <c r="D208" s="890">
        <v>19920319</v>
      </c>
      <c r="E208" s="891">
        <v>0</v>
      </c>
      <c r="F208" s="1037">
        <f t="shared" ref="F208:F271" si="3">+F207-D208+E208</f>
        <v>6753127075.8899899</v>
      </c>
      <c r="G208" s="869"/>
      <c r="H208" s="882"/>
      <c r="I208" s="882"/>
      <c r="J208" s="869"/>
    </row>
    <row r="209" spans="1:10" ht="15.75">
      <c r="A209" s="887" t="s">
        <v>1784</v>
      </c>
      <c r="B209" s="888" t="s">
        <v>1168</v>
      </c>
      <c r="C209" s="889" t="s">
        <v>1963</v>
      </c>
      <c r="D209" s="890">
        <v>49800797</v>
      </c>
      <c r="E209" s="891">
        <v>0</v>
      </c>
      <c r="F209" s="1037">
        <f t="shared" si="3"/>
        <v>6703326278.8899899</v>
      </c>
      <c r="G209" s="869"/>
      <c r="H209" s="882"/>
      <c r="I209" s="882"/>
      <c r="J209" s="869"/>
    </row>
    <row r="210" spans="1:10" ht="15.75">
      <c r="A210" s="887" t="s">
        <v>1784</v>
      </c>
      <c r="B210" s="888" t="s">
        <v>1168</v>
      </c>
      <c r="C210" s="889" t="s">
        <v>1964</v>
      </c>
      <c r="D210" s="890">
        <v>19920319</v>
      </c>
      <c r="E210" s="891">
        <v>0</v>
      </c>
      <c r="F210" s="1037">
        <f t="shared" si="3"/>
        <v>6683405959.8899899</v>
      </c>
      <c r="G210" s="869"/>
      <c r="H210" s="882"/>
      <c r="I210" s="882"/>
      <c r="J210" s="869"/>
    </row>
    <row r="211" spans="1:10" ht="15.75">
      <c r="A211" s="887" t="s">
        <v>1784</v>
      </c>
      <c r="B211" s="888" t="s">
        <v>1168</v>
      </c>
      <c r="C211" s="889" t="s">
        <v>1965</v>
      </c>
      <c r="D211" s="890">
        <v>49800797</v>
      </c>
      <c r="E211" s="891">
        <v>0</v>
      </c>
      <c r="F211" s="1037">
        <f t="shared" si="3"/>
        <v>6633605162.8899899</v>
      </c>
      <c r="G211" s="869"/>
      <c r="H211" s="882"/>
      <c r="I211" s="882"/>
      <c r="J211" s="869"/>
    </row>
    <row r="212" spans="1:10" ht="15.75">
      <c r="A212" s="887" t="s">
        <v>1784</v>
      </c>
      <c r="B212" s="888" t="s">
        <v>1168</v>
      </c>
      <c r="C212" s="889" t="s">
        <v>1966</v>
      </c>
      <c r="D212" s="890">
        <v>49800797</v>
      </c>
      <c r="E212" s="891">
        <v>0</v>
      </c>
      <c r="F212" s="1037">
        <f t="shared" si="3"/>
        <v>6583804365.8899899</v>
      </c>
      <c r="G212" s="869"/>
      <c r="H212" s="882"/>
      <c r="I212" s="882"/>
      <c r="J212" s="869"/>
    </row>
    <row r="213" spans="1:10" ht="15.75">
      <c r="A213" s="887" t="s">
        <v>1784</v>
      </c>
      <c r="B213" s="888" t="s">
        <v>1168</v>
      </c>
      <c r="C213" s="889" t="s">
        <v>1967</v>
      </c>
      <c r="D213" s="890">
        <v>24900398</v>
      </c>
      <c r="E213" s="891">
        <v>0</v>
      </c>
      <c r="F213" s="1037">
        <f t="shared" si="3"/>
        <v>6558903967.8899899</v>
      </c>
      <c r="G213" s="869"/>
      <c r="H213" s="882"/>
      <c r="I213" s="882"/>
      <c r="J213" s="869"/>
    </row>
    <row r="214" spans="1:10" ht="15.75">
      <c r="A214" s="887" t="s">
        <v>1784</v>
      </c>
      <c r="B214" s="888" t="s">
        <v>1168</v>
      </c>
      <c r="C214" s="889" t="s">
        <v>1968</v>
      </c>
      <c r="D214" s="890">
        <v>24900398</v>
      </c>
      <c r="E214" s="891">
        <v>0</v>
      </c>
      <c r="F214" s="1037">
        <f t="shared" si="3"/>
        <v>6534003569.8899899</v>
      </c>
    </row>
    <row r="215" spans="1:10" ht="15.75">
      <c r="A215" s="887" t="s">
        <v>1784</v>
      </c>
      <c r="B215" s="888" t="s">
        <v>1168</v>
      </c>
      <c r="C215" s="889" t="s">
        <v>1969</v>
      </c>
      <c r="D215" s="890">
        <v>19920319</v>
      </c>
      <c r="E215" s="891">
        <v>0</v>
      </c>
      <c r="F215" s="1037">
        <f t="shared" si="3"/>
        <v>6514083250.8899899</v>
      </c>
    </row>
    <row r="216" spans="1:10" ht="15.75">
      <c r="A216" s="887" t="s">
        <v>1784</v>
      </c>
      <c r="B216" s="888" t="s">
        <v>1168</v>
      </c>
      <c r="C216" s="889" t="s">
        <v>1970</v>
      </c>
      <c r="D216" s="890">
        <v>24900398</v>
      </c>
      <c r="E216" s="891">
        <v>0</v>
      </c>
      <c r="F216" s="1037">
        <f t="shared" si="3"/>
        <v>6489182852.8899899</v>
      </c>
    </row>
    <row r="217" spans="1:10" ht="15.75">
      <c r="A217" s="887" t="s">
        <v>1784</v>
      </c>
      <c r="B217" s="888" t="s">
        <v>1168</v>
      </c>
      <c r="C217" s="889" t="s">
        <v>1971</v>
      </c>
      <c r="D217" s="890">
        <v>19920319</v>
      </c>
      <c r="E217" s="891">
        <v>0</v>
      </c>
      <c r="F217" s="1037">
        <f t="shared" si="3"/>
        <v>6469262533.8899899</v>
      </c>
    </row>
    <row r="218" spans="1:10" ht="15.75">
      <c r="A218" s="887" t="s">
        <v>1784</v>
      </c>
      <c r="B218" s="888" t="s">
        <v>1168</v>
      </c>
      <c r="C218" s="889" t="s">
        <v>1972</v>
      </c>
      <c r="D218" s="890">
        <v>24900398</v>
      </c>
      <c r="E218" s="891">
        <v>0</v>
      </c>
      <c r="F218" s="1037">
        <f t="shared" si="3"/>
        <v>6444362135.8899899</v>
      </c>
    </row>
    <row r="219" spans="1:10" ht="15.75">
      <c r="A219" s="887" t="s">
        <v>1784</v>
      </c>
      <c r="B219" s="888" t="s">
        <v>1168</v>
      </c>
      <c r="C219" s="889" t="s">
        <v>1973</v>
      </c>
      <c r="D219" s="890">
        <v>24900398</v>
      </c>
      <c r="E219" s="891">
        <v>0</v>
      </c>
      <c r="F219" s="1037">
        <f t="shared" si="3"/>
        <v>6419461737.8899899</v>
      </c>
    </row>
    <row r="220" spans="1:10" ht="15.75">
      <c r="A220" s="887" t="s">
        <v>1784</v>
      </c>
      <c r="B220" s="888" t="s">
        <v>740</v>
      </c>
      <c r="C220" s="889"/>
      <c r="D220" s="890">
        <v>0</v>
      </c>
      <c r="E220" s="891">
        <v>52885.11</v>
      </c>
      <c r="F220" s="1037">
        <f t="shared" si="3"/>
        <v>6419514622.9999895</v>
      </c>
    </row>
    <row r="221" spans="1:10" ht="15.75">
      <c r="A221" s="887" t="s">
        <v>1784</v>
      </c>
      <c r="B221" s="888" t="s">
        <v>701</v>
      </c>
      <c r="C221" s="889"/>
      <c r="D221" s="890">
        <v>3702</v>
      </c>
      <c r="E221" s="891">
        <v>0</v>
      </c>
      <c r="F221" s="1037">
        <f t="shared" si="3"/>
        <v>6419510920.9999895</v>
      </c>
    </row>
    <row r="222" spans="1:10" ht="15.75">
      <c r="A222" s="887" t="s">
        <v>1784</v>
      </c>
      <c r="B222" s="888" t="s">
        <v>20</v>
      </c>
      <c r="C222" s="889">
        <v>0</v>
      </c>
      <c r="D222" s="890">
        <v>12928301.77</v>
      </c>
      <c r="E222" s="891">
        <v>0</v>
      </c>
      <c r="F222" s="1037">
        <f t="shared" si="3"/>
        <v>6406582619.2299891</v>
      </c>
    </row>
    <row r="223" spans="1:10" ht="15.75">
      <c r="A223" s="887" t="s">
        <v>1785</v>
      </c>
      <c r="B223" s="888" t="s">
        <v>1166</v>
      </c>
      <c r="C223" s="889" t="s">
        <v>1974</v>
      </c>
      <c r="D223" s="890">
        <v>0</v>
      </c>
      <c r="E223" s="891">
        <v>39840637</v>
      </c>
      <c r="F223" s="1037">
        <f t="shared" si="3"/>
        <v>6446423256.2299891</v>
      </c>
    </row>
    <row r="224" spans="1:10" ht="15.75">
      <c r="A224" s="887" t="s">
        <v>1785</v>
      </c>
      <c r="B224" s="888" t="s">
        <v>1166</v>
      </c>
      <c r="C224" s="889" t="s">
        <v>1975</v>
      </c>
      <c r="D224" s="890">
        <v>0</v>
      </c>
      <c r="E224" s="891">
        <v>29880478</v>
      </c>
      <c r="F224" s="1037">
        <f t="shared" si="3"/>
        <v>6476303734.2299891</v>
      </c>
    </row>
    <row r="225" spans="1:6" ht="15.75">
      <c r="A225" s="887" t="s">
        <v>1785</v>
      </c>
      <c r="B225" s="888" t="s">
        <v>1168</v>
      </c>
      <c r="C225" s="889" t="s">
        <v>1976</v>
      </c>
      <c r="D225" s="890">
        <v>49800797</v>
      </c>
      <c r="E225" s="891">
        <v>0</v>
      </c>
      <c r="F225" s="1037">
        <f t="shared" si="3"/>
        <v>6426502937.2299891</v>
      </c>
    </row>
    <row r="226" spans="1:6" ht="15.75">
      <c r="A226" s="887" t="s">
        <v>1785</v>
      </c>
      <c r="B226" s="888" t="s">
        <v>740</v>
      </c>
      <c r="C226" s="889"/>
      <c r="D226" s="890">
        <v>0</v>
      </c>
      <c r="E226" s="891">
        <v>35104.92</v>
      </c>
      <c r="F226" s="1037">
        <f t="shared" si="3"/>
        <v>6426538042.1499891</v>
      </c>
    </row>
    <row r="227" spans="1:6" ht="15.75">
      <c r="A227" s="887" t="s">
        <v>1785</v>
      </c>
      <c r="B227" s="888" t="s">
        <v>701</v>
      </c>
      <c r="C227" s="889"/>
      <c r="D227" s="890">
        <v>2457</v>
      </c>
      <c r="E227" s="891">
        <v>0</v>
      </c>
      <c r="F227" s="1037">
        <f t="shared" si="3"/>
        <v>6426535585.1499891</v>
      </c>
    </row>
    <row r="228" spans="1:6" ht="15.75">
      <c r="A228" s="887" t="s">
        <v>1785</v>
      </c>
      <c r="B228" s="888" t="s">
        <v>20</v>
      </c>
      <c r="C228" s="889">
        <v>0</v>
      </c>
      <c r="D228" s="890">
        <v>9.83</v>
      </c>
      <c r="E228" s="891">
        <v>0</v>
      </c>
      <c r="F228" s="1037">
        <f t="shared" si="3"/>
        <v>6426535575.3199892</v>
      </c>
    </row>
    <row r="229" spans="1:6" ht="15.75">
      <c r="A229" s="887" t="s">
        <v>1785</v>
      </c>
      <c r="B229" s="888" t="s">
        <v>1169</v>
      </c>
      <c r="C229" s="889">
        <v>0</v>
      </c>
      <c r="D229" s="890">
        <v>0</v>
      </c>
      <c r="E229" s="891">
        <v>278884.46000000002</v>
      </c>
      <c r="F229" s="1037">
        <f t="shared" si="3"/>
        <v>6426814459.7799892</v>
      </c>
    </row>
    <row r="230" spans="1:6" ht="15.75">
      <c r="A230" s="887" t="s">
        <v>1785</v>
      </c>
      <c r="B230" s="888" t="s">
        <v>20</v>
      </c>
      <c r="C230" s="889">
        <v>0</v>
      </c>
      <c r="D230" s="890">
        <v>199203.19</v>
      </c>
      <c r="E230" s="891">
        <v>0</v>
      </c>
      <c r="F230" s="1037">
        <f t="shared" si="3"/>
        <v>6426615256.5899897</v>
      </c>
    </row>
    <row r="231" spans="1:6" ht="15.75">
      <c r="A231" s="887" t="s">
        <v>1786</v>
      </c>
      <c r="B231" s="888" t="s">
        <v>740</v>
      </c>
      <c r="C231" s="889"/>
      <c r="D231" s="890">
        <v>0</v>
      </c>
      <c r="E231" s="891">
        <v>35104.559999999998</v>
      </c>
      <c r="F231" s="1037">
        <f t="shared" si="3"/>
        <v>6426650361.1499901</v>
      </c>
    </row>
    <row r="232" spans="1:6" ht="15.75">
      <c r="A232" s="887" t="s">
        <v>1786</v>
      </c>
      <c r="B232" s="888" t="s">
        <v>701</v>
      </c>
      <c r="C232" s="889"/>
      <c r="D232" s="890">
        <v>2457</v>
      </c>
      <c r="E232" s="891">
        <v>0</v>
      </c>
      <c r="F232" s="1037">
        <f t="shared" si="3"/>
        <v>6426647904.1499901</v>
      </c>
    </row>
    <row r="233" spans="1:6" ht="15.75">
      <c r="A233" s="887" t="s">
        <v>1786</v>
      </c>
      <c r="B233" s="888" t="s">
        <v>740</v>
      </c>
      <c r="C233" s="889"/>
      <c r="D233" s="890">
        <v>0</v>
      </c>
      <c r="E233" s="891">
        <v>35104.74</v>
      </c>
      <c r="F233" s="1037">
        <f t="shared" si="3"/>
        <v>6426683008.8899899</v>
      </c>
    </row>
    <row r="234" spans="1:6" ht="15.75">
      <c r="A234" s="887" t="s">
        <v>1786</v>
      </c>
      <c r="B234" s="888" t="s">
        <v>701</v>
      </c>
      <c r="C234" s="889"/>
      <c r="D234" s="890">
        <v>2457</v>
      </c>
      <c r="E234" s="891">
        <v>0</v>
      </c>
      <c r="F234" s="1037">
        <f t="shared" si="3"/>
        <v>6426680551.8899899</v>
      </c>
    </row>
    <row r="235" spans="1:6" ht="15.75">
      <c r="A235" s="887" t="s">
        <v>1786</v>
      </c>
      <c r="B235" s="888" t="s">
        <v>740</v>
      </c>
      <c r="C235" s="889"/>
      <c r="D235" s="890">
        <v>0</v>
      </c>
      <c r="E235" s="891">
        <v>35214.69</v>
      </c>
      <c r="F235" s="1037">
        <f t="shared" si="3"/>
        <v>6426715766.5799894</v>
      </c>
    </row>
    <row r="236" spans="1:6" ht="15.75">
      <c r="A236" s="887" t="s">
        <v>1786</v>
      </c>
      <c r="B236" s="888" t="s">
        <v>701</v>
      </c>
      <c r="C236" s="889"/>
      <c r="D236" s="890">
        <v>2465</v>
      </c>
      <c r="E236" s="891">
        <v>0</v>
      </c>
      <c r="F236" s="1037">
        <f t="shared" si="3"/>
        <v>6426713301.5799894</v>
      </c>
    </row>
    <row r="237" spans="1:6" ht="15.75">
      <c r="A237" s="887" t="s">
        <v>1786</v>
      </c>
      <c r="B237" s="888" t="s">
        <v>20</v>
      </c>
      <c r="C237" s="889">
        <v>0</v>
      </c>
      <c r="D237" s="890">
        <v>29.52</v>
      </c>
      <c r="E237" s="891">
        <v>0</v>
      </c>
      <c r="F237" s="1037">
        <f t="shared" si="3"/>
        <v>6426713272.059989</v>
      </c>
    </row>
    <row r="238" spans="1:6" ht="15.75">
      <c r="A238" s="887" t="s">
        <v>1787</v>
      </c>
      <c r="B238" s="888" t="s">
        <v>1168</v>
      </c>
      <c r="C238" s="889" t="s">
        <v>1314</v>
      </c>
      <c r="D238" s="890">
        <v>24900398</v>
      </c>
      <c r="E238" s="891">
        <v>0</v>
      </c>
      <c r="F238" s="1037">
        <f t="shared" si="3"/>
        <v>6401812874.059989</v>
      </c>
    </row>
    <row r="239" spans="1:6" ht="15.75">
      <c r="A239" s="887" t="s">
        <v>1787</v>
      </c>
      <c r="B239" s="888" t="s">
        <v>1168</v>
      </c>
      <c r="C239" s="889" t="s">
        <v>1315</v>
      </c>
      <c r="D239" s="890">
        <v>19920319</v>
      </c>
      <c r="E239" s="891">
        <v>0</v>
      </c>
      <c r="F239" s="1037">
        <f t="shared" si="3"/>
        <v>6381892555.059989</v>
      </c>
    </row>
    <row r="240" spans="1:6" ht="15.75">
      <c r="A240" s="887" t="s">
        <v>1787</v>
      </c>
      <c r="B240" s="888" t="s">
        <v>1168</v>
      </c>
      <c r="C240" s="889" t="s">
        <v>1316</v>
      </c>
      <c r="D240" s="890">
        <v>24900398</v>
      </c>
      <c r="E240" s="891">
        <v>0</v>
      </c>
      <c r="F240" s="1037">
        <f t="shared" si="3"/>
        <v>6356992157.059989</v>
      </c>
    </row>
    <row r="241" spans="1:6" ht="15.75">
      <c r="A241" s="887" t="s">
        <v>1787</v>
      </c>
      <c r="B241" s="888" t="s">
        <v>1168</v>
      </c>
      <c r="C241" s="889" t="s">
        <v>1317</v>
      </c>
      <c r="D241" s="890">
        <v>29880748</v>
      </c>
      <c r="E241" s="891">
        <v>0</v>
      </c>
      <c r="F241" s="1037">
        <f t="shared" si="3"/>
        <v>6327111409.059989</v>
      </c>
    </row>
    <row r="242" spans="1:6" ht="15.75">
      <c r="A242" s="887" t="s">
        <v>1787</v>
      </c>
      <c r="B242" s="888" t="s">
        <v>1168</v>
      </c>
      <c r="C242" s="889" t="s">
        <v>1322</v>
      </c>
      <c r="D242" s="890">
        <v>49800797</v>
      </c>
      <c r="E242" s="891">
        <v>0</v>
      </c>
      <c r="F242" s="1037">
        <f t="shared" si="3"/>
        <v>6277310612.059989</v>
      </c>
    </row>
    <row r="243" spans="1:6" ht="15.75">
      <c r="A243" s="887" t="s">
        <v>1787</v>
      </c>
      <c r="B243" s="888" t="s">
        <v>1168</v>
      </c>
      <c r="C243" s="889" t="s">
        <v>1323</v>
      </c>
      <c r="D243" s="890">
        <v>49800797</v>
      </c>
      <c r="E243" s="891">
        <v>0</v>
      </c>
      <c r="F243" s="1037">
        <f t="shared" si="3"/>
        <v>6227509815.059989</v>
      </c>
    </row>
    <row r="244" spans="1:6" ht="15.75">
      <c r="A244" s="887" t="s">
        <v>1787</v>
      </c>
      <c r="B244" s="888" t="s">
        <v>1168</v>
      </c>
      <c r="C244" s="889" t="s">
        <v>1324</v>
      </c>
      <c r="D244" s="890">
        <v>19920319</v>
      </c>
      <c r="E244" s="891">
        <v>0</v>
      </c>
      <c r="F244" s="1037">
        <f t="shared" si="3"/>
        <v>6207589496.059989</v>
      </c>
    </row>
    <row r="245" spans="1:6" ht="15.75">
      <c r="A245" s="887" t="s">
        <v>1787</v>
      </c>
      <c r="B245" s="888" t="s">
        <v>1168</v>
      </c>
      <c r="C245" s="889" t="s">
        <v>1329</v>
      </c>
      <c r="D245" s="890">
        <v>45816733</v>
      </c>
      <c r="E245" s="891">
        <v>0</v>
      </c>
      <c r="F245" s="1037">
        <f t="shared" si="3"/>
        <v>6161772763.059989</v>
      </c>
    </row>
    <row r="246" spans="1:6" ht="15.75">
      <c r="A246" s="887" t="s">
        <v>1787</v>
      </c>
      <c r="B246" s="888" t="s">
        <v>1168</v>
      </c>
      <c r="C246" s="889" t="s">
        <v>1325</v>
      </c>
      <c r="D246" s="890">
        <v>49800797</v>
      </c>
      <c r="E246" s="891">
        <v>0</v>
      </c>
      <c r="F246" s="1037">
        <f t="shared" si="3"/>
        <v>6111971966.059989</v>
      </c>
    </row>
    <row r="247" spans="1:6" ht="15.75">
      <c r="A247" s="887" t="s">
        <v>1787</v>
      </c>
      <c r="B247" s="888" t="s">
        <v>1168</v>
      </c>
      <c r="C247" s="889" t="s">
        <v>1326</v>
      </c>
      <c r="D247" s="890">
        <v>29880478</v>
      </c>
      <c r="E247" s="891">
        <v>0</v>
      </c>
      <c r="F247" s="1037">
        <f t="shared" si="3"/>
        <v>6082091488.059989</v>
      </c>
    </row>
    <row r="248" spans="1:6" ht="15.75">
      <c r="A248" s="887" t="s">
        <v>1787</v>
      </c>
      <c r="B248" s="888" t="s">
        <v>1168</v>
      </c>
      <c r="C248" s="889" t="s">
        <v>1327</v>
      </c>
      <c r="D248" s="890">
        <v>24900398</v>
      </c>
      <c r="E248" s="891">
        <v>0</v>
      </c>
      <c r="F248" s="1037">
        <f t="shared" si="3"/>
        <v>6057191090.059989</v>
      </c>
    </row>
    <row r="249" spans="1:6" ht="15.75">
      <c r="A249" s="887" t="s">
        <v>1787</v>
      </c>
      <c r="B249" s="888" t="s">
        <v>1168</v>
      </c>
      <c r="C249" s="889" t="s">
        <v>1328</v>
      </c>
      <c r="D249" s="890">
        <v>24900398</v>
      </c>
      <c r="E249" s="891">
        <v>0</v>
      </c>
      <c r="F249" s="1037">
        <f t="shared" si="3"/>
        <v>6032290692.059989</v>
      </c>
    </row>
    <row r="250" spans="1:6" ht="15.75">
      <c r="A250" s="887" t="s">
        <v>1787</v>
      </c>
      <c r="B250" s="888" t="s">
        <v>1168</v>
      </c>
      <c r="C250" s="889" t="s">
        <v>1313</v>
      </c>
      <c r="D250" s="890">
        <v>24900398</v>
      </c>
      <c r="E250" s="891">
        <v>0</v>
      </c>
      <c r="F250" s="1037">
        <f t="shared" si="3"/>
        <v>6007390294.059989</v>
      </c>
    </row>
    <row r="251" spans="1:6" ht="15.75">
      <c r="A251" s="887" t="s">
        <v>1787</v>
      </c>
      <c r="B251" s="888" t="s">
        <v>1168</v>
      </c>
      <c r="C251" s="889" t="s">
        <v>1318</v>
      </c>
      <c r="D251" s="890">
        <v>19920319</v>
      </c>
      <c r="E251" s="891">
        <v>0</v>
      </c>
      <c r="F251" s="1037">
        <f t="shared" si="3"/>
        <v>5987469975.059989</v>
      </c>
    </row>
    <row r="252" spans="1:6" ht="15.75">
      <c r="A252" s="887" t="s">
        <v>1787</v>
      </c>
      <c r="B252" s="888" t="s">
        <v>1168</v>
      </c>
      <c r="C252" s="889" t="s">
        <v>1330</v>
      </c>
      <c r="D252" s="890">
        <v>49800797</v>
      </c>
      <c r="E252" s="891">
        <v>0</v>
      </c>
      <c r="F252" s="1037">
        <f t="shared" si="3"/>
        <v>5937669178.059989</v>
      </c>
    </row>
    <row r="253" spans="1:6" ht="15.75">
      <c r="A253" s="887" t="s">
        <v>1787</v>
      </c>
      <c r="B253" s="888" t="s">
        <v>1167</v>
      </c>
      <c r="C253" s="889" t="s">
        <v>1302</v>
      </c>
      <c r="D253" s="890">
        <v>19920319</v>
      </c>
      <c r="E253" s="891">
        <v>0</v>
      </c>
      <c r="F253" s="1037">
        <f t="shared" si="3"/>
        <v>5917748859.059989</v>
      </c>
    </row>
    <row r="254" spans="1:6" ht="15.75">
      <c r="A254" s="887" t="s">
        <v>1787</v>
      </c>
      <c r="B254" s="888" t="s">
        <v>1168</v>
      </c>
      <c r="C254" s="889" t="s">
        <v>1977</v>
      </c>
      <c r="D254" s="890">
        <v>9960159</v>
      </c>
      <c r="E254" s="891">
        <v>0</v>
      </c>
      <c r="F254" s="1037">
        <f t="shared" si="3"/>
        <v>5907788700.059989</v>
      </c>
    </row>
    <row r="255" spans="1:6" ht="15.75">
      <c r="A255" s="887" t="s">
        <v>1787</v>
      </c>
      <c r="B255" s="888" t="s">
        <v>1168</v>
      </c>
      <c r="C255" s="889" t="s">
        <v>1319</v>
      </c>
      <c r="D255" s="890">
        <v>49800797</v>
      </c>
      <c r="E255" s="891">
        <v>0</v>
      </c>
      <c r="F255" s="1037">
        <f t="shared" si="3"/>
        <v>5857987903.059989</v>
      </c>
    </row>
    <row r="256" spans="1:6" ht="15.75">
      <c r="A256" s="887" t="s">
        <v>1787</v>
      </c>
      <c r="B256" s="888" t="s">
        <v>1168</v>
      </c>
      <c r="C256" s="889" t="s">
        <v>1320</v>
      </c>
      <c r="D256" s="890">
        <v>19920319</v>
      </c>
      <c r="E256" s="891">
        <v>0</v>
      </c>
      <c r="F256" s="1037">
        <f t="shared" si="3"/>
        <v>5838067584.059989</v>
      </c>
    </row>
    <row r="257" spans="1:6" ht="15.75">
      <c r="A257" s="887" t="s">
        <v>1787</v>
      </c>
      <c r="B257" s="888" t="s">
        <v>1168</v>
      </c>
      <c r="C257" s="889" t="s">
        <v>1321</v>
      </c>
      <c r="D257" s="890">
        <v>49800797</v>
      </c>
      <c r="E257" s="891">
        <v>0</v>
      </c>
      <c r="F257" s="1037">
        <f t="shared" si="3"/>
        <v>5788266787.059989</v>
      </c>
    </row>
    <row r="258" spans="1:6" ht="15.75">
      <c r="A258" s="887" t="s">
        <v>1787</v>
      </c>
      <c r="B258" s="888" t="s">
        <v>1168</v>
      </c>
      <c r="C258" s="889" t="s">
        <v>1303</v>
      </c>
      <c r="D258" s="890">
        <v>24900398</v>
      </c>
      <c r="E258" s="891">
        <v>0</v>
      </c>
      <c r="F258" s="1037">
        <f t="shared" si="3"/>
        <v>5763366389.059989</v>
      </c>
    </row>
    <row r="259" spans="1:6" ht="15.75">
      <c r="A259" s="887" t="s">
        <v>1787</v>
      </c>
      <c r="B259" s="888" t="s">
        <v>1168</v>
      </c>
      <c r="C259" s="889" t="s">
        <v>1312</v>
      </c>
      <c r="D259" s="890">
        <v>24900398</v>
      </c>
      <c r="E259" s="891">
        <v>0</v>
      </c>
      <c r="F259" s="1037">
        <f t="shared" si="3"/>
        <v>5738465991.059989</v>
      </c>
    </row>
    <row r="260" spans="1:6" ht="15.75">
      <c r="A260" s="887" t="s">
        <v>1787</v>
      </c>
      <c r="B260" s="888" t="s">
        <v>1168</v>
      </c>
      <c r="C260" s="889" t="s">
        <v>1304</v>
      </c>
      <c r="D260" s="890">
        <v>49800797</v>
      </c>
      <c r="E260" s="891">
        <v>0</v>
      </c>
      <c r="F260" s="1037">
        <f t="shared" si="3"/>
        <v>5688665194.059989</v>
      </c>
    </row>
    <row r="261" spans="1:6" ht="15.75">
      <c r="A261" s="887" t="s">
        <v>1787</v>
      </c>
      <c r="B261" s="888" t="s">
        <v>1168</v>
      </c>
      <c r="C261" s="889" t="s">
        <v>1311</v>
      </c>
      <c r="D261" s="890">
        <v>19920319</v>
      </c>
      <c r="E261" s="891">
        <v>0</v>
      </c>
      <c r="F261" s="1037">
        <f t="shared" si="3"/>
        <v>5668744875.059989</v>
      </c>
    </row>
    <row r="262" spans="1:6" ht="15.75">
      <c r="A262" s="887" t="s">
        <v>1787</v>
      </c>
      <c r="B262" s="888" t="s">
        <v>1168</v>
      </c>
      <c r="C262" s="889" t="s">
        <v>1305</v>
      </c>
      <c r="D262" s="890">
        <v>34860558</v>
      </c>
      <c r="E262" s="891">
        <v>0</v>
      </c>
      <c r="F262" s="1037">
        <f t="shared" si="3"/>
        <v>5633884317.059989</v>
      </c>
    </row>
    <row r="263" spans="1:6" ht="15.75">
      <c r="A263" s="887" t="s">
        <v>1787</v>
      </c>
      <c r="B263" s="888" t="s">
        <v>1168</v>
      </c>
      <c r="C263" s="889" t="s">
        <v>1310</v>
      </c>
      <c r="D263" s="890">
        <v>19920319</v>
      </c>
      <c r="E263" s="891">
        <v>0</v>
      </c>
      <c r="F263" s="1037">
        <f t="shared" si="3"/>
        <v>5613963998.059989</v>
      </c>
    </row>
    <row r="264" spans="1:6" ht="15.75">
      <c r="A264" s="887" t="s">
        <v>1787</v>
      </c>
      <c r="B264" s="888" t="s">
        <v>1168</v>
      </c>
      <c r="C264" s="889" t="s">
        <v>1306</v>
      </c>
      <c r="D264" s="890">
        <v>49800797</v>
      </c>
      <c r="E264" s="891">
        <v>0</v>
      </c>
      <c r="F264" s="1037">
        <f t="shared" si="3"/>
        <v>5564163201.059989</v>
      </c>
    </row>
    <row r="265" spans="1:6" ht="15.75">
      <c r="A265" s="887" t="s">
        <v>1787</v>
      </c>
      <c r="B265" s="888" t="s">
        <v>1168</v>
      </c>
      <c r="C265" s="889" t="s">
        <v>1309</v>
      </c>
      <c r="D265" s="890">
        <v>49800797</v>
      </c>
      <c r="E265" s="891">
        <v>0</v>
      </c>
      <c r="F265" s="1037">
        <f t="shared" si="3"/>
        <v>5514362404.059989</v>
      </c>
    </row>
    <row r="266" spans="1:6" ht="15.75">
      <c r="A266" s="887" t="s">
        <v>1787</v>
      </c>
      <c r="B266" s="888" t="s">
        <v>1168</v>
      </c>
      <c r="C266" s="889" t="s">
        <v>1307</v>
      </c>
      <c r="D266" s="890">
        <v>24900398</v>
      </c>
      <c r="E266" s="891">
        <v>0</v>
      </c>
      <c r="F266" s="1037">
        <f t="shared" si="3"/>
        <v>5489462006.059989</v>
      </c>
    </row>
    <row r="267" spans="1:6" ht="15.75">
      <c r="A267" s="887" t="s">
        <v>1787</v>
      </c>
      <c r="B267" s="888" t="s">
        <v>1168</v>
      </c>
      <c r="C267" s="889" t="s">
        <v>1978</v>
      </c>
      <c r="D267" s="890">
        <v>24900398</v>
      </c>
      <c r="E267" s="891">
        <v>0</v>
      </c>
      <c r="F267" s="1037">
        <f t="shared" si="3"/>
        <v>5464561608.059989</v>
      </c>
    </row>
    <row r="268" spans="1:6" ht="15.75">
      <c r="A268" s="887" t="s">
        <v>1787</v>
      </c>
      <c r="B268" s="888" t="s">
        <v>1168</v>
      </c>
      <c r="C268" s="889" t="s">
        <v>1308</v>
      </c>
      <c r="D268" s="890">
        <v>49800797</v>
      </c>
      <c r="E268" s="891">
        <v>0</v>
      </c>
      <c r="F268" s="1037">
        <f t="shared" si="3"/>
        <v>5414760811.059989</v>
      </c>
    </row>
    <row r="269" spans="1:6" ht="15.75">
      <c r="A269" s="887" t="s">
        <v>1787</v>
      </c>
      <c r="B269" s="888" t="s">
        <v>1168</v>
      </c>
      <c r="C269" s="889" t="s">
        <v>1979</v>
      </c>
      <c r="D269" s="890">
        <v>49800797</v>
      </c>
      <c r="E269" s="891">
        <v>0</v>
      </c>
      <c r="F269" s="1037">
        <f t="shared" si="3"/>
        <v>5364960014.059989</v>
      </c>
    </row>
    <row r="270" spans="1:6" ht="15.75">
      <c r="A270" s="887" t="s">
        <v>1787</v>
      </c>
      <c r="B270" s="888" t="s">
        <v>1168</v>
      </c>
      <c r="C270" s="889" t="s">
        <v>1297</v>
      </c>
      <c r="D270" s="890">
        <v>49800797</v>
      </c>
      <c r="E270" s="891">
        <v>0</v>
      </c>
      <c r="F270" s="1037">
        <f t="shared" si="3"/>
        <v>5315159217.059989</v>
      </c>
    </row>
    <row r="271" spans="1:6" ht="15.75">
      <c r="A271" s="887" t="s">
        <v>1787</v>
      </c>
      <c r="B271" s="888" t="s">
        <v>1168</v>
      </c>
      <c r="C271" s="889" t="s">
        <v>1296</v>
      </c>
      <c r="D271" s="890">
        <v>24900398</v>
      </c>
      <c r="E271" s="891">
        <v>0</v>
      </c>
      <c r="F271" s="1037">
        <f t="shared" si="3"/>
        <v>5290258819.059989</v>
      </c>
    </row>
    <row r="272" spans="1:6" ht="15.75">
      <c r="A272" s="887" t="s">
        <v>1787</v>
      </c>
      <c r="B272" s="888" t="s">
        <v>1168</v>
      </c>
      <c r="C272" s="889" t="s">
        <v>1295</v>
      </c>
      <c r="D272" s="890">
        <v>49800797</v>
      </c>
      <c r="E272" s="891">
        <v>0</v>
      </c>
      <c r="F272" s="1037">
        <f t="shared" ref="F272:F335" si="4">+F271-D272+E272</f>
        <v>5240458022.059989</v>
      </c>
    </row>
    <row r="273" spans="1:6" ht="15.75">
      <c r="A273" s="887" t="s">
        <v>1787</v>
      </c>
      <c r="B273" s="888" t="s">
        <v>1168</v>
      </c>
      <c r="C273" s="889" t="s">
        <v>1294</v>
      </c>
      <c r="D273" s="890">
        <v>19920319</v>
      </c>
      <c r="E273" s="891">
        <v>0</v>
      </c>
      <c r="F273" s="1037">
        <f t="shared" si="4"/>
        <v>5220537703.059989</v>
      </c>
    </row>
    <row r="274" spans="1:6" ht="15.75">
      <c r="A274" s="887" t="s">
        <v>1787</v>
      </c>
      <c r="B274" s="888" t="s">
        <v>1167</v>
      </c>
      <c r="C274" s="889" t="s">
        <v>1980</v>
      </c>
      <c r="D274" s="890">
        <v>24900398</v>
      </c>
      <c r="E274" s="891">
        <v>0</v>
      </c>
      <c r="F274" s="1037">
        <f t="shared" si="4"/>
        <v>5195637305.059989</v>
      </c>
    </row>
    <row r="275" spans="1:6" ht="15.75">
      <c r="A275" s="887" t="s">
        <v>1787</v>
      </c>
      <c r="B275" s="888" t="s">
        <v>1168</v>
      </c>
      <c r="C275" s="889" t="s">
        <v>1293</v>
      </c>
      <c r="D275" s="890">
        <v>19920319</v>
      </c>
      <c r="E275" s="891">
        <v>0</v>
      </c>
      <c r="F275" s="1037">
        <f t="shared" si="4"/>
        <v>5175716986.059989</v>
      </c>
    </row>
    <row r="276" spans="1:6" ht="15.75">
      <c r="A276" s="887" t="s">
        <v>1787</v>
      </c>
      <c r="B276" s="888" t="s">
        <v>1168</v>
      </c>
      <c r="C276" s="889" t="s">
        <v>1292</v>
      </c>
      <c r="D276" s="890">
        <v>49800797</v>
      </c>
      <c r="E276" s="891">
        <v>0</v>
      </c>
      <c r="F276" s="1037">
        <f t="shared" si="4"/>
        <v>5125916189.059989</v>
      </c>
    </row>
    <row r="277" spans="1:6" ht="15.75">
      <c r="A277" s="887" t="s">
        <v>1787</v>
      </c>
      <c r="B277" s="888" t="s">
        <v>1168</v>
      </c>
      <c r="C277" s="889" t="s">
        <v>1291</v>
      </c>
      <c r="D277" s="890">
        <v>29880478</v>
      </c>
      <c r="E277" s="891">
        <v>0</v>
      </c>
      <c r="F277" s="1037">
        <f t="shared" si="4"/>
        <v>5096035711.059989</v>
      </c>
    </row>
    <row r="278" spans="1:6" ht="15.75">
      <c r="A278" s="887" t="s">
        <v>1787</v>
      </c>
      <c r="B278" s="888" t="s">
        <v>1168</v>
      </c>
      <c r="C278" s="889" t="s">
        <v>1981</v>
      </c>
      <c r="D278" s="890">
        <v>49800797</v>
      </c>
      <c r="E278" s="891">
        <v>0</v>
      </c>
      <c r="F278" s="1037">
        <f t="shared" si="4"/>
        <v>5046234914.059989</v>
      </c>
    </row>
    <row r="279" spans="1:6" ht="15.75">
      <c r="A279" s="887" t="s">
        <v>1787</v>
      </c>
      <c r="B279" s="888" t="s">
        <v>1167</v>
      </c>
      <c r="C279" s="889" t="s">
        <v>1289</v>
      </c>
      <c r="D279" s="890">
        <v>19920319</v>
      </c>
      <c r="E279" s="891">
        <v>0</v>
      </c>
      <c r="F279" s="1037">
        <f t="shared" si="4"/>
        <v>5026314595.059989</v>
      </c>
    </row>
    <row r="280" spans="1:6" ht="15.75">
      <c r="A280" s="887" t="s">
        <v>1787</v>
      </c>
      <c r="B280" s="888" t="s">
        <v>1168</v>
      </c>
      <c r="C280" s="889" t="s">
        <v>1982</v>
      </c>
      <c r="D280" s="890">
        <v>19920319</v>
      </c>
      <c r="E280" s="891">
        <v>0</v>
      </c>
      <c r="F280" s="1037">
        <f t="shared" si="4"/>
        <v>5006394276.059989</v>
      </c>
    </row>
    <row r="281" spans="1:6" ht="15.75">
      <c r="A281" s="887" t="s">
        <v>1787</v>
      </c>
      <c r="B281" s="888" t="s">
        <v>1168</v>
      </c>
      <c r="C281" s="889" t="s">
        <v>1301</v>
      </c>
      <c r="D281" s="890">
        <v>49800797</v>
      </c>
      <c r="E281" s="891">
        <v>0</v>
      </c>
      <c r="F281" s="1037">
        <f t="shared" si="4"/>
        <v>4956593479.059989</v>
      </c>
    </row>
    <row r="282" spans="1:6" ht="15.75">
      <c r="A282" s="887" t="s">
        <v>1787</v>
      </c>
      <c r="B282" s="888" t="s">
        <v>1168</v>
      </c>
      <c r="C282" s="889" t="s">
        <v>1290</v>
      </c>
      <c r="D282" s="890">
        <v>19920319</v>
      </c>
      <c r="E282" s="891">
        <v>0</v>
      </c>
      <c r="F282" s="1037">
        <f t="shared" si="4"/>
        <v>4936673160.059989</v>
      </c>
    </row>
    <row r="283" spans="1:6" ht="15.75">
      <c r="A283" s="887" t="s">
        <v>1787</v>
      </c>
      <c r="B283" s="888" t="s">
        <v>1168</v>
      </c>
      <c r="C283" s="889" t="s">
        <v>1983</v>
      </c>
      <c r="D283" s="890">
        <v>49800797</v>
      </c>
      <c r="E283" s="891">
        <v>0</v>
      </c>
      <c r="F283" s="1037">
        <f t="shared" si="4"/>
        <v>4886872363.059989</v>
      </c>
    </row>
    <row r="284" spans="1:6" ht="15.75">
      <c r="A284" s="887" t="s">
        <v>1787</v>
      </c>
      <c r="B284" s="888" t="s">
        <v>1168</v>
      </c>
      <c r="C284" s="889" t="s">
        <v>1300</v>
      </c>
      <c r="D284" s="890">
        <v>24900398</v>
      </c>
      <c r="E284" s="891">
        <v>0</v>
      </c>
      <c r="F284" s="1037">
        <f t="shared" si="4"/>
        <v>4861971965.059989</v>
      </c>
    </row>
    <row r="285" spans="1:6" ht="15.75">
      <c r="A285" s="887" t="s">
        <v>1787</v>
      </c>
      <c r="B285" s="888" t="s">
        <v>1168</v>
      </c>
      <c r="C285" s="889" t="s">
        <v>1984</v>
      </c>
      <c r="D285" s="890">
        <v>24900398</v>
      </c>
      <c r="E285" s="891">
        <v>0</v>
      </c>
      <c r="F285" s="1037">
        <f t="shared" si="4"/>
        <v>4837071567.059989</v>
      </c>
    </row>
    <row r="286" spans="1:6" ht="15.75">
      <c r="A286" s="887" t="s">
        <v>1787</v>
      </c>
      <c r="B286" s="888" t="s">
        <v>1168</v>
      </c>
      <c r="C286" s="889" t="s">
        <v>1299</v>
      </c>
      <c r="D286" s="890">
        <v>19920319</v>
      </c>
      <c r="E286" s="891">
        <v>0</v>
      </c>
      <c r="F286" s="1037">
        <f t="shared" si="4"/>
        <v>4817151248.059989</v>
      </c>
    </row>
    <row r="287" spans="1:6" ht="15.75">
      <c r="A287" s="887" t="s">
        <v>1787</v>
      </c>
      <c r="B287" s="888" t="s">
        <v>1168</v>
      </c>
      <c r="C287" s="889" t="s">
        <v>1298</v>
      </c>
      <c r="D287" s="890">
        <v>49800797</v>
      </c>
      <c r="E287" s="891">
        <v>0</v>
      </c>
      <c r="F287" s="1037">
        <f t="shared" si="4"/>
        <v>4767350451.059989</v>
      </c>
    </row>
    <row r="288" spans="1:6" ht="15.75">
      <c r="A288" s="887" t="s">
        <v>1787</v>
      </c>
      <c r="B288" s="888" t="s">
        <v>1168</v>
      </c>
      <c r="C288" s="889" t="s">
        <v>1985</v>
      </c>
      <c r="D288" s="890">
        <v>49800797</v>
      </c>
      <c r="E288" s="891">
        <v>0</v>
      </c>
      <c r="F288" s="1037">
        <f t="shared" si="4"/>
        <v>4717549654.059989</v>
      </c>
    </row>
    <row r="289" spans="1:6" ht="15.75">
      <c r="A289" s="887" t="s">
        <v>1787</v>
      </c>
      <c r="B289" s="888" t="s">
        <v>740</v>
      </c>
      <c r="C289" s="889"/>
      <c r="D289" s="890">
        <v>0</v>
      </c>
      <c r="E289" s="891">
        <v>35214.870000000003</v>
      </c>
      <c r="F289" s="1037">
        <f t="shared" si="4"/>
        <v>4717584868.9299889</v>
      </c>
    </row>
    <row r="290" spans="1:6" ht="15.75">
      <c r="A290" s="887" t="s">
        <v>1787</v>
      </c>
      <c r="B290" s="888" t="s">
        <v>701</v>
      </c>
      <c r="C290" s="889"/>
      <c r="D290" s="890">
        <v>2465</v>
      </c>
      <c r="E290" s="891">
        <v>0</v>
      </c>
      <c r="F290" s="1037">
        <f t="shared" si="4"/>
        <v>4717582403.9299889</v>
      </c>
    </row>
    <row r="291" spans="1:6" ht="15.75">
      <c r="A291" s="887" t="s">
        <v>1787</v>
      </c>
      <c r="B291" s="888" t="s">
        <v>20</v>
      </c>
      <c r="C291" s="889">
        <v>0</v>
      </c>
      <c r="D291" s="890">
        <v>6836664.3899999997</v>
      </c>
      <c r="E291" s="891">
        <v>0</v>
      </c>
      <c r="F291" s="1037">
        <f t="shared" si="4"/>
        <v>4710745739.5399885</v>
      </c>
    </row>
    <row r="292" spans="1:6" ht="15.75">
      <c r="A292" s="887" t="s">
        <v>1788</v>
      </c>
      <c r="B292" s="888" t="s">
        <v>1168</v>
      </c>
      <c r="C292" s="889" t="s">
        <v>1260</v>
      </c>
      <c r="D292" s="890">
        <v>19920319</v>
      </c>
      <c r="E292" s="891">
        <v>0</v>
      </c>
      <c r="F292" s="1037">
        <f t="shared" si="4"/>
        <v>4690825420.5399885</v>
      </c>
    </row>
    <row r="293" spans="1:6" ht="15.75">
      <c r="A293" s="887" t="s">
        <v>1788</v>
      </c>
      <c r="B293" s="888" t="s">
        <v>1168</v>
      </c>
      <c r="C293" s="889" t="s">
        <v>1261</v>
      </c>
      <c r="D293" s="890">
        <v>24900398</v>
      </c>
      <c r="E293" s="891">
        <v>0</v>
      </c>
      <c r="F293" s="1037">
        <f t="shared" si="4"/>
        <v>4665925022.5399885</v>
      </c>
    </row>
    <row r="294" spans="1:6" ht="15.75">
      <c r="A294" s="887" t="s">
        <v>1788</v>
      </c>
      <c r="B294" s="888" t="s">
        <v>1168</v>
      </c>
      <c r="C294" s="889" t="s">
        <v>1262</v>
      </c>
      <c r="D294" s="890">
        <v>19920319</v>
      </c>
      <c r="E294" s="891">
        <v>0</v>
      </c>
      <c r="F294" s="1037">
        <f t="shared" si="4"/>
        <v>4646004703.5399885</v>
      </c>
    </row>
    <row r="295" spans="1:6" ht="15.75">
      <c r="A295" s="887" t="s">
        <v>1788</v>
      </c>
      <c r="B295" s="888" t="s">
        <v>1168</v>
      </c>
      <c r="C295" s="889" t="s">
        <v>1263</v>
      </c>
      <c r="D295" s="890">
        <v>19920319</v>
      </c>
      <c r="E295" s="891">
        <v>0</v>
      </c>
      <c r="F295" s="1037">
        <f t="shared" si="4"/>
        <v>4626084384.5399885</v>
      </c>
    </row>
    <row r="296" spans="1:6" ht="15.75">
      <c r="A296" s="887" t="s">
        <v>1788</v>
      </c>
      <c r="B296" s="888" t="s">
        <v>1168</v>
      </c>
      <c r="C296" s="889" t="s">
        <v>1264</v>
      </c>
      <c r="D296" s="890">
        <v>19920319</v>
      </c>
      <c r="E296" s="891">
        <v>0</v>
      </c>
      <c r="F296" s="1037">
        <f t="shared" si="4"/>
        <v>4606164065.5399885</v>
      </c>
    </row>
    <row r="297" spans="1:6" ht="15.75">
      <c r="A297" s="887" t="s">
        <v>1788</v>
      </c>
      <c r="B297" s="888" t="s">
        <v>1168</v>
      </c>
      <c r="C297" s="889" t="s">
        <v>1265</v>
      </c>
      <c r="D297" s="890">
        <v>49800797</v>
      </c>
      <c r="E297" s="891">
        <v>0</v>
      </c>
      <c r="F297" s="1037">
        <f t="shared" si="4"/>
        <v>4556363268.5399885</v>
      </c>
    </row>
    <row r="298" spans="1:6" ht="15.75">
      <c r="A298" s="887" t="s">
        <v>1788</v>
      </c>
      <c r="B298" s="888" t="s">
        <v>1168</v>
      </c>
      <c r="C298" s="889" t="s">
        <v>1241</v>
      </c>
      <c r="D298" s="890">
        <v>49800797</v>
      </c>
      <c r="E298" s="891">
        <v>0</v>
      </c>
      <c r="F298" s="1037">
        <f t="shared" si="4"/>
        <v>4506562471.5399885</v>
      </c>
    </row>
    <row r="299" spans="1:6" ht="15.75">
      <c r="A299" s="887" t="s">
        <v>1788</v>
      </c>
      <c r="B299" s="888" t="s">
        <v>1168</v>
      </c>
      <c r="C299" s="889" t="s">
        <v>1242</v>
      </c>
      <c r="D299" s="890">
        <v>19920319</v>
      </c>
      <c r="E299" s="891">
        <v>0</v>
      </c>
      <c r="F299" s="1037">
        <f t="shared" si="4"/>
        <v>4486642152.5399885</v>
      </c>
    </row>
    <row r="300" spans="1:6" ht="15.75">
      <c r="A300" s="887" t="s">
        <v>1788</v>
      </c>
      <c r="B300" s="888" t="s">
        <v>1168</v>
      </c>
      <c r="C300" s="889" t="s">
        <v>1240</v>
      </c>
      <c r="D300" s="890">
        <v>49800797</v>
      </c>
      <c r="E300" s="891">
        <v>0</v>
      </c>
      <c r="F300" s="1037">
        <f t="shared" si="4"/>
        <v>4436841355.5399885</v>
      </c>
    </row>
    <row r="301" spans="1:6" ht="15.75">
      <c r="A301" s="887" t="s">
        <v>1788</v>
      </c>
      <c r="B301" s="888" t="s">
        <v>1168</v>
      </c>
      <c r="C301" s="889" t="s">
        <v>1266</v>
      </c>
      <c r="D301" s="890">
        <v>49800797</v>
      </c>
      <c r="E301" s="891">
        <v>0</v>
      </c>
      <c r="F301" s="1037">
        <f t="shared" si="4"/>
        <v>4387040558.5399885</v>
      </c>
    </row>
    <row r="302" spans="1:6" ht="15.75">
      <c r="A302" s="887" t="s">
        <v>1788</v>
      </c>
      <c r="B302" s="888" t="s">
        <v>1168</v>
      </c>
      <c r="C302" s="889" t="s">
        <v>1267</v>
      </c>
      <c r="D302" s="890">
        <v>29880478</v>
      </c>
      <c r="E302" s="891">
        <v>0</v>
      </c>
      <c r="F302" s="1037">
        <f t="shared" si="4"/>
        <v>4357160080.5399885</v>
      </c>
    </row>
    <row r="303" spans="1:6" ht="15.75">
      <c r="A303" s="887" t="s">
        <v>1788</v>
      </c>
      <c r="B303" s="888" t="s">
        <v>1168</v>
      </c>
      <c r="C303" s="889" t="s">
        <v>1268</v>
      </c>
      <c r="D303" s="890">
        <v>49800797</v>
      </c>
      <c r="E303" s="891">
        <v>0</v>
      </c>
      <c r="F303" s="1037">
        <f t="shared" si="4"/>
        <v>4307359283.5399885</v>
      </c>
    </row>
    <row r="304" spans="1:6" ht="15.75">
      <c r="A304" s="887" t="s">
        <v>1788</v>
      </c>
      <c r="B304" s="888" t="s">
        <v>1168</v>
      </c>
      <c r="C304" s="889" t="s">
        <v>1269</v>
      </c>
      <c r="D304" s="890">
        <v>49800797</v>
      </c>
      <c r="E304" s="891">
        <v>0</v>
      </c>
      <c r="F304" s="1037">
        <f t="shared" si="4"/>
        <v>4257558486.5399885</v>
      </c>
    </row>
    <row r="305" spans="1:6" ht="15.75">
      <c r="A305" s="887" t="s">
        <v>1788</v>
      </c>
      <c r="B305" s="888" t="s">
        <v>1168</v>
      </c>
      <c r="C305" s="889" t="s">
        <v>1243</v>
      </c>
      <c r="D305" s="890">
        <v>49800797</v>
      </c>
      <c r="E305" s="891">
        <v>0</v>
      </c>
      <c r="F305" s="1037">
        <f t="shared" si="4"/>
        <v>4207757689.5399885</v>
      </c>
    </row>
    <row r="306" spans="1:6" ht="15.75">
      <c r="A306" s="887" t="s">
        <v>1788</v>
      </c>
      <c r="B306" s="888" t="s">
        <v>1168</v>
      </c>
      <c r="C306" s="889" t="s">
        <v>1270</v>
      </c>
      <c r="D306" s="890">
        <v>39840637</v>
      </c>
      <c r="E306" s="891">
        <v>0</v>
      </c>
      <c r="F306" s="1037">
        <f t="shared" si="4"/>
        <v>4167917052.5399885</v>
      </c>
    </row>
    <row r="307" spans="1:6" ht="15.75">
      <c r="A307" s="887" t="s">
        <v>1788</v>
      </c>
      <c r="B307" s="888" t="s">
        <v>1168</v>
      </c>
      <c r="C307" s="889" t="s">
        <v>1271</v>
      </c>
      <c r="D307" s="890">
        <v>29880478</v>
      </c>
      <c r="E307" s="891">
        <v>0</v>
      </c>
      <c r="F307" s="1037">
        <f t="shared" si="4"/>
        <v>4138036574.5399885</v>
      </c>
    </row>
    <row r="308" spans="1:6" ht="15.75">
      <c r="A308" s="887" t="s">
        <v>1788</v>
      </c>
      <c r="B308" s="888" t="s">
        <v>1168</v>
      </c>
      <c r="C308" s="889" t="s">
        <v>1244</v>
      </c>
      <c r="D308" s="890">
        <v>34860558</v>
      </c>
      <c r="E308" s="891">
        <v>0</v>
      </c>
      <c r="F308" s="1037">
        <f t="shared" si="4"/>
        <v>4103176016.5399885</v>
      </c>
    </row>
    <row r="309" spans="1:6" ht="15.75">
      <c r="A309" s="887" t="s">
        <v>1788</v>
      </c>
      <c r="B309" s="888" t="s">
        <v>1168</v>
      </c>
      <c r="C309" s="889" t="s">
        <v>1245</v>
      </c>
      <c r="D309" s="890">
        <v>49800797</v>
      </c>
      <c r="E309" s="891">
        <v>0</v>
      </c>
      <c r="F309" s="1037">
        <f t="shared" si="4"/>
        <v>4053375219.5399885</v>
      </c>
    </row>
    <row r="310" spans="1:6" ht="15.75">
      <c r="A310" s="887" t="s">
        <v>1788</v>
      </c>
      <c r="B310" s="888" t="s">
        <v>1168</v>
      </c>
      <c r="C310" s="889" t="s">
        <v>1272</v>
      </c>
      <c r="D310" s="890">
        <v>19920319</v>
      </c>
      <c r="E310" s="891">
        <v>0</v>
      </c>
      <c r="F310" s="1037">
        <f t="shared" si="4"/>
        <v>4033454900.5399885</v>
      </c>
    </row>
    <row r="311" spans="1:6" ht="15.75">
      <c r="A311" s="887" t="s">
        <v>1788</v>
      </c>
      <c r="B311" s="888" t="s">
        <v>1168</v>
      </c>
      <c r="C311" s="889" t="s">
        <v>1273</v>
      </c>
      <c r="D311" s="890">
        <v>19920319</v>
      </c>
      <c r="E311" s="891">
        <v>0</v>
      </c>
      <c r="F311" s="1037">
        <f t="shared" si="4"/>
        <v>4013534581.5399885</v>
      </c>
    </row>
    <row r="312" spans="1:6" ht="15.75">
      <c r="A312" s="887" t="s">
        <v>1788</v>
      </c>
      <c r="B312" s="888" t="s">
        <v>1168</v>
      </c>
      <c r="C312" s="889" t="s">
        <v>1274</v>
      </c>
      <c r="D312" s="890">
        <v>19920319</v>
      </c>
      <c r="E312" s="891">
        <v>0</v>
      </c>
      <c r="F312" s="1037">
        <f t="shared" si="4"/>
        <v>3993614262.5399885</v>
      </c>
    </row>
    <row r="313" spans="1:6" ht="15.75">
      <c r="A313" s="887" t="s">
        <v>1788</v>
      </c>
      <c r="B313" s="888" t="s">
        <v>1168</v>
      </c>
      <c r="C313" s="889" t="s">
        <v>1275</v>
      </c>
      <c r="D313" s="890">
        <v>29880478</v>
      </c>
      <c r="E313" s="891">
        <v>0</v>
      </c>
      <c r="F313" s="1037">
        <f t="shared" si="4"/>
        <v>3963733784.5399885</v>
      </c>
    </row>
    <row r="314" spans="1:6" ht="15.75">
      <c r="A314" s="887" t="s">
        <v>1788</v>
      </c>
      <c r="B314" s="888" t="s">
        <v>1168</v>
      </c>
      <c r="C314" s="889" t="s">
        <v>1276</v>
      </c>
      <c r="D314" s="890">
        <v>19920319</v>
      </c>
      <c r="E314" s="891">
        <v>0</v>
      </c>
      <c r="F314" s="1037">
        <f t="shared" si="4"/>
        <v>3943813465.5399885</v>
      </c>
    </row>
    <row r="315" spans="1:6" ht="15.75">
      <c r="A315" s="887" t="s">
        <v>1788</v>
      </c>
      <c r="B315" s="888" t="s">
        <v>1168</v>
      </c>
      <c r="C315" s="889" t="s">
        <v>1254</v>
      </c>
      <c r="D315" s="890">
        <v>34860558</v>
      </c>
      <c r="E315" s="891">
        <v>0</v>
      </c>
      <c r="F315" s="1037">
        <f t="shared" si="4"/>
        <v>3908952907.5399885</v>
      </c>
    </row>
    <row r="316" spans="1:6" ht="15.75">
      <c r="A316" s="887" t="s">
        <v>1788</v>
      </c>
      <c r="B316" s="888" t="s">
        <v>1168</v>
      </c>
      <c r="C316" s="889" t="s">
        <v>1277</v>
      </c>
      <c r="D316" s="890">
        <v>19920319</v>
      </c>
      <c r="E316" s="891">
        <v>0</v>
      </c>
      <c r="F316" s="1037">
        <f t="shared" si="4"/>
        <v>3889032588.5399885</v>
      </c>
    </row>
    <row r="317" spans="1:6" ht="15.75">
      <c r="A317" s="887" t="s">
        <v>1788</v>
      </c>
      <c r="B317" s="888" t="s">
        <v>1168</v>
      </c>
      <c r="C317" s="889" t="s">
        <v>1278</v>
      </c>
      <c r="D317" s="890">
        <v>19920319</v>
      </c>
      <c r="E317" s="891">
        <v>0</v>
      </c>
      <c r="F317" s="1037">
        <f t="shared" si="4"/>
        <v>3869112269.5399885</v>
      </c>
    </row>
    <row r="318" spans="1:6" ht="15.75">
      <c r="A318" s="887" t="s">
        <v>1788</v>
      </c>
      <c r="B318" s="888" t="s">
        <v>1168</v>
      </c>
      <c r="C318" s="889" t="s">
        <v>1279</v>
      </c>
      <c r="D318" s="890">
        <v>19920319</v>
      </c>
      <c r="E318" s="891">
        <v>0</v>
      </c>
      <c r="F318" s="1037">
        <f t="shared" si="4"/>
        <v>3849191950.5399885</v>
      </c>
    </row>
    <row r="319" spans="1:6" ht="15.75">
      <c r="A319" s="887" t="s">
        <v>1788</v>
      </c>
      <c r="B319" s="888" t="s">
        <v>1168</v>
      </c>
      <c r="C319" s="889" t="s">
        <v>1280</v>
      </c>
      <c r="D319" s="890">
        <v>24900398</v>
      </c>
      <c r="E319" s="891">
        <v>0</v>
      </c>
      <c r="F319" s="1037">
        <f t="shared" si="4"/>
        <v>3824291552.5399885</v>
      </c>
    </row>
    <row r="320" spans="1:6" ht="15.75">
      <c r="A320" s="887" t="s">
        <v>1788</v>
      </c>
      <c r="B320" s="888" t="s">
        <v>1167</v>
      </c>
      <c r="C320" s="889" t="s">
        <v>1239</v>
      </c>
      <c r="D320" s="890">
        <v>24900398</v>
      </c>
      <c r="E320" s="891">
        <v>0</v>
      </c>
      <c r="F320" s="1037">
        <f t="shared" si="4"/>
        <v>3799391154.5399885</v>
      </c>
    </row>
    <row r="321" spans="1:6" ht="15.75">
      <c r="A321" s="887" t="s">
        <v>1788</v>
      </c>
      <c r="B321" s="888" t="s">
        <v>1168</v>
      </c>
      <c r="C321" s="889" t="s">
        <v>1253</v>
      </c>
      <c r="D321" s="890">
        <v>19920319</v>
      </c>
      <c r="E321" s="891">
        <v>0</v>
      </c>
      <c r="F321" s="1037">
        <f t="shared" si="4"/>
        <v>3779470835.5399885</v>
      </c>
    </row>
    <row r="322" spans="1:6" ht="15.75">
      <c r="A322" s="887" t="s">
        <v>1788</v>
      </c>
      <c r="B322" s="888" t="s">
        <v>1168</v>
      </c>
      <c r="C322" s="889" t="s">
        <v>1281</v>
      </c>
      <c r="D322" s="890">
        <v>29880478</v>
      </c>
      <c r="E322" s="891">
        <v>0</v>
      </c>
      <c r="F322" s="1037">
        <f t="shared" si="4"/>
        <v>3749590357.5399885</v>
      </c>
    </row>
    <row r="323" spans="1:6" ht="15.75">
      <c r="A323" s="887" t="s">
        <v>1788</v>
      </c>
      <c r="B323" s="888" t="s">
        <v>1168</v>
      </c>
      <c r="C323" s="889" t="s">
        <v>1282</v>
      </c>
      <c r="D323" s="890">
        <v>19920319</v>
      </c>
      <c r="E323" s="891">
        <v>0</v>
      </c>
      <c r="F323" s="1037">
        <f t="shared" si="4"/>
        <v>3729670038.5399885</v>
      </c>
    </row>
    <row r="324" spans="1:6" ht="15.75">
      <c r="A324" s="887" t="s">
        <v>1788</v>
      </c>
      <c r="B324" s="888" t="s">
        <v>1168</v>
      </c>
      <c r="C324" s="889" t="s">
        <v>1283</v>
      </c>
      <c r="D324" s="890">
        <v>19920319</v>
      </c>
      <c r="E324" s="891">
        <v>0</v>
      </c>
      <c r="F324" s="1037">
        <f t="shared" si="4"/>
        <v>3709749719.5399885</v>
      </c>
    </row>
    <row r="325" spans="1:6" ht="15.75">
      <c r="A325" s="887" t="s">
        <v>1788</v>
      </c>
      <c r="B325" s="888" t="s">
        <v>1168</v>
      </c>
      <c r="C325" s="889" t="s">
        <v>1284</v>
      </c>
      <c r="D325" s="890">
        <v>44820717</v>
      </c>
      <c r="E325" s="891">
        <v>0</v>
      </c>
      <c r="F325" s="1037">
        <f t="shared" si="4"/>
        <v>3664929002.5399885</v>
      </c>
    </row>
    <row r="326" spans="1:6" ht="15.75">
      <c r="A326" s="887" t="s">
        <v>1788</v>
      </c>
      <c r="B326" s="888" t="s">
        <v>1168</v>
      </c>
      <c r="C326" s="889" t="s">
        <v>1252</v>
      </c>
      <c r="D326" s="890">
        <v>24900398</v>
      </c>
      <c r="E326" s="891">
        <v>0</v>
      </c>
      <c r="F326" s="1037">
        <f t="shared" si="4"/>
        <v>3640028604.5399885</v>
      </c>
    </row>
    <row r="327" spans="1:6" ht="15.75">
      <c r="A327" s="887" t="s">
        <v>1788</v>
      </c>
      <c r="B327" s="888" t="s">
        <v>1168</v>
      </c>
      <c r="C327" s="889" t="s">
        <v>1249</v>
      </c>
      <c r="D327" s="890">
        <v>39840637</v>
      </c>
      <c r="E327" s="891">
        <v>0</v>
      </c>
      <c r="F327" s="1037">
        <f t="shared" si="4"/>
        <v>3600187967.5399885</v>
      </c>
    </row>
    <row r="328" spans="1:6" ht="15.75">
      <c r="A328" s="887" t="s">
        <v>1788</v>
      </c>
      <c r="B328" s="888" t="s">
        <v>1168</v>
      </c>
      <c r="C328" s="889" t="s">
        <v>1246</v>
      </c>
      <c r="D328" s="890">
        <v>19920319</v>
      </c>
      <c r="E328" s="891">
        <v>0</v>
      </c>
      <c r="F328" s="1037">
        <f t="shared" si="4"/>
        <v>3580267648.5399885</v>
      </c>
    </row>
    <row r="329" spans="1:6" ht="15.75">
      <c r="A329" s="887" t="s">
        <v>1788</v>
      </c>
      <c r="B329" s="888" t="s">
        <v>1168</v>
      </c>
      <c r="C329" s="889" t="s">
        <v>1285</v>
      </c>
      <c r="D329" s="890">
        <v>29880478</v>
      </c>
      <c r="E329" s="891">
        <v>0</v>
      </c>
      <c r="F329" s="1037">
        <f t="shared" si="4"/>
        <v>3550387170.5399885</v>
      </c>
    </row>
    <row r="330" spans="1:6" ht="15.75">
      <c r="A330" s="887" t="s">
        <v>1788</v>
      </c>
      <c r="B330" s="888" t="s">
        <v>1168</v>
      </c>
      <c r="C330" s="889" t="s">
        <v>1286</v>
      </c>
      <c r="D330" s="890">
        <v>19920319</v>
      </c>
      <c r="E330" s="891">
        <v>0</v>
      </c>
      <c r="F330" s="1037">
        <f t="shared" si="4"/>
        <v>3530466851.5399885</v>
      </c>
    </row>
    <row r="331" spans="1:6" ht="15.75">
      <c r="A331" s="887" t="s">
        <v>1788</v>
      </c>
      <c r="B331" s="888" t="s">
        <v>1167</v>
      </c>
      <c r="C331" s="889" t="s">
        <v>1238</v>
      </c>
      <c r="D331" s="890">
        <v>19920319</v>
      </c>
      <c r="E331" s="891">
        <v>0</v>
      </c>
      <c r="F331" s="1037">
        <f t="shared" si="4"/>
        <v>3510546532.5399885</v>
      </c>
    </row>
    <row r="332" spans="1:6" ht="15.75">
      <c r="A332" s="887" t="s">
        <v>1788</v>
      </c>
      <c r="B332" s="888" t="s">
        <v>1168</v>
      </c>
      <c r="C332" s="889" t="s">
        <v>1287</v>
      </c>
      <c r="D332" s="890">
        <v>19920319</v>
      </c>
      <c r="E332" s="891">
        <v>0</v>
      </c>
      <c r="F332" s="1037">
        <f t="shared" si="4"/>
        <v>3490626213.5399885</v>
      </c>
    </row>
    <row r="333" spans="1:6" ht="15.75">
      <c r="A333" s="887" t="s">
        <v>1788</v>
      </c>
      <c r="B333" s="888" t="s">
        <v>1168</v>
      </c>
      <c r="C333" s="889" t="s">
        <v>1288</v>
      </c>
      <c r="D333" s="890">
        <v>29880478</v>
      </c>
      <c r="E333" s="891">
        <v>0</v>
      </c>
      <c r="F333" s="1037">
        <f t="shared" si="4"/>
        <v>3460745735.5399885</v>
      </c>
    </row>
    <row r="334" spans="1:6" ht="15.75">
      <c r="A334" s="887" t="s">
        <v>1788</v>
      </c>
      <c r="B334" s="888" t="s">
        <v>1168</v>
      </c>
      <c r="C334" s="889" t="s">
        <v>1247</v>
      </c>
      <c r="D334" s="890">
        <v>24900398</v>
      </c>
      <c r="E334" s="891">
        <v>0</v>
      </c>
      <c r="F334" s="1037">
        <f t="shared" si="4"/>
        <v>3435845337.5399885</v>
      </c>
    </row>
    <row r="335" spans="1:6" ht="15.75">
      <c r="A335" s="887" t="s">
        <v>1788</v>
      </c>
      <c r="B335" s="888" t="s">
        <v>1168</v>
      </c>
      <c r="C335" s="889" t="s">
        <v>1251</v>
      </c>
      <c r="D335" s="890">
        <v>24900398</v>
      </c>
      <c r="E335" s="891">
        <v>0</v>
      </c>
      <c r="F335" s="1037">
        <f t="shared" si="4"/>
        <v>3410944939.5399885</v>
      </c>
    </row>
    <row r="336" spans="1:6" ht="15.75">
      <c r="A336" s="887" t="s">
        <v>1788</v>
      </c>
      <c r="B336" s="888" t="s">
        <v>1168</v>
      </c>
      <c r="C336" s="889" t="s">
        <v>1250</v>
      </c>
      <c r="D336" s="890">
        <v>29880478</v>
      </c>
      <c r="E336" s="891">
        <v>0</v>
      </c>
      <c r="F336" s="1037">
        <f t="shared" ref="F336:F399" si="5">+F335-D336+E336</f>
        <v>3381064461.5399885</v>
      </c>
    </row>
    <row r="337" spans="1:6" ht="15.75">
      <c r="A337" s="887" t="s">
        <v>1788</v>
      </c>
      <c r="B337" s="888" t="s">
        <v>1168</v>
      </c>
      <c r="C337" s="889" t="s">
        <v>1248</v>
      </c>
      <c r="D337" s="890">
        <v>39840637</v>
      </c>
      <c r="E337" s="891">
        <v>0</v>
      </c>
      <c r="F337" s="1037">
        <f t="shared" si="5"/>
        <v>3341223824.5399885</v>
      </c>
    </row>
    <row r="338" spans="1:6" ht="15.75">
      <c r="A338" s="887" t="s">
        <v>1788</v>
      </c>
      <c r="B338" s="888" t="s">
        <v>1168</v>
      </c>
      <c r="C338" s="889" t="s">
        <v>1255</v>
      </c>
      <c r="D338" s="890">
        <v>19920319</v>
      </c>
      <c r="E338" s="891">
        <v>0</v>
      </c>
      <c r="F338" s="1037">
        <f t="shared" si="5"/>
        <v>3321303505.5399885</v>
      </c>
    </row>
    <row r="339" spans="1:6" ht="15.75">
      <c r="A339" s="887" t="s">
        <v>1788</v>
      </c>
      <c r="B339" s="888" t="s">
        <v>1168</v>
      </c>
      <c r="C339" s="889" t="s">
        <v>1256</v>
      </c>
      <c r="D339" s="890">
        <v>24900398</v>
      </c>
      <c r="E339" s="891">
        <v>0</v>
      </c>
      <c r="F339" s="1037">
        <f t="shared" si="5"/>
        <v>3296403107.5399885</v>
      </c>
    </row>
    <row r="340" spans="1:6" ht="15.75">
      <c r="A340" s="887" t="s">
        <v>1788</v>
      </c>
      <c r="B340" s="888" t="s">
        <v>1168</v>
      </c>
      <c r="C340" s="889" t="s">
        <v>1257</v>
      </c>
      <c r="D340" s="890">
        <v>24900398</v>
      </c>
      <c r="E340" s="891">
        <v>0</v>
      </c>
      <c r="F340" s="1037">
        <f t="shared" si="5"/>
        <v>3271502709.5399885</v>
      </c>
    </row>
    <row r="341" spans="1:6" ht="15.75">
      <c r="A341" s="887" t="s">
        <v>1788</v>
      </c>
      <c r="B341" s="888" t="s">
        <v>1168</v>
      </c>
      <c r="C341" s="889" t="s">
        <v>1258</v>
      </c>
      <c r="D341" s="890">
        <v>19920319</v>
      </c>
      <c r="E341" s="891">
        <v>0</v>
      </c>
      <c r="F341" s="1037">
        <f t="shared" si="5"/>
        <v>3251582390.5399885</v>
      </c>
    </row>
    <row r="342" spans="1:6" ht="15.75">
      <c r="A342" s="887" t="s">
        <v>1788</v>
      </c>
      <c r="B342" s="888" t="s">
        <v>1168</v>
      </c>
      <c r="C342" s="889" t="s">
        <v>1259</v>
      </c>
      <c r="D342" s="890">
        <v>49800797</v>
      </c>
      <c r="E342" s="891">
        <v>0</v>
      </c>
      <c r="F342" s="1037">
        <f t="shared" si="5"/>
        <v>3201781593.5399885</v>
      </c>
    </row>
    <row r="343" spans="1:6" ht="15.75">
      <c r="A343" s="887" t="s">
        <v>1788</v>
      </c>
      <c r="B343" s="888" t="s">
        <v>1167</v>
      </c>
      <c r="C343" s="889" t="s">
        <v>1200</v>
      </c>
      <c r="D343" s="890">
        <v>49800797</v>
      </c>
      <c r="E343" s="891">
        <v>0</v>
      </c>
      <c r="F343" s="1037">
        <f t="shared" si="5"/>
        <v>3151980796.5399885</v>
      </c>
    </row>
    <row r="344" spans="1:6" ht="15.75">
      <c r="A344" s="887" t="s">
        <v>1788</v>
      </c>
      <c r="B344" s="888" t="s">
        <v>1168</v>
      </c>
      <c r="C344" s="889" t="s">
        <v>1231</v>
      </c>
      <c r="D344" s="890">
        <v>39840637</v>
      </c>
      <c r="E344" s="891">
        <v>0</v>
      </c>
      <c r="F344" s="1037">
        <f t="shared" si="5"/>
        <v>3112140159.5399885</v>
      </c>
    </row>
    <row r="345" spans="1:6" ht="15.75">
      <c r="A345" s="887" t="s">
        <v>1788</v>
      </c>
      <c r="B345" s="888" t="s">
        <v>1168</v>
      </c>
      <c r="C345" s="889" t="s">
        <v>1230</v>
      </c>
      <c r="D345" s="890">
        <v>39840637</v>
      </c>
      <c r="E345" s="891">
        <v>0</v>
      </c>
      <c r="F345" s="1037">
        <f t="shared" si="5"/>
        <v>3072299522.5399885</v>
      </c>
    </row>
    <row r="346" spans="1:6" ht="15.75">
      <c r="A346" s="887" t="s">
        <v>1788</v>
      </c>
      <c r="B346" s="888" t="s">
        <v>1168</v>
      </c>
      <c r="C346" s="889" t="s">
        <v>1229</v>
      </c>
      <c r="D346" s="890">
        <v>24900398</v>
      </c>
      <c r="E346" s="891">
        <v>0</v>
      </c>
      <c r="F346" s="1037">
        <f t="shared" si="5"/>
        <v>3047399124.5399885</v>
      </c>
    </row>
    <row r="347" spans="1:6" ht="15.75">
      <c r="A347" s="887" t="s">
        <v>1788</v>
      </c>
      <c r="B347" s="888" t="s">
        <v>1168</v>
      </c>
      <c r="C347" s="889" t="s">
        <v>1232</v>
      </c>
      <c r="D347" s="890">
        <v>19920319</v>
      </c>
      <c r="E347" s="891">
        <v>0</v>
      </c>
      <c r="F347" s="1037">
        <f t="shared" si="5"/>
        <v>3027478805.5399885</v>
      </c>
    </row>
    <row r="348" spans="1:6" ht="15.75">
      <c r="A348" s="887" t="s">
        <v>1788</v>
      </c>
      <c r="B348" s="888" t="s">
        <v>1168</v>
      </c>
      <c r="C348" s="889" t="s">
        <v>1228</v>
      </c>
      <c r="D348" s="890">
        <v>49800797</v>
      </c>
      <c r="E348" s="891">
        <v>0</v>
      </c>
      <c r="F348" s="1037">
        <f t="shared" si="5"/>
        <v>2977678008.5399885</v>
      </c>
    </row>
    <row r="349" spans="1:6" ht="15.75">
      <c r="A349" s="887" t="s">
        <v>1788</v>
      </c>
      <c r="B349" s="888" t="s">
        <v>1168</v>
      </c>
      <c r="C349" s="889" t="s">
        <v>1227</v>
      </c>
      <c r="D349" s="890">
        <v>49800797</v>
      </c>
      <c r="E349" s="891">
        <v>0</v>
      </c>
      <c r="F349" s="1037">
        <f t="shared" si="5"/>
        <v>2927877211.5399885</v>
      </c>
    </row>
    <row r="350" spans="1:6" ht="15.75">
      <c r="A350" s="887" t="s">
        <v>1788</v>
      </c>
      <c r="B350" s="888" t="s">
        <v>1168</v>
      </c>
      <c r="C350" s="889" t="s">
        <v>1226</v>
      </c>
      <c r="D350" s="890">
        <v>49800797</v>
      </c>
      <c r="E350" s="891">
        <v>0</v>
      </c>
      <c r="F350" s="1037">
        <f t="shared" si="5"/>
        <v>2878076414.5399885</v>
      </c>
    </row>
    <row r="351" spans="1:6" ht="15.75">
      <c r="A351" s="887" t="s">
        <v>1788</v>
      </c>
      <c r="B351" s="888" t="s">
        <v>1168</v>
      </c>
      <c r="C351" s="889" t="s">
        <v>1233</v>
      </c>
      <c r="D351" s="890">
        <v>19920319</v>
      </c>
      <c r="E351" s="891">
        <v>0</v>
      </c>
      <c r="F351" s="1037">
        <f t="shared" si="5"/>
        <v>2858156095.5399885</v>
      </c>
    </row>
    <row r="352" spans="1:6" ht="15.75">
      <c r="A352" s="887" t="s">
        <v>1788</v>
      </c>
      <c r="B352" s="888" t="s">
        <v>1168</v>
      </c>
      <c r="C352" s="889" t="s">
        <v>1237</v>
      </c>
      <c r="D352" s="890">
        <v>49800797</v>
      </c>
      <c r="E352" s="891">
        <v>0</v>
      </c>
      <c r="F352" s="1037">
        <f t="shared" si="5"/>
        <v>2808355298.5399885</v>
      </c>
    </row>
    <row r="353" spans="1:6" ht="15.75">
      <c r="A353" s="887" t="s">
        <v>1788</v>
      </c>
      <c r="B353" s="888" t="s">
        <v>1168</v>
      </c>
      <c r="C353" s="889" t="s">
        <v>1225</v>
      </c>
      <c r="D353" s="890">
        <v>34860558</v>
      </c>
      <c r="E353" s="891">
        <v>0</v>
      </c>
      <c r="F353" s="1037">
        <f t="shared" si="5"/>
        <v>2773494740.5399885</v>
      </c>
    </row>
    <row r="354" spans="1:6" ht="15.75">
      <c r="A354" s="887" t="s">
        <v>1788</v>
      </c>
      <c r="B354" s="888" t="s">
        <v>1168</v>
      </c>
      <c r="C354" s="889" t="s">
        <v>1224</v>
      </c>
      <c r="D354" s="890">
        <v>19920319</v>
      </c>
      <c r="E354" s="891">
        <v>0</v>
      </c>
      <c r="F354" s="1037">
        <f t="shared" si="5"/>
        <v>2753574421.5399885</v>
      </c>
    </row>
    <row r="355" spans="1:6" ht="15.75">
      <c r="A355" s="887" t="s">
        <v>1788</v>
      </c>
      <c r="B355" s="888" t="s">
        <v>1168</v>
      </c>
      <c r="C355" s="889" t="s">
        <v>1202</v>
      </c>
      <c r="D355" s="890">
        <v>19920319</v>
      </c>
      <c r="E355" s="891">
        <v>0</v>
      </c>
      <c r="F355" s="1037">
        <f t="shared" si="5"/>
        <v>2733654102.5399885</v>
      </c>
    </row>
    <row r="356" spans="1:6" ht="15.75">
      <c r="A356" s="887" t="s">
        <v>1788</v>
      </c>
      <c r="B356" s="888" t="s">
        <v>1168</v>
      </c>
      <c r="C356" s="889" t="s">
        <v>1234</v>
      </c>
      <c r="D356" s="890">
        <v>29880478</v>
      </c>
      <c r="E356" s="891">
        <v>0</v>
      </c>
      <c r="F356" s="1037">
        <f t="shared" si="5"/>
        <v>2703773624.5399885</v>
      </c>
    </row>
    <row r="357" spans="1:6" ht="15.75">
      <c r="A357" s="887" t="s">
        <v>1788</v>
      </c>
      <c r="B357" s="888" t="s">
        <v>1168</v>
      </c>
      <c r="C357" s="889" t="s">
        <v>1223</v>
      </c>
      <c r="D357" s="890">
        <v>29880478</v>
      </c>
      <c r="E357" s="891">
        <v>0</v>
      </c>
      <c r="F357" s="1037">
        <f t="shared" si="5"/>
        <v>2673893146.5399885</v>
      </c>
    </row>
    <row r="358" spans="1:6" ht="15.75">
      <c r="A358" s="887" t="s">
        <v>1788</v>
      </c>
      <c r="B358" s="888" t="s">
        <v>1168</v>
      </c>
      <c r="C358" s="889" t="s">
        <v>1222</v>
      </c>
      <c r="D358" s="890">
        <v>49800797</v>
      </c>
      <c r="E358" s="891">
        <v>0</v>
      </c>
      <c r="F358" s="1037">
        <f t="shared" si="5"/>
        <v>2624092349.5399885</v>
      </c>
    </row>
    <row r="359" spans="1:6" ht="15.75">
      <c r="A359" s="887" t="s">
        <v>1788</v>
      </c>
      <c r="B359" s="888" t="s">
        <v>1168</v>
      </c>
      <c r="C359" s="889" t="s">
        <v>1221</v>
      </c>
      <c r="D359" s="890">
        <v>24900398</v>
      </c>
      <c r="E359" s="891">
        <v>0</v>
      </c>
      <c r="F359" s="1037">
        <f t="shared" si="5"/>
        <v>2599191951.5399885</v>
      </c>
    </row>
    <row r="360" spans="1:6" ht="15.75">
      <c r="A360" s="887" t="s">
        <v>1788</v>
      </c>
      <c r="B360" s="888" t="s">
        <v>1168</v>
      </c>
      <c r="C360" s="889" t="s">
        <v>1220</v>
      </c>
      <c r="D360" s="890">
        <v>19920319</v>
      </c>
      <c r="E360" s="891">
        <v>0</v>
      </c>
      <c r="F360" s="1037">
        <f t="shared" si="5"/>
        <v>2579271632.5399885</v>
      </c>
    </row>
    <row r="361" spans="1:6" ht="15.75">
      <c r="A361" s="887" t="s">
        <v>1788</v>
      </c>
      <c r="B361" s="888" t="s">
        <v>1168</v>
      </c>
      <c r="C361" s="889" t="s">
        <v>1219</v>
      </c>
      <c r="D361" s="890">
        <v>24900398</v>
      </c>
      <c r="E361" s="891">
        <v>0</v>
      </c>
      <c r="F361" s="1037">
        <f t="shared" si="5"/>
        <v>2554371234.5399885</v>
      </c>
    </row>
    <row r="362" spans="1:6" ht="15.75">
      <c r="A362" s="887" t="s">
        <v>1788</v>
      </c>
      <c r="B362" s="888" t="s">
        <v>1168</v>
      </c>
      <c r="C362" s="889" t="s">
        <v>1235</v>
      </c>
      <c r="D362" s="890">
        <v>19920319</v>
      </c>
      <c r="E362" s="891">
        <v>0</v>
      </c>
      <c r="F362" s="1037">
        <f t="shared" si="5"/>
        <v>2534450915.5399885</v>
      </c>
    </row>
    <row r="363" spans="1:6" ht="15.75">
      <c r="A363" s="887" t="s">
        <v>1788</v>
      </c>
      <c r="B363" s="888" t="s">
        <v>1168</v>
      </c>
      <c r="C363" s="889" t="s">
        <v>1201</v>
      </c>
      <c r="D363" s="890">
        <v>19920319</v>
      </c>
      <c r="E363" s="891">
        <v>0</v>
      </c>
      <c r="F363" s="1037">
        <f t="shared" si="5"/>
        <v>2514530596.5399885</v>
      </c>
    </row>
    <row r="364" spans="1:6" ht="15.75">
      <c r="A364" s="887" t="s">
        <v>1788</v>
      </c>
      <c r="B364" s="888" t="s">
        <v>1168</v>
      </c>
      <c r="C364" s="889" t="s">
        <v>1218</v>
      </c>
      <c r="D364" s="890">
        <v>19920319</v>
      </c>
      <c r="E364" s="891">
        <v>0</v>
      </c>
      <c r="F364" s="1037">
        <f t="shared" si="5"/>
        <v>2494610277.5399885</v>
      </c>
    </row>
    <row r="365" spans="1:6" ht="15.75">
      <c r="A365" s="887" t="s">
        <v>1788</v>
      </c>
      <c r="B365" s="888" t="s">
        <v>1168</v>
      </c>
      <c r="C365" s="889" t="s">
        <v>1217</v>
      </c>
      <c r="D365" s="890">
        <v>19920319</v>
      </c>
      <c r="E365" s="891">
        <v>0</v>
      </c>
      <c r="F365" s="1037">
        <f t="shared" si="5"/>
        <v>2474689958.5399885</v>
      </c>
    </row>
    <row r="366" spans="1:6" ht="15.75">
      <c r="A366" s="887" t="s">
        <v>1788</v>
      </c>
      <c r="B366" s="888" t="s">
        <v>1168</v>
      </c>
      <c r="C366" s="889" t="s">
        <v>1216</v>
      </c>
      <c r="D366" s="890">
        <v>19920319</v>
      </c>
      <c r="E366" s="891">
        <v>0</v>
      </c>
      <c r="F366" s="1037">
        <f t="shared" si="5"/>
        <v>2454769639.5399885</v>
      </c>
    </row>
    <row r="367" spans="1:6" ht="15.75">
      <c r="A367" s="887" t="s">
        <v>1788</v>
      </c>
      <c r="B367" s="888" t="s">
        <v>1168</v>
      </c>
      <c r="C367" s="889" t="s">
        <v>1215</v>
      </c>
      <c r="D367" s="890">
        <v>19920319</v>
      </c>
      <c r="E367" s="891">
        <v>0</v>
      </c>
      <c r="F367" s="1037">
        <f t="shared" si="5"/>
        <v>2434849320.5399885</v>
      </c>
    </row>
    <row r="368" spans="1:6" ht="15.75">
      <c r="A368" s="887" t="s">
        <v>1788</v>
      </c>
      <c r="B368" s="888" t="s">
        <v>1168</v>
      </c>
      <c r="C368" s="889" t="s">
        <v>1214</v>
      </c>
      <c r="D368" s="890">
        <v>24900398</v>
      </c>
      <c r="E368" s="891">
        <v>0</v>
      </c>
      <c r="F368" s="1037">
        <f t="shared" si="5"/>
        <v>2409948922.5399885</v>
      </c>
    </row>
    <row r="369" spans="1:6" ht="15.75">
      <c r="A369" s="887" t="s">
        <v>1788</v>
      </c>
      <c r="B369" s="888" t="s">
        <v>1168</v>
      </c>
      <c r="C369" s="889" t="s">
        <v>1213</v>
      </c>
      <c r="D369" s="890">
        <v>24900398</v>
      </c>
      <c r="E369" s="891">
        <v>0</v>
      </c>
      <c r="F369" s="1037">
        <f t="shared" si="5"/>
        <v>2385048524.5399885</v>
      </c>
    </row>
    <row r="370" spans="1:6" ht="15.75">
      <c r="A370" s="887" t="s">
        <v>1788</v>
      </c>
      <c r="B370" s="888" t="s">
        <v>1168</v>
      </c>
      <c r="C370" s="889" t="s">
        <v>1212</v>
      </c>
      <c r="D370" s="890">
        <v>24900398</v>
      </c>
      <c r="E370" s="891">
        <v>0</v>
      </c>
      <c r="F370" s="1037">
        <f t="shared" si="5"/>
        <v>2360148126.5399885</v>
      </c>
    </row>
    <row r="371" spans="1:6" ht="15.75">
      <c r="A371" s="887" t="s">
        <v>1788</v>
      </c>
      <c r="B371" s="888" t="s">
        <v>1168</v>
      </c>
      <c r="C371" s="889" t="s">
        <v>1211</v>
      </c>
      <c r="D371" s="890">
        <v>24900398</v>
      </c>
      <c r="E371" s="891">
        <v>0</v>
      </c>
      <c r="F371" s="1037">
        <f t="shared" si="5"/>
        <v>2335247728.5399885</v>
      </c>
    </row>
    <row r="372" spans="1:6" ht="15.75">
      <c r="A372" s="887" t="s">
        <v>1788</v>
      </c>
      <c r="B372" s="888" t="s">
        <v>1168</v>
      </c>
      <c r="C372" s="889" t="s">
        <v>1210</v>
      </c>
      <c r="D372" s="890">
        <v>19920319</v>
      </c>
      <c r="E372" s="891">
        <v>0</v>
      </c>
      <c r="F372" s="1037">
        <f t="shared" si="5"/>
        <v>2315327409.5399885</v>
      </c>
    </row>
    <row r="373" spans="1:6" ht="15.75">
      <c r="A373" s="887" t="s">
        <v>1788</v>
      </c>
      <c r="B373" s="888" t="s">
        <v>1168</v>
      </c>
      <c r="C373" s="889" t="s">
        <v>1236</v>
      </c>
      <c r="D373" s="890">
        <v>24900398</v>
      </c>
      <c r="E373" s="891">
        <v>0</v>
      </c>
      <c r="F373" s="1037">
        <f t="shared" si="5"/>
        <v>2290427011.5399885</v>
      </c>
    </row>
    <row r="374" spans="1:6" ht="15.75">
      <c r="A374" s="887" t="s">
        <v>1788</v>
      </c>
      <c r="B374" s="888" t="s">
        <v>1168</v>
      </c>
      <c r="C374" s="889" t="s">
        <v>1209</v>
      </c>
      <c r="D374" s="890">
        <v>24900398</v>
      </c>
      <c r="E374" s="891">
        <v>0</v>
      </c>
      <c r="F374" s="1037">
        <f t="shared" si="5"/>
        <v>2265526613.5399885</v>
      </c>
    </row>
    <row r="375" spans="1:6" ht="15.75">
      <c r="A375" s="887" t="s">
        <v>1788</v>
      </c>
      <c r="B375" s="888" t="s">
        <v>1168</v>
      </c>
      <c r="C375" s="889" t="s">
        <v>1208</v>
      </c>
      <c r="D375" s="890">
        <v>19920319</v>
      </c>
      <c r="E375" s="891">
        <v>0</v>
      </c>
      <c r="F375" s="1037">
        <f t="shared" si="5"/>
        <v>2245606294.5399885</v>
      </c>
    </row>
    <row r="376" spans="1:6" ht="15.75">
      <c r="A376" s="887" t="s">
        <v>1788</v>
      </c>
      <c r="B376" s="888" t="s">
        <v>1168</v>
      </c>
      <c r="C376" s="889" t="s">
        <v>1207</v>
      </c>
      <c r="D376" s="890">
        <v>24900398</v>
      </c>
      <c r="E376" s="891">
        <v>0</v>
      </c>
      <c r="F376" s="1037">
        <f t="shared" si="5"/>
        <v>2220705896.5399885</v>
      </c>
    </row>
    <row r="377" spans="1:6" ht="15.75">
      <c r="A377" s="887" t="s">
        <v>1788</v>
      </c>
      <c r="B377" s="888" t="s">
        <v>1168</v>
      </c>
      <c r="C377" s="889" t="s">
        <v>1203</v>
      </c>
      <c r="D377" s="890">
        <v>19920319</v>
      </c>
      <c r="E377" s="891">
        <v>0</v>
      </c>
      <c r="F377" s="1037">
        <f t="shared" si="5"/>
        <v>2200785577.5399885</v>
      </c>
    </row>
    <row r="378" spans="1:6" ht="15.75">
      <c r="A378" s="887" t="s">
        <v>1788</v>
      </c>
      <c r="B378" s="888" t="s">
        <v>1168</v>
      </c>
      <c r="C378" s="889" t="s">
        <v>1206</v>
      </c>
      <c r="D378" s="890">
        <v>24900398</v>
      </c>
      <c r="E378" s="891">
        <v>0</v>
      </c>
      <c r="F378" s="1037">
        <f t="shared" si="5"/>
        <v>2175885179.5399885</v>
      </c>
    </row>
    <row r="379" spans="1:6" ht="15.75">
      <c r="A379" s="887" t="s">
        <v>1788</v>
      </c>
      <c r="B379" s="888" t="s">
        <v>1168</v>
      </c>
      <c r="C379" s="889" t="s">
        <v>1205</v>
      </c>
      <c r="D379" s="890">
        <v>24900398</v>
      </c>
      <c r="E379" s="891">
        <v>0</v>
      </c>
      <c r="F379" s="1037">
        <f t="shared" si="5"/>
        <v>2150984781.5399885</v>
      </c>
    </row>
    <row r="380" spans="1:6" ht="15.75">
      <c r="A380" s="887" t="s">
        <v>1788</v>
      </c>
      <c r="B380" s="888" t="s">
        <v>1168</v>
      </c>
      <c r="C380" s="889" t="s">
        <v>1204</v>
      </c>
      <c r="D380" s="890">
        <v>19920319</v>
      </c>
      <c r="E380" s="891">
        <v>0</v>
      </c>
      <c r="F380" s="1037">
        <f t="shared" si="5"/>
        <v>2131064462.5399885</v>
      </c>
    </row>
    <row r="381" spans="1:6" ht="15.75">
      <c r="A381" s="887" t="s">
        <v>1788</v>
      </c>
      <c r="B381" s="888" t="s">
        <v>740</v>
      </c>
      <c r="C381" s="889"/>
      <c r="D381" s="890">
        <v>0</v>
      </c>
      <c r="E381" s="891">
        <v>25812.31</v>
      </c>
      <c r="F381" s="1037">
        <f t="shared" si="5"/>
        <v>2131090274.8499885</v>
      </c>
    </row>
    <row r="382" spans="1:6" ht="15.75">
      <c r="A382" s="887" t="s">
        <v>1788</v>
      </c>
      <c r="B382" s="888" t="s">
        <v>701</v>
      </c>
      <c r="C382" s="889"/>
      <c r="D382" s="890">
        <v>1807</v>
      </c>
      <c r="E382" s="891">
        <v>0</v>
      </c>
      <c r="F382" s="1037">
        <f t="shared" si="5"/>
        <v>2131088467.8499885</v>
      </c>
    </row>
    <row r="383" spans="1:6" ht="15.75">
      <c r="A383" s="887" t="s">
        <v>1788</v>
      </c>
      <c r="B383" s="888" t="s">
        <v>20</v>
      </c>
      <c r="C383" s="889">
        <v>0</v>
      </c>
      <c r="D383" s="890">
        <v>10318732.460000001</v>
      </c>
      <c r="E383" s="891">
        <v>0</v>
      </c>
      <c r="F383" s="1037">
        <f t="shared" si="5"/>
        <v>2120769735.3899884</v>
      </c>
    </row>
    <row r="384" spans="1:6" ht="15.75">
      <c r="A384" s="887" t="s">
        <v>1789</v>
      </c>
      <c r="B384" s="888" t="s">
        <v>1167</v>
      </c>
      <c r="C384" s="889" t="s">
        <v>1190</v>
      </c>
      <c r="D384" s="890">
        <v>24900398</v>
      </c>
      <c r="E384" s="891">
        <v>0</v>
      </c>
      <c r="F384" s="1037">
        <f t="shared" si="5"/>
        <v>2095869337.3899884</v>
      </c>
    </row>
    <row r="385" spans="1:6" ht="15.75">
      <c r="A385" s="887" t="s">
        <v>1789</v>
      </c>
      <c r="B385" s="888" t="s">
        <v>1168</v>
      </c>
      <c r="C385" s="889" t="s">
        <v>1197</v>
      </c>
      <c r="D385" s="890">
        <v>19920319</v>
      </c>
      <c r="E385" s="891">
        <v>0</v>
      </c>
      <c r="F385" s="1037">
        <f t="shared" si="5"/>
        <v>2075949018.3899884</v>
      </c>
    </row>
    <row r="386" spans="1:6" ht="15.75">
      <c r="A386" s="887" t="s">
        <v>1789</v>
      </c>
      <c r="B386" s="888" t="s">
        <v>1168</v>
      </c>
      <c r="C386" s="889" t="s">
        <v>1196</v>
      </c>
      <c r="D386" s="890">
        <v>19920319</v>
      </c>
      <c r="E386" s="891">
        <v>0</v>
      </c>
      <c r="F386" s="1037">
        <f t="shared" si="5"/>
        <v>2056028699.3899884</v>
      </c>
    </row>
    <row r="387" spans="1:6" ht="15.75">
      <c r="A387" s="887" t="s">
        <v>1789</v>
      </c>
      <c r="B387" s="888" t="s">
        <v>1168</v>
      </c>
      <c r="C387" s="889" t="s">
        <v>1194</v>
      </c>
      <c r="D387" s="890">
        <v>24900398</v>
      </c>
      <c r="E387" s="891">
        <v>0</v>
      </c>
      <c r="F387" s="1037">
        <f t="shared" si="5"/>
        <v>2031128301.3899884</v>
      </c>
    </row>
    <row r="388" spans="1:6" ht="15.75">
      <c r="A388" s="887" t="s">
        <v>1789</v>
      </c>
      <c r="B388" s="888" t="s">
        <v>1168</v>
      </c>
      <c r="C388" s="889" t="s">
        <v>1192</v>
      </c>
      <c r="D388" s="890">
        <v>49800797</v>
      </c>
      <c r="E388" s="891">
        <v>0</v>
      </c>
      <c r="F388" s="1037">
        <f t="shared" si="5"/>
        <v>1981327504.3899884</v>
      </c>
    </row>
    <row r="389" spans="1:6" ht="15.75">
      <c r="A389" s="887" t="s">
        <v>1789</v>
      </c>
      <c r="B389" s="888" t="s">
        <v>1168</v>
      </c>
      <c r="C389" s="889" t="s">
        <v>1199</v>
      </c>
      <c r="D389" s="890">
        <v>24900398</v>
      </c>
      <c r="E389" s="891">
        <v>0</v>
      </c>
      <c r="F389" s="1037">
        <f t="shared" si="5"/>
        <v>1956427106.3899884</v>
      </c>
    </row>
    <row r="390" spans="1:6" ht="15.75">
      <c r="A390" s="887" t="s">
        <v>1789</v>
      </c>
      <c r="B390" s="888" t="s">
        <v>1168</v>
      </c>
      <c r="C390" s="889" t="s">
        <v>1195</v>
      </c>
      <c r="D390" s="890">
        <v>24900398</v>
      </c>
      <c r="E390" s="891">
        <v>0</v>
      </c>
      <c r="F390" s="1037">
        <f t="shared" si="5"/>
        <v>1931526708.3899884</v>
      </c>
    </row>
    <row r="391" spans="1:6" ht="15.75">
      <c r="A391" s="887" t="s">
        <v>1789</v>
      </c>
      <c r="B391" s="888" t="s">
        <v>1168</v>
      </c>
      <c r="C391" s="889" t="s">
        <v>1193</v>
      </c>
      <c r="D391" s="890">
        <v>24900398</v>
      </c>
      <c r="E391" s="891">
        <v>0</v>
      </c>
      <c r="F391" s="1037">
        <f t="shared" si="5"/>
        <v>1906626310.3899884</v>
      </c>
    </row>
    <row r="392" spans="1:6" ht="15.75">
      <c r="A392" s="887" t="s">
        <v>1789</v>
      </c>
      <c r="B392" s="888" t="s">
        <v>1168</v>
      </c>
      <c r="C392" s="889" t="s">
        <v>1191</v>
      </c>
      <c r="D392" s="890">
        <v>24900398</v>
      </c>
      <c r="E392" s="891">
        <v>0</v>
      </c>
      <c r="F392" s="1037">
        <f t="shared" si="5"/>
        <v>1881725912.3899884</v>
      </c>
    </row>
    <row r="393" spans="1:6" ht="15.75">
      <c r="A393" s="887" t="s">
        <v>1789</v>
      </c>
      <c r="B393" s="888" t="s">
        <v>1168</v>
      </c>
      <c r="C393" s="889" t="s">
        <v>1198</v>
      </c>
      <c r="D393" s="890">
        <v>24900398</v>
      </c>
      <c r="E393" s="891">
        <v>0</v>
      </c>
      <c r="F393" s="1037">
        <f t="shared" si="5"/>
        <v>1856825514.3899884</v>
      </c>
    </row>
    <row r="394" spans="1:6" ht="15.75">
      <c r="A394" s="887" t="s">
        <v>1789</v>
      </c>
      <c r="B394" s="888" t="s">
        <v>1166</v>
      </c>
      <c r="C394" s="889" t="s">
        <v>1170</v>
      </c>
      <c r="D394" s="890">
        <v>0</v>
      </c>
      <c r="E394" s="891">
        <v>19920319</v>
      </c>
      <c r="F394" s="1037">
        <f t="shared" si="5"/>
        <v>1876745833.3899884</v>
      </c>
    </row>
    <row r="395" spans="1:6" ht="15.75">
      <c r="A395" s="887" t="s">
        <v>1789</v>
      </c>
      <c r="B395" s="888" t="s">
        <v>1168</v>
      </c>
      <c r="C395" s="889" t="s">
        <v>1175</v>
      </c>
      <c r="D395" s="890">
        <v>49800797</v>
      </c>
      <c r="E395" s="891">
        <v>0</v>
      </c>
      <c r="F395" s="1037">
        <f t="shared" si="5"/>
        <v>1826945036.3899884</v>
      </c>
    </row>
    <row r="396" spans="1:6" ht="15.75">
      <c r="A396" s="887" t="s">
        <v>1789</v>
      </c>
      <c r="B396" s="888" t="s">
        <v>1168</v>
      </c>
      <c r="C396" s="889" t="s">
        <v>1188</v>
      </c>
      <c r="D396" s="890">
        <v>19920319</v>
      </c>
      <c r="E396" s="891">
        <v>0</v>
      </c>
      <c r="F396" s="1037">
        <f t="shared" si="5"/>
        <v>1807024717.3899884</v>
      </c>
    </row>
    <row r="397" spans="1:6" ht="15.75">
      <c r="A397" s="887" t="s">
        <v>1789</v>
      </c>
      <c r="B397" s="888" t="s">
        <v>1168</v>
      </c>
      <c r="C397" s="889" t="s">
        <v>1187</v>
      </c>
      <c r="D397" s="890">
        <v>49800797</v>
      </c>
      <c r="E397" s="891">
        <v>0</v>
      </c>
      <c r="F397" s="1037">
        <f t="shared" si="5"/>
        <v>1757223920.3899884</v>
      </c>
    </row>
    <row r="398" spans="1:6" ht="15.75">
      <c r="A398" s="887" t="s">
        <v>1789</v>
      </c>
      <c r="B398" s="888" t="s">
        <v>1168</v>
      </c>
      <c r="C398" s="889" t="s">
        <v>1186</v>
      </c>
      <c r="D398" s="890">
        <v>19920319</v>
      </c>
      <c r="E398" s="891">
        <v>0</v>
      </c>
      <c r="F398" s="1037">
        <f t="shared" si="5"/>
        <v>1737303601.3899884</v>
      </c>
    </row>
    <row r="399" spans="1:6" ht="15.75">
      <c r="A399" s="887" t="s">
        <v>1789</v>
      </c>
      <c r="B399" s="888" t="s">
        <v>1168</v>
      </c>
      <c r="C399" s="889" t="s">
        <v>1189</v>
      </c>
      <c r="D399" s="890">
        <v>24900398</v>
      </c>
      <c r="E399" s="891">
        <v>0</v>
      </c>
      <c r="F399" s="1037">
        <f t="shared" si="5"/>
        <v>1712403203.3899884</v>
      </c>
    </row>
    <row r="400" spans="1:6" ht="15.75">
      <c r="A400" s="887" t="s">
        <v>1789</v>
      </c>
      <c r="B400" s="888" t="s">
        <v>1168</v>
      </c>
      <c r="C400" s="889" t="s">
        <v>1174</v>
      </c>
      <c r="D400" s="890">
        <v>19920319</v>
      </c>
      <c r="E400" s="891">
        <v>0</v>
      </c>
      <c r="F400" s="1037">
        <f t="shared" ref="F400:F449" si="6">+F399-D400+E400</f>
        <v>1692482884.3899884</v>
      </c>
    </row>
    <row r="401" spans="1:6" ht="15.75">
      <c r="A401" s="887" t="s">
        <v>1789</v>
      </c>
      <c r="B401" s="888" t="s">
        <v>1168</v>
      </c>
      <c r="C401" s="889" t="s">
        <v>1185</v>
      </c>
      <c r="D401" s="890">
        <v>49800797</v>
      </c>
      <c r="E401" s="891">
        <v>0</v>
      </c>
      <c r="F401" s="1037">
        <f t="shared" si="6"/>
        <v>1642682087.3899884</v>
      </c>
    </row>
    <row r="402" spans="1:6" ht="15.75">
      <c r="A402" s="887" t="s">
        <v>1789</v>
      </c>
      <c r="B402" s="888" t="s">
        <v>1168</v>
      </c>
      <c r="C402" s="889" t="s">
        <v>1173</v>
      </c>
      <c r="D402" s="890">
        <v>49800797</v>
      </c>
      <c r="E402" s="891">
        <v>0</v>
      </c>
      <c r="F402" s="1037">
        <f t="shared" si="6"/>
        <v>1592881290.3899884</v>
      </c>
    </row>
    <row r="403" spans="1:6" ht="15.75">
      <c r="A403" s="887" t="s">
        <v>1789</v>
      </c>
      <c r="B403" s="888" t="s">
        <v>1168</v>
      </c>
      <c r="C403" s="889" t="s">
        <v>1184</v>
      </c>
      <c r="D403" s="890">
        <v>19920319</v>
      </c>
      <c r="E403" s="891">
        <v>0</v>
      </c>
      <c r="F403" s="1037">
        <f t="shared" si="6"/>
        <v>1572960971.3899884</v>
      </c>
    </row>
    <row r="404" spans="1:6" ht="15.75">
      <c r="A404" s="887" t="s">
        <v>1789</v>
      </c>
      <c r="B404" s="888" t="s">
        <v>1168</v>
      </c>
      <c r="C404" s="889" t="s">
        <v>1183</v>
      </c>
      <c r="D404" s="890">
        <v>24900398</v>
      </c>
      <c r="E404" s="891">
        <v>0</v>
      </c>
      <c r="F404" s="1037">
        <f t="shared" si="6"/>
        <v>1548060573.3899884</v>
      </c>
    </row>
    <row r="405" spans="1:6" ht="15.75">
      <c r="A405" s="887" t="s">
        <v>1789</v>
      </c>
      <c r="B405" s="888" t="s">
        <v>1168</v>
      </c>
      <c r="C405" s="889" t="s">
        <v>1182</v>
      </c>
      <c r="D405" s="890">
        <v>24900398</v>
      </c>
      <c r="E405" s="891">
        <v>0</v>
      </c>
      <c r="F405" s="1037">
        <f t="shared" si="6"/>
        <v>1523160175.3899884</v>
      </c>
    </row>
    <row r="406" spans="1:6" ht="15.75">
      <c r="A406" s="887" t="s">
        <v>1789</v>
      </c>
      <c r="B406" s="888" t="s">
        <v>1168</v>
      </c>
      <c r="C406" s="889" t="s">
        <v>1181</v>
      </c>
      <c r="D406" s="890">
        <v>49800797</v>
      </c>
      <c r="E406" s="891">
        <v>0</v>
      </c>
      <c r="F406" s="1037">
        <f t="shared" si="6"/>
        <v>1473359378.3899884</v>
      </c>
    </row>
    <row r="407" spans="1:6" ht="15.75">
      <c r="A407" s="887" t="s">
        <v>1789</v>
      </c>
      <c r="B407" s="888" t="s">
        <v>1167</v>
      </c>
      <c r="C407" s="889" t="s">
        <v>1171</v>
      </c>
      <c r="D407" s="890">
        <v>29880478</v>
      </c>
      <c r="E407" s="891">
        <v>0</v>
      </c>
      <c r="F407" s="1037">
        <f t="shared" si="6"/>
        <v>1443478900.3899884</v>
      </c>
    </row>
    <row r="408" spans="1:6" ht="15.75">
      <c r="A408" s="887" t="s">
        <v>1789</v>
      </c>
      <c r="B408" s="888" t="s">
        <v>1168</v>
      </c>
      <c r="C408" s="889" t="s">
        <v>1180</v>
      </c>
      <c r="D408" s="890">
        <v>24900398</v>
      </c>
      <c r="E408" s="891">
        <v>0</v>
      </c>
      <c r="F408" s="1037">
        <f t="shared" si="6"/>
        <v>1418578502.3899884</v>
      </c>
    </row>
    <row r="409" spans="1:6" ht="15.75">
      <c r="A409" s="887" t="s">
        <v>1789</v>
      </c>
      <c r="B409" s="888" t="s">
        <v>1168</v>
      </c>
      <c r="C409" s="889" t="s">
        <v>1172</v>
      </c>
      <c r="D409" s="890">
        <v>49800797</v>
      </c>
      <c r="E409" s="891">
        <v>0</v>
      </c>
      <c r="F409" s="1037">
        <f t="shared" si="6"/>
        <v>1368777705.3899884</v>
      </c>
    </row>
    <row r="410" spans="1:6" ht="15.75">
      <c r="A410" s="887" t="s">
        <v>1789</v>
      </c>
      <c r="B410" s="888" t="s">
        <v>1168</v>
      </c>
      <c r="C410" s="889" t="s">
        <v>1179</v>
      </c>
      <c r="D410" s="890">
        <v>19920319</v>
      </c>
      <c r="E410" s="891">
        <v>0</v>
      </c>
      <c r="F410" s="1037">
        <f t="shared" si="6"/>
        <v>1348857386.3899884</v>
      </c>
    </row>
    <row r="411" spans="1:6" ht="15.75">
      <c r="A411" s="887" t="s">
        <v>1789</v>
      </c>
      <c r="B411" s="888" t="s">
        <v>1168</v>
      </c>
      <c r="C411" s="889" t="s">
        <v>1178</v>
      </c>
      <c r="D411" s="890">
        <v>49800797</v>
      </c>
      <c r="E411" s="891">
        <v>0</v>
      </c>
      <c r="F411" s="1037">
        <f t="shared" si="6"/>
        <v>1299056589.3899884</v>
      </c>
    </row>
    <row r="412" spans="1:6" ht="15.75">
      <c r="A412" s="887" t="s">
        <v>1789</v>
      </c>
      <c r="B412" s="888" t="s">
        <v>1168</v>
      </c>
      <c r="C412" s="889" t="s">
        <v>1177</v>
      </c>
      <c r="D412" s="890">
        <v>29880478</v>
      </c>
      <c r="E412" s="891">
        <v>0</v>
      </c>
      <c r="F412" s="1037">
        <f t="shared" si="6"/>
        <v>1269176111.3899884</v>
      </c>
    </row>
    <row r="413" spans="1:6" ht="15.75">
      <c r="A413" s="887" t="s">
        <v>1789</v>
      </c>
      <c r="B413" s="888" t="s">
        <v>1168</v>
      </c>
      <c r="C413" s="889" t="s">
        <v>1176</v>
      </c>
      <c r="D413" s="890">
        <v>19920319</v>
      </c>
      <c r="E413" s="891">
        <v>0</v>
      </c>
      <c r="F413" s="1037">
        <f t="shared" si="6"/>
        <v>1249255792.3899884</v>
      </c>
    </row>
    <row r="414" spans="1:6" ht="15.75">
      <c r="A414" s="887" t="s">
        <v>1789</v>
      </c>
      <c r="B414" s="888" t="s">
        <v>740</v>
      </c>
      <c r="C414" s="889"/>
      <c r="D414" s="890">
        <v>0</v>
      </c>
      <c r="E414" s="891">
        <v>11620.66</v>
      </c>
      <c r="F414" s="1037">
        <f t="shared" si="6"/>
        <v>1249267413.0499885</v>
      </c>
    </row>
    <row r="415" spans="1:6" ht="15.75">
      <c r="A415" s="887" t="s">
        <v>1789</v>
      </c>
      <c r="B415" s="888" t="s">
        <v>701</v>
      </c>
      <c r="C415" s="889"/>
      <c r="D415" s="890">
        <v>813</v>
      </c>
      <c r="E415" s="891">
        <v>0</v>
      </c>
      <c r="F415" s="1037">
        <f t="shared" si="6"/>
        <v>1249266600.0499885</v>
      </c>
    </row>
    <row r="416" spans="1:6" ht="15.75">
      <c r="A416" s="887" t="s">
        <v>1789</v>
      </c>
      <c r="B416" s="888" t="s">
        <v>1169</v>
      </c>
      <c r="C416" s="889">
        <v>0</v>
      </c>
      <c r="D416" s="890">
        <v>0</v>
      </c>
      <c r="E416" s="891">
        <v>79681.279999999999</v>
      </c>
      <c r="F416" s="1037">
        <f t="shared" si="6"/>
        <v>1249346281.3299885</v>
      </c>
    </row>
    <row r="417" spans="1:6" ht="15.75">
      <c r="A417" s="887" t="s">
        <v>1789</v>
      </c>
      <c r="B417" s="888" t="s">
        <v>20</v>
      </c>
      <c r="C417" s="889">
        <v>0</v>
      </c>
      <c r="D417" s="890">
        <v>3565740.32</v>
      </c>
      <c r="E417" s="891">
        <v>0</v>
      </c>
      <c r="F417" s="1037">
        <f t="shared" si="6"/>
        <v>1245780541.0099885</v>
      </c>
    </row>
    <row r="418" spans="1:6" ht="15.75">
      <c r="A418" s="887" t="s">
        <v>1790</v>
      </c>
      <c r="B418" s="888" t="s">
        <v>740</v>
      </c>
      <c r="C418" s="889"/>
      <c r="D418" s="890">
        <v>0</v>
      </c>
      <c r="E418" s="891">
        <v>6826.19</v>
      </c>
      <c r="F418" s="1037">
        <f t="shared" si="6"/>
        <v>1245787367.1999886</v>
      </c>
    </row>
    <row r="419" spans="1:6" ht="15.75">
      <c r="A419" s="887" t="s">
        <v>1790</v>
      </c>
      <c r="B419" s="888" t="s">
        <v>701</v>
      </c>
      <c r="C419" s="889"/>
      <c r="D419" s="890">
        <v>478</v>
      </c>
      <c r="E419" s="891">
        <v>0</v>
      </c>
      <c r="F419" s="1037">
        <f t="shared" si="6"/>
        <v>1245786889.1999886</v>
      </c>
    </row>
    <row r="420" spans="1:6" ht="15.75">
      <c r="A420" s="887" t="s">
        <v>1790</v>
      </c>
      <c r="B420" s="888" t="s">
        <v>740</v>
      </c>
      <c r="C420" s="889"/>
      <c r="D420" s="890">
        <v>0</v>
      </c>
      <c r="E420" s="891">
        <v>6826.23</v>
      </c>
      <c r="F420" s="1037">
        <f t="shared" si="6"/>
        <v>1245793715.4299886</v>
      </c>
    </row>
    <row r="421" spans="1:6" ht="15.75">
      <c r="A421" s="887" t="s">
        <v>1790</v>
      </c>
      <c r="B421" s="888" t="s">
        <v>701</v>
      </c>
      <c r="C421" s="889"/>
      <c r="D421" s="890">
        <v>478</v>
      </c>
      <c r="E421" s="891">
        <v>0</v>
      </c>
      <c r="F421" s="1037">
        <f t="shared" si="6"/>
        <v>1245793237.4299886</v>
      </c>
    </row>
    <row r="422" spans="1:6" ht="15.75">
      <c r="A422" s="887" t="s">
        <v>1790</v>
      </c>
      <c r="B422" s="888" t="s">
        <v>740</v>
      </c>
      <c r="C422" s="889"/>
      <c r="D422" s="890">
        <v>0</v>
      </c>
      <c r="E422" s="891">
        <v>6826.26</v>
      </c>
      <c r="F422" s="1037">
        <f t="shared" si="6"/>
        <v>1245800063.6899886</v>
      </c>
    </row>
    <row r="423" spans="1:6" ht="15.75">
      <c r="A423" s="887" t="s">
        <v>1790</v>
      </c>
      <c r="B423" s="888" t="s">
        <v>701</v>
      </c>
      <c r="C423" s="889"/>
      <c r="D423" s="890">
        <v>478</v>
      </c>
      <c r="E423" s="891">
        <v>0</v>
      </c>
      <c r="F423" s="1037">
        <f t="shared" si="6"/>
        <v>1245799585.6899886</v>
      </c>
    </row>
    <row r="424" spans="1:6" ht="15.75">
      <c r="A424" s="887" t="s">
        <v>1790</v>
      </c>
      <c r="B424" s="888" t="s">
        <v>20</v>
      </c>
      <c r="C424" s="889">
        <v>0</v>
      </c>
      <c r="D424" s="890">
        <v>5.73</v>
      </c>
      <c r="E424" s="891">
        <v>0</v>
      </c>
      <c r="F424" s="1037">
        <f t="shared" si="6"/>
        <v>1245799579.9599886</v>
      </c>
    </row>
    <row r="425" spans="1:6" ht="15.75">
      <c r="A425" s="887" t="s">
        <v>1791</v>
      </c>
      <c r="B425" s="888" t="s">
        <v>740</v>
      </c>
      <c r="C425" s="889"/>
      <c r="D425" s="890">
        <v>0</v>
      </c>
      <c r="E425" s="891">
        <v>6826.3</v>
      </c>
      <c r="F425" s="1037">
        <f t="shared" si="6"/>
        <v>1245806406.2599885</v>
      </c>
    </row>
    <row r="426" spans="1:6" ht="15.75">
      <c r="A426" s="887" t="s">
        <v>1791</v>
      </c>
      <c r="B426" s="888" t="s">
        <v>701</v>
      </c>
      <c r="C426" s="889"/>
      <c r="D426" s="890">
        <v>478</v>
      </c>
      <c r="E426" s="891">
        <v>0</v>
      </c>
      <c r="F426" s="1037">
        <f t="shared" si="6"/>
        <v>1245805928.2599885</v>
      </c>
    </row>
    <row r="427" spans="1:6" ht="15.75">
      <c r="A427" s="887" t="s">
        <v>1791</v>
      </c>
      <c r="B427" s="888" t="s">
        <v>20</v>
      </c>
      <c r="C427" s="889">
        <v>0</v>
      </c>
      <c r="D427" s="890">
        <v>1.91</v>
      </c>
      <c r="E427" s="891">
        <v>0</v>
      </c>
      <c r="F427" s="1037">
        <f t="shared" si="6"/>
        <v>1245805926.3499885</v>
      </c>
    </row>
    <row r="428" spans="1:6" ht="15.75">
      <c r="A428" s="887" t="s">
        <v>1792</v>
      </c>
      <c r="B428" s="888" t="s">
        <v>740</v>
      </c>
      <c r="C428" s="889"/>
      <c r="D428" s="890">
        <v>0</v>
      </c>
      <c r="E428" s="891">
        <v>6826.33</v>
      </c>
      <c r="F428" s="1037">
        <f t="shared" si="6"/>
        <v>1245812752.6799884</v>
      </c>
    </row>
    <row r="429" spans="1:6" ht="15.75">
      <c r="A429" s="887" t="s">
        <v>1792</v>
      </c>
      <c r="B429" s="888" t="s">
        <v>701</v>
      </c>
      <c r="C429" s="889"/>
      <c r="D429" s="890">
        <v>478</v>
      </c>
      <c r="E429" s="891">
        <v>0</v>
      </c>
      <c r="F429" s="1037">
        <f t="shared" si="6"/>
        <v>1245812274.6799884</v>
      </c>
    </row>
    <row r="430" spans="1:6" ht="15.75">
      <c r="A430" s="887" t="s">
        <v>1792</v>
      </c>
      <c r="B430" s="888" t="s">
        <v>20</v>
      </c>
      <c r="C430" s="889">
        <v>0</v>
      </c>
      <c r="D430" s="890">
        <v>1.91</v>
      </c>
      <c r="E430" s="891">
        <v>0</v>
      </c>
      <c r="F430" s="1037">
        <f t="shared" si="6"/>
        <v>1245812272.7699883</v>
      </c>
    </row>
    <row r="431" spans="1:6" ht="15.75">
      <c r="A431" s="887" t="s">
        <v>1793</v>
      </c>
      <c r="B431" s="888" t="s">
        <v>740</v>
      </c>
      <c r="C431" s="889"/>
      <c r="D431" s="890">
        <v>0</v>
      </c>
      <c r="E431" s="891">
        <v>6826.37</v>
      </c>
      <c r="F431" s="1037">
        <f t="shared" si="6"/>
        <v>1245819099.1399882</v>
      </c>
    </row>
    <row r="432" spans="1:6" ht="15.75">
      <c r="A432" s="887" t="s">
        <v>1793</v>
      </c>
      <c r="B432" s="888" t="s">
        <v>701</v>
      </c>
      <c r="C432" s="889"/>
      <c r="D432" s="890">
        <v>478</v>
      </c>
      <c r="E432" s="891">
        <v>0</v>
      </c>
      <c r="F432" s="1037">
        <f t="shared" si="6"/>
        <v>1245818621.1399882</v>
      </c>
    </row>
    <row r="433" spans="1:6" ht="15.75">
      <c r="A433" s="887" t="s">
        <v>1793</v>
      </c>
      <c r="B433" s="888" t="s">
        <v>20</v>
      </c>
      <c r="C433" s="889">
        <v>0</v>
      </c>
      <c r="D433" s="890">
        <v>1.91</v>
      </c>
      <c r="E433" s="891">
        <v>0</v>
      </c>
      <c r="F433" s="1037">
        <f t="shared" si="6"/>
        <v>1245818619.2299881</v>
      </c>
    </row>
    <row r="434" spans="1:6" ht="15.75">
      <c r="A434" s="887" t="s">
        <v>1794</v>
      </c>
      <c r="B434" s="888" t="s">
        <v>740</v>
      </c>
      <c r="C434" s="889"/>
      <c r="D434" s="890">
        <v>0</v>
      </c>
      <c r="E434" s="891">
        <v>6826.4</v>
      </c>
      <c r="F434" s="1037">
        <f t="shared" si="6"/>
        <v>1245825445.6299882</v>
      </c>
    </row>
    <row r="435" spans="1:6" ht="15.75">
      <c r="A435" s="887" t="s">
        <v>1794</v>
      </c>
      <c r="B435" s="888" t="s">
        <v>701</v>
      </c>
      <c r="C435" s="889"/>
      <c r="D435" s="890">
        <v>478</v>
      </c>
      <c r="E435" s="891">
        <v>0</v>
      </c>
      <c r="F435" s="1037">
        <f t="shared" si="6"/>
        <v>1245824967.6299882</v>
      </c>
    </row>
    <row r="436" spans="1:6" ht="15.75">
      <c r="A436" s="887" t="s">
        <v>1794</v>
      </c>
      <c r="B436" s="888" t="s">
        <v>20</v>
      </c>
      <c r="C436" s="889">
        <v>0</v>
      </c>
      <c r="D436" s="890">
        <v>1.91</v>
      </c>
      <c r="E436" s="891">
        <v>0</v>
      </c>
      <c r="F436" s="1037">
        <f t="shared" si="6"/>
        <v>1245824965.7199881</v>
      </c>
    </row>
    <row r="437" spans="1:6" ht="15.75">
      <c r="A437" s="887" t="s">
        <v>1795</v>
      </c>
      <c r="B437" s="888" t="s">
        <v>740</v>
      </c>
      <c r="C437" s="889"/>
      <c r="D437" s="890">
        <v>0</v>
      </c>
      <c r="E437" s="891">
        <v>6826.44</v>
      </c>
      <c r="F437" s="1037">
        <f t="shared" si="6"/>
        <v>1245831792.1599882</v>
      </c>
    </row>
    <row r="438" spans="1:6" ht="15.75">
      <c r="A438" s="887" t="s">
        <v>1795</v>
      </c>
      <c r="B438" s="888" t="s">
        <v>701</v>
      </c>
      <c r="C438" s="889"/>
      <c r="D438" s="890">
        <v>478</v>
      </c>
      <c r="E438" s="891">
        <v>0</v>
      </c>
      <c r="F438" s="1037">
        <f t="shared" si="6"/>
        <v>1245831314.1599882</v>
      </c>
    </row>
    <row r="439" spans="1:6" ht="15.75">
      <c r="A439" s="887" t="s">
        <v>1795</v>
      </c>
      <c r="B439" s="888" t="s">
        <v>740</v>
      </c>
      <c r="C439" s="889"/>
      <c r="D439" s="890">
        <v>0</v>
      </c>
      <c r="E439" s="891">
        <v>6826.47</v>
      </c>
      <c r="F439" s="1037">
        <f t="shared" si="6"/>
        <v>1245838140.6299882</v>
      </c>
    </row>
    <row r="440" spans="1:6" ht="15.75">
      <c r="A440" s="887" t="s">
        <v>1795</v>
      </c>
      <c r="B440" s="888" t="s">
        <v>701</v>
      </c>
      <c r="C440" s="889"/>
      <c r="D440" s="890">
        <v>478</v>
      </c>
      <c r="E440" s="891">
        <v>0</v>
      </c>
      <c r="F440" s="1037">
        <f t="shared" si="6"/>
        <v>1245837662.6299882</v>
      </c>
    </row>
    <row r="441" spans="1:6" ht="15.75">
      <c r="A441" s="887" t="s">
        <v>1795</v>
      </c>
      <c r="B441" s="888" t="s">
        <v>740</v>
      </c>
      <c r="C441" s="889"/>
      <c r="D441" s="890">
        <v>0</v>
      </c>
      <c r="E441" s="891">
        <v>6826.51</v>
      </c>
      <c r="F441" s="1037">
        <f t="shared" si="6"/>
        <v>1245844489.1399882</v>
      </c>
    </row>
    <row r="442" spans="1:6" ht="15.75">
      <c r="A442" s="887" t="s">
        <v>1795</v>
      </c>
      <c r="B442" s="888" t="s">
        <v>701</v>
      </c>
      <c r="C442" s="889"/>
      <c r="D442" s="890">
        <v>478</v>
      </c>
      <c r="E442" s="891">
        <v>0</v>
      </c>
      <c r="F442" s="1037">
        <f t="shared" si="6"/>
        <v>1245844011.1399882</v>
      </c>
    </row>
    <row r="443" spans="1:6" ht="15.75">
      <c r="A443" s="887" t="s">
        <v>1795</v>
      </c>
      <c r="B443" s="888" t="s">
        <v>20</v>
      </c>
      <c r="C443" s="889">
        <v>0</v>
      </c>
      <c r="D443" s="890">
        <v>5.73</v>
      </c>
      <c r="E443" s="891">
        <v>0</v>
      </c>
      <c r="F443" s="1037">
        <f t="shared" si="6"/>
        <v>1245844005.4099882</v>
      </c>
    </row>
    <row r="444" spans="1:6" ht="15.75">
      <c r="A444" s="887" t="s">
        <v>1796</v>
      </c>
      <c r="B444" s="888" t="s">
        <v>740</v>
      </c>
      <c r="C444" s="889"/>
      <c r="D444" s="890">
        <v>0</v>
      </c>
      <c r="E444" s="891">
        <v>6826.54</v>
      </c>
      <c r="F444" s="1037">
        <f t="shared" si="6"/>
        <v>1245850831.9499881</v>
      </c>
    </row>
    <row r="445" spans="1:6" ht="15.75">
      <c r="A445" s="887" t="s">
        <v>1796</v>
      </c>
      <c r="B445" s="888" t="s">
        <v>701</v>
      </c>
      <c r="C445" s="889"/>
      <c r="D445" s="890">
        <v>478</v>
      </c>
      <c r="E445" s="891">
        <v>0</v>
      </c>
      <c r="F445" s="1037">
        <f t="shared" si="6"/>
        <v>1245850353.9499881</v>
      </c>
    </row>
    <row r="446" spans="1:6" ht="15.75">
      <c r="A446" s="887" t="s">
        <v>1796</v>
      </c>
      <c r="B446" s="888" t="s">
        <v>740</v>
      </c>
      <c r="C446" s="889"/>
      <c r="D446" s="890">
        <v>0</v>
      </c>
      <c r="E446" s="891">
        <v>6826.58</v>
      </c>
      <c r="F446" s="1037">
        <f t="shared" si="6"/>
        <v>1245857180.5299881</v>
      </c>
    </row>
    <row r="447" spans="1:6" ht="15.75">
      <c r="A447" s="887" t="s">
        <v>1796</v>
      </c>
      <c r="B447" s="888" t="s">
        <v>701</v>
      </c>
      <c r="C447" s="889"/>
      <c r="D447" s="890">
        <v>478</v>
      </c>
      <c r="E447" s="891">
        <v>0</v>
      </c>
      <c r="F447" s="1037">
        <f t="shared" si="6"/>
        <v>1245856702.5299881</v>
      </c>
    </row>
    <row r="448" spans="1:6" ht="15.75">
      <c r="A448" s="887" t="s">
        <v>1796</v>
      </c>
      <c r="B448" s="888" t="s">
        <v>20</v>
      </c>
      <c r="C448" s="889">
        <v>0</v>
      </c>
      <c r="D448" s="890">
        <v>1.91</v>
      </c>
      <c r="E448" s="891">
        <v>0</v>
      </c>
      <c r="F448" s="1037">
        <f t="shared" si="6"/>
        <v>1245856700.619988</v>
      </c>
    </row>
    <row r="449" spans="1:6" ht="15.75">
      <c r="A449" s="1100" t="s">
        <v>1796</v>
      </c>
      <c r="B449" s="1101" t="s">
        <v>20</v>
      </c>
      <c r="C449" s="1102">
        <v>0</v>
      </c>
      <c r="D449" s="1130">
        <v>1.91</v>
      </c>
      <c r="E449" s="1103">
        <v>0</v>
      </c>
      <c r="F449" s="1104">
        <f t="shared" si="6"/>
        <v>1245856698.7099879</v>
      </c>
    </row>
    <row r="450" spans="1:6">
      <c r="D450" s="1112">
        <f>+SUM(D14:D449)</f>
        <v>10746075140.729998</v>
      </c>
      <c r="E450" s="1112">
        <f>+SUM(E14:E449)</f>
        <v>91065309.000000015</v>
      </c>
    </row>
  </sheetData>
  <autoFilter ref="A13:F451" xr:uid="{00000000-0009-0000-0000-00000A000000}"/>
  <mergeCells count="10">
    <mergeCell ref="F7:G7"/>
    <mergeCell ref="F8:G8"/>
    <mergeCell ref="F9:G9"/>
    <mergeCell ref="F11:G11"/>
    <mergeCell ref="A1:F1"/>
    <mergeCell ref="A3:B3"/>
    <mergeCell ref="F3:I3"/>
    <mergeCell ref="F4:G4"/>
    <mergeCell ref="F5:G5"/>
    <mergeCell ref="F6:G6"/>
  </mergeCells>
  <pageMargins left="0.7" right="0.7" top="0.75" bottom="0.75" header="0.3" footer="0.3"/>
  <pageSetup paperSize="9" scale="38" fitToHeight="0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7">
    <tabColor theme="4" tint="-0.249977111117893"/>
    <pageSetUpPr fitToPage="1"/>
  </sheetPr>
  <dimension ref="A1:J49"/>
  <sheetViews>
    <sheetView view="pageBreakPreview" topLeftCell="A34" zoomScale="82" zoomScaleNormal="85" zoomScaleSheetLayoutView="82" workbookViewId="0">
      <selection activeCell="F46" sqref="F46"/>
    </sheetView>
  </sheetViews>
  <sheetFormatPr baseColWidth="10" defaultRowHeight="15"/>
  <cols>
    <col min="1" max="2" width="29.42578125" style="844" customWidth="1"/>
    <col min="3" max="3" width="34.85546875" style="844" customWidth="1"/>
    <col min="4" max="4" width="70" style="844" customWidth="1"/>
    <col min="5" max="5" width="19" style="844" bestFit="1" customWidth="1"/>
    <col min="6" max="6" width="24" style="844" bestFit="1" customWidth="1"/>
    <col min="7" max="7" width="11.42578125" style="844"/>
    <col min="8" max="8" width="45.42578125" style="844" bestFit="1" customWidth="1"/>
    <col min="9" max="9" width="22" style="908" bestFit="1" customWidth="1"/>
    <col min="10" max="10" width="45.7109375" style="844" bestFit="1" customWidth="1"/>
    <col min="11" max="16384" width="11.42578125" style="844"/>
  </cols>
  <sheetData>
    <row r="1" spans="1:10">
      <c r="A1" s="1308" t="s">
        <v>2066</v>
      </c>
      <c r="B1" s="1308"/>
      <c r="C1" s="1308"/>
      <c r="D1" s="1308"/>
      <c r="E1" s="1308"/>
      <c r="F1" s="1308"/>
    </row>
    <row r="2" spans="1:10">
      <c r="A2" s="1308"/>
      <c r="B2" s="1308"/>
      <c r="C2" s="1308"/>
      <c r="D2" s="1308"/>
      <c r="E2" s="1308"/>
      <c r="F2" s="1308"/>
    </row>
    <row r="3" spans="1:10" ht="72" customHeight="1">
      <c r="A3" s="1308"/>
      <c r="B3" s="1308"/>
      <c r="C3" s="1308"/>
      <c r="D3" s="1308"/>
      <c r="E3" s="1308"/>
      <c r="F3" s="1308"/>
    </row>
    <row r="4" spans="1:10" ht="15.75">
      <c r="A4" s="1308" t="s">
        <v>205</v>
      </c>
      <c r="B4" s="1308"/>
      <c r="C4" s="1308"/>
      <c r="D4" s="1308"/>
      <c r="E4" s="1308"/>
      <c r="F4" s="1308"/>
    </row>
    <row r="5" spans="1:10" ht="16.5" thickBot="1">
      <c r="A5" s="1308" t="s">
        <v>741</v>
      </c>
      <c r="B5" s="1308"/>
      <c r="C5" s="1308"/>
      <c r="D5" s="1308"/>
      <c r="E5" s="1308"/>
      <c r="F5" s="1308"/>
    </row>
    <row r="6" spans="1:10" ht="16.5" thickBot="1">
      <c r="A6" s="1309" t="s">
        <v>1</v>
      </c>
      <c r="B6" s="1310"/>
      <c r="C6" s="1310"/>
      <c r="D6" s="1310"/>
      <c r="E6" s="1310"/>
      <c r="F6" s="845" t="s">
        <v>2</v>
      </c>
      <c r="H6" s="913" t="s">
        <v>879</v>
      </c>
      <c r="I6" s="914" t="s">
        <v>788</v>
      </c>
      <c r="J6" s="913" t="s">
        <v>783</v>
      </c>
    </row>
    <row r="7" spans="1:10" ht="15.75">
      <c r="A7" s="846"/>
      <c r="B7" s="847"/>
      <c r="C7" s="847"/>
      <c r="D7" s="847"/>
      <c r="E7" s="848"/>
      <c r="F7" s="849"/>
      <c r="H7" s="911" t="s">
        <v>777</v>
      </c>
      <c r="I7" s="912">
        <f>-I8*0.004</f>
        <v>-160000000</v>
      </c>
      <c r="J7" s="911" t="s">
        <v>784</v>
      </c>
    </row>
    <row r="8" spans="1:10" ht="15.75">
      <c r="A8" s="1311" t="s">
        <v>1034</v>
      </c>
      <c r="B8" s="1312"/>
      <c r="C8" s="1312"/>
      <c r="D8" s="1312"/>
      <c r="E8" s="850"/>
      <c r="F8" s="851">
        <f>F42</f>
        <v>-140954352.29000002</v>
      </c>
      <c r="H8" s="911" t="s">
        <v>778</v>
      </c>
      <c r="I8" s="912">
        <v>40000000000</v>
      </c>
      <c r="J8" s="911" t="s">
        <v>785</v>
      </c>
    </row>
    <row r="9" spans="1:10" ht="15.75">
      <c r="A9" s="852" t="s">
        <v>557</v>
      </c>
      <c r="B9" s="853"/>
      <c r="C9" s="853"/>
      <c r="D9" s="853"/>
      <c r="E9" s="850">
        <v>61371.23</v>
      </c>
      <c r="F9" s="851"/>
      <c r="H9" s="911" t="s">
        <v>225</v>
      </c>
      <c r="I9" s="912">
        <f>+SUM(E9:E19)</f>
        <v>14508225.119999999</v>
      </c>
      <c r="J9" s="911" t="s">
        <v>786</v>
      </c>
    </row>
    <row r="10" spans="1:10" ht="15.75">
      <c r="A10" s="852" t="s">
        <v>604</v>
      </c>
      <c r="B10" s="854"/>
      <c r="C10" s="854"/>
      <c r="D10" s="854"/>
      <c r="E10" s="850">
        <v>1256031.78</v>
      </c>
      <c r="F10" s="855"/>
      <c r="H10" s="911" t="s">
        <v>701</v>
      </c>
      <c r="I10" s="912">
        <f>+SUM(E20:E30)</f>
        <v>-1005798</v>
      </c>
      <c r="J10" s="911"/>
    </row>
    <row r="11" spans="1:10" ht="15.75">
      <c r="A11" s="852" t="s">
        <v>698</v>
      </c>
      <c r="B11" s="854"/>
      <c r="C11" s="854"/>
      <c r="D11" s="854"/>
      <c r="E11" s="850">
        <v>1499892.16</v>
      </c>
      <c r="F11" s="855"/>
      <c r="H11" s="911" t="s">
        <v>779</v>
      </c>
      <c r="I11" s="912">
        <f>-'Enero - 2023'!D135</f>
        <v>-38613188949</v>
      </c>
      <c r="J11" s="911" t="s">
        <v>785</v>
      </c>
    </row>
    <row r="12" spans="1:10" ht="15.75">
      <c r="A12" s="852" t="s">
        <v>743</v>
      </c>
      <c r="B12" s="854"/>
      <c r="C12" s="854"/>
      <c r="D12" s="854"/>
      <c r="E12" s="850">
        <v>1394551.76</v>
      </c>
      <c r="F12" s="855"/>
      <c r="H12" s="911" t="s">
        <v>2067</v>
      </c>
      <c r="I12" s="912">
        <f>+SUM(E31:E41)</f>
        <v>-154456779.41000003</v>
      </c>
      <c r="J12" s="911" t="s">
        <v>786</v>
      </c>
    </row>
    <row r="13" spans="1:10" ht="15.75">
      <c r="A13" s="852" t="s">
        <v>819</v>
      </c>
      <c r="B13" s="854"/>
      <c r="C13" s="854"/>
      <c r="D13" s="854"/>
      <c r="E13" s="850">
        <v>924199.04</v>
      </c>
      <c r="F13" s="855"/>
      <c r="H13" s="909" t="s">
        <v>780</v>
      </c>
      <c r="I13" s="910">
        <f>+SUM(I8:I12)</f>
        <v>1245856698.7100027</v>
      </c>
    </row>
    <row r="14" spans="1:10" ht="15.75">
      <c r="A14" s="852" t="s">
        <v>867</v>
      </c>
      <c r="B14" s="854"/>
      <c r="C14" s="854"/>
      <c r="D14" s="854"/>
      <c r="E14" s="850">
        <v>996488.54</v>
      </c>
      <c r="F14" s="855"/>
      <c r="H14" s="911" t="s">
        <v>781</v>
      </c>
      <c r="I14" s="912">
        <f>+'Mov Cta OCCIDENTE'!B7-'Anexo. Matrix'!I13</f>
        <v>0</v>
      </c>
      <c r="J14" s="911" t="s">
        <v>787</v>
      </c>
    </row>
    <row r="15" spans="1:10" ht="15.75">
      <c r="A15" s="852" t="s">
        <v>901</v>
      </c>
      <c r="B15" s="854"/>
      <c r="C15" s="854"/>
      <c r="D15" s="854"/>
      <c r="E15" s="850">
        <v>1064497.92</v>
      </c>
      <c r="F15" s="855"/>
      <c r="H15" s="909" t="s">
        <v>782</v>
      </c>
      <c r="I15" s="910">
        <f>+I9+I10+I12</f>
        <v>-140954352.29000002</v>
      </c>
    </row>
    <row r="16" spans="1:10" ht="15.75">
      <c r="A16" s="852" t="s">
        <v>1008</v>
      </c>
      <c r="B16" s="854"/>
      <c r="C16" s="854"/>
      <c r="D16" s="854"/>
      <c r="E16" s="850">
        <v>2060583.18</v>
      </c>
      <c r="F16" s="855"/>
      <c r="H16" s="978"/>
      <c r="I16" s="979">
        <f>+I15-F8</f>
        <v>0</v>
      </c>
    </row>
    <row r="17" spans="1:9" ht="15.75">
      <c r="A17" s="852" t="s">
        <v>1029</v>
      </c>
      <c r="B17" s="854"/>
      <c r="C17" s="854"/>
      <c r="D17" s="854"/>
      <c r="E17" s="850">
        <v>2290222.0699999998</v>
      </c>
      <c r="F17" s="855"/>
      <c r="H17" s="978"/>
      <c r="I17" s="1062"/>
    </row>
    <row r="18" spans="1:9" ht="15.75">
      <c r="A18" s="852" t="s">
        <v>1134</v>
      </c>
      <c r="B18" s="854"/>
      <c r="C18" s="854"/>
      <c r="D18" s="854"/>
      <c r="E18" s="850">
        <v>1895078.18</v>
      </c>
      <c r="F18" s="855"/>
      <c r="H18" s="978"/>
      <c r="I18" s="979"/>
    </row>
    <row r="19" spans="1:9" ht="15.75">
      <c r="A19" s="852" t="s">
        <v>2004</v>
      </c>
      <c r="B19" s="854"/>
      <c r="C19" s="854"/>
      <c r="D19" s="854"/>
      <c r="E19" s="850">
        <v>1065309.26</v>
      </c>
      <c r="F19" s="855"/>
      <c r="H19" s="978"/>
      <c r="I19" s="979"/>
    </row>
    <row r="20" spans="1:9" ht="15.75">
      <c r="A20" s="852" t="s">
        <v>2044</v>
      </c>
      <c r="B20" s="854"/>
      <c r="C20" s="854"/>
      <c r="D20" s="854"/>
      <c r="E20" s="850">
        <v>-4295</v>
      </c>
      <c r="F20" s="855"/>
      <c r="H20" s="978"/>
      <c r="I20" s="979"/>
    </row>
    <row r="21" spans="1:9" ht="15.75">
      <c r="A21" s="852" t="s">
        <v>2045</v>
      </c>
      <c r="B21" s="854"/>
      <c r="C21" s="854"/>
      <c r="D21" s="854"/>
      <c r="E21" s="850">
        <v>-87926</v>
      </c>
      <c r="F21" s="855"/>
      <c r="H21" s="978"/>
      <c r="I21" s="979"/>
    </row>
    <row r="22" spans="1:9" ht="15.75">
      <c r="A22" s="852" t="s">
        <v>2046</v>
      </c>
      <c r="B22" s="854"/>
      <c r="C22" s="854"/>
      <c r="D22" s="854"/>
      <c r="E22" s="850">
        <v>-95480</v>
      </c>
      <c r="F22" s="855"/>
      <c r="H22" s="978"/>
      <c r="I22" s="979"/>
    </row>
    <row r="23" spans="1:9" ht="15.75">
      <c r="A23" s="852" t="s">
        <v>2047</v>
      </c>
      <c r="B23" s="854"/>
      <c r="C23" s="854"/>
      <c r="D23" s="854"/>
      <c r="E23" s="850">
        <v>-97500</v>
      </c>
      <c r="F23" s="855"/>
      <c r="H23" s="978"/>
      <c r="I23" s="979"/>
    </row>
    <row r="24" spans="1:9" ht="15.75">
      <c r="A24" s="852" t="s">
        <v>2048</v>
      </c>
      <c r="B24" s="854"/>
      <c r="C24" s="854"/>
      <c r="D24" s="854"/>
      <c r="E24" s="850">
        <v>-64541</v>
      </c>
      <c r="F24" s="855"/>
      <c r="H24" s="978"/>
      <c r="I24" s="979"/>
    </row>
    <row r="25" spans="1:9" ht="15.75">
      <c r="A25" s="852" t="s">
        <v>2049</v>
      </c>
      <c r="B25" s="854"/>
      <c r="C25" s="854"/>
      <c r="D25" s="854"/>
      <c r="E25" s="850">
        <v>-69753</v>
      </c>
      <c r="F25" s="855"/>
      <c r="H25" s="978"/>
      <c r="I25" s="979"/>
    </row>
    <row r="26" spans="1:9" ht="15.75">
      <c r="A26" s="852" t="s">
        <v>2050</v>
      </c>
      <c r="B26" s="854"/>
      <c r="C26" s="854"/>
      <c r="D26" s="854"/>
      <c r="E26" s="850">
        <v>-74517</v>
      </c>
      <c r="F26" s="855"/>
      <c r="H26" s="978"/>
      <c r="I26" s="979"/>
    </row>
    <row r="27" spans="1:9" ht="15.75">
      <c r="A27" s="852" t="s">
        <v>2051</v>
      </c>
      <c r="B27" s="854"/>
      <c r="C27" s="854"/>
      <c r="D27" s="854"/>
      <c r="E27" s="850">
        <v>-144238</v>
      </c>
      <c r="F27" s="855"/>
      <c r="H27" s="978"/>
      <c r="I27" s="979"/>
    </row>
    <row r="28" spans="1:9" ht="15.75">
      <c r="A28" s="852" t="s">
        <v>2052</v>
      </c>
      <c r="B28" s="854"/>
      <c r="C28" s="854"/>
      <c r="D28" s="854"/>
      <c r="E28" s="850">
        <v>-160320</v>
      </c>
      <c r="F28" s="855"/>
      <c r="H28" s="978"/>
      <c r="I28" s="979"/>
    </row>
    <row r="29" spans="1:9" ht="15.75">
      <c r="A29" s="852" t="s">
        <v>2053</v>
      </c>
      <c r="B29" s="854"/>
      <c r="C29" s="854"/>
      <c r="D29" s="854"/>
      <c r="E29" s="850">
        <v>-132654</v>
      </c>
      <c r="F29" s="855"/>
      <c r="H29" s="978"/>
      <c r="I29" s="979"/>
    </row>
    <row r="30" spans="1:9" ht="15.75">
      <c r="A30" s="852" t="s">
        <v>2054</v>
      </c>
      <c r="B30" s="854"/>
      <c r="C30" s="854"/>
      <c r="D30" s="854"/>
      <c r="E30" s="850">
        <v>-74574</v>
      </c>
      <c r="F30" s="855"/>
      <c r="H30" s="978"/>
      <c r="I30" s="979"/>
    </row>
    <row r="31" spans="1:9" ht="15.75">
      <c r="A31" s="852" t="s">
        <v>2055</v>
      </c>
      <c r="B31" s="854"/>
      <c r="C31" s="854"/>
      <c r="D31" s="854"/>
      <c r="E31" s="850">
        <v>-17.18</v>
      </c>
      <c r="F31" s="855"/>
      <c r="H31" s="978"/>
      <c r="I31" s="979"/>
    </row>
    <row r="32" spans="1:9" ht="15.75">
      <c r="A32" s="852" t="s">
        <v>2056</v>
      </c>
      <c r="B32" s="854"/>
      <c r="C32" s="854"/>
      <c r="D32" s="854"/>
      <c r="E32" s="850">
        <v>-4428351.72</v>
      </c>
      <c r="F32" s="855"/>
      <c r="H32" s="978"/>
      <c r="I32" s="979"/>
    </row>
    <row r="33" spans="1:9" ht="15.75">
      <c r="A33" s="852" t="s">
        <v>2057</v>
      </c>
      <c r="B33" s="854"/>
      <c r="C33" s="854"/>
      <c r="D33" s="854"/>
      <c r="E33" s="850">
        <v>-381.92</v>
      </c>
      <c r="F33" s="855"/>
      <c r="H33" s="978"/>
      <c r="I33" s="979"/>
    </row>
    <row r="34" spans="1:9" ht="15.75">
      <c r="A34" s="852" t="s">
        <v>2058</v>
      </c>
      <c r="B34" s="854"/>
      <c r="C34" s="854"/>
      <c r="D34" s="854"/>
      <c r="E34" s="850">
        <v>-389.93</v>
      </c>
      <c r="F34" s="855"/>
      <c r="H34" s="978"/>
      <c r="I34" s="979"/>
    </row>
    <row r="35" spans="1:9" ht="15.75">
      <c r="A35" s="852" t="s">
        <v>2059</v>
      </c>
      <c r="B35" s="854"/>
      <c r="C35" s="854"/>
      <c r="D35" s="854"/>
      <c r="E35" s="850">
        <v>-48957458.189999998</v>
      </c>
      <c r="F35" s="855"/>
      <c r="H35" s="978"/>
      <c r="I35" s="979"/>
    </row>
    <row r="36" spans="1:9" ht="15.75">
      <c r="A36" s="852" t="s">
        <v>2060</v>
      </c>
      <c r="B36" s="854"/>
      <c r="C36" s="854"/>
      <c r="D36" s="854"/>
      <c r="E36" s="850">
        <v>-640279.06999999995</v>
      </c>
      <c r="F36" s="855"/>
      <c r="H36" s="978"/>
      <c r="I36" s="979"/>
    </row>
    <row r="37" spans="1:9" ht="15.75">
      <c r="A37" s="852" t="s">
        <v>2061</v>
      </c>
      <c r="B37" s="854"/>
      <c r="C37" s="854"/>
      <c r="D37" s="854"/>
      <c r="E37" s="850">
        <v>-298.05</v>
      </c>
      <c r="F37" s="855"/>
      <c r="H37" s="978"/>
      <c r="I37" s="979"/>
    </row>
    <row r="38" spans="1:9" ht="15.75">
      <c r="A38" s="852" t="s">
        <v>2062</v>
      </c>
      <c r="B38" s="854"/>
      <c r="C38" s="854"/>
      <c r="D38" s="854"/>
      <c r="E38" s="850">
        <v>-42308664.969999999</v>
      </c>
      <c r="F38" s="855"/>
      <c r="H38" s="978"/>
      <c r="I38" s="979"/>
    </row>
    <row r="39" spans="1:9" ht="15.75">
      <c r="A39" s="852" t="s">
        <v>2063</v>
      </c>
      <c r="B39" s="854"/>
      <c r="C39" s="854"/>
      <c r="D39" s="854"/>
      <c r="E39" s="850">
        <v>-15665924.710000001</v>
      </c>
      <c r="F39" s="855"/>
      <c r="H39" s="978"/>
      <c r="I39" s="979"/>
    </row>
    <row r="40" spans="1:9" ht="15.75">
      <c r="A40" s="852" t="s">
        <v>2064</v>
      </c>
      <c r="B40" s="854"/>
      <c r="C40" s="854"/>
      <c r="D40" s="854"/>
      <c r="E40" s="850">
        <v>-530.67999999999995</v>
      </c>
      <c r="F40" s="855"/>
      <c r="H40" s="978"/>
      <c r="I40" s="979"/>
    </row>
    <row r="41" spans="1:9" ht="15.75">
      <c r="A41" s="852" t="s">
        <v>2065</v>
      </c>
      <c r="B41" s="854"/>
      <c r="C41" s="854"/>
      <c r="D41" s="854"/>
      <c r="E41" s="850">
        <v>-42454482.990000002</v>
      </c>
      <c r="F41" s="855"/>
      <c r="H41" s="978"/>
      <c r="I41" s="979"/>
    </row>
    <row r="42" spans="1:9" ht="19.5" thickBot="1">
      <c r="A42" s="856"/>
      <c r="B42" s="857"/>
      <c r="C42" s="857"/>
      <c r="D42" s="857"/>
      <c r="E42" s="858"/>
      <c r="F42" s="859">
        <f>SUM(E8:E41)</f>
        <v>-140954352.29000002</v>
      </c>
      <c r="H42" s="978"/>
      <c r="I42" s="979"/>
    </row>
    <row r="43" spans="1:9" ht="15.75">
      <c r="A43" s="847"/>
      <c r="B43" s="847"/>
      <c r="C43" s="860"/>
      <c r="D43" s="861"/>
      <c r="E43" s="862"/>
      <c r="F43" s="847"/>
    </row>
    <row r="44" spans="1:9" ht="15.75">
      <c r="A44" s="847"/>
      <c r="B44" s="847"/>
      <c r="C44" s="860"/>
      <c r="D44" s="861"/>
      <c r="E44" s="862"/>
      <c r="F44" s="847"/>
    </row>
    <row r="45" spans="1:9" ht="16.5" thickBot="1">
      <c r="A45" s="863"/>
      <c r="B45" s="864"/>
      <c r="C45" s="861"/>
      <c r="D45" s="865"/>
      <c r="E45" s="866"/>
      <c r="F45" s="847"/>
    </row>
    <row r="46" spans="1:9" ht="15.75">
      <c r="A46" s="1307" t="s">
        <v>135</v>
      </c>
      <c r="B46" s="1307"/>
      <c r="C46" s="867"/>
      <c r="D46" s="1307" t="s">
        <v>742</v>
      </c>
      <c r="E46" s="1307"/>
      <c r="F46" s="847"/>
    </row>
    <row r="47" spans="1:9" ht="15.75">
      <c r="A47" s="1306" t="s">
        <v>145</v>
      </c>
      <c r="B47" s="1306"/>
      <c r="C47" s="868"/>
      <c r="D47" s="1306" t="s">
        <v>556</v>
      </c>
      <c r="E47" s="1306"/>
      <c r="F47" s="847"/>
    </row>
    <row r="48" spans="1:9" ht="15.75">
      <c r="A48" s="1306" t="s">
        <v>48</v>
      </c>
      <c r="B48" s="1306"/>
      <c r="C48" s="868"/>
      <c r="D48" s="1306" t="s">
        <v>48</v>
      </c>
      <c r="E48" s="1306"/>
      <c r="F48" s="847"/>
    </row>
    <row r="49" spans="1:6" ht="15.75">
      <c r="A49" s="847"/>
      <c r="B49" s="847"/>
      <c r="C49" s="860"/>
      <c r="D49" s="1306" t="s">
        <v>555</v>
      </c>
      <c r="E49" s="1306"/>
      <c r="F49" s="847"/>
    </row>
  </sheetData>
  <mergeCells count="12">
    <mergeCell ref="A46:B46"/>
    <mergeCell ref="D46:E46"/>
    <mergeCell ref="A1:F3"/>
    <mergeCell ref="A4:F4"/>
    <mergeCell ref="A5:F5"/>
    <mergeCell ref="A6:E6"/>
    <mergeCell ref="A8:D8"/>
    <mergeCell ref="A47:B47"/>
    <mergeCell ref="D47:E47"/>
    <mergeCell ref="A48:B48"/>
    <mergeCell ref="D48:E48"/>
    <mergeCell ref="D49:E49"/>
  </mergeCells>
  <pageMargins left="0.7" right="0.7" top="0.75" bottom="0.75" header="0.3" footer="0.3"/>
  <pageSetup paperSize="9" scale="60" fitToHeight="0" orientation="landscape" horizontalDpi="1200" verticalDpi="1200" r:id="rId1"/>
  <colBreaks count="1" manualBreakCount="1">
    <brk id="6" max="50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0">
    <tabColor rgb="FF92D050"/>
  </sheetPr>
  <dimension ref="A2:J83"/>
  <sheetViews>
    <sheetView showGridLines="0" topLeftCell="A58" workbookViewId="0">
      <selection activeCell="B75" sqref="B75"/>
    </sheetView>
  </sheetViews>
  <sheetFormatPr baseColWidth="10" defaultRowHeight="12.75"/>
  <cols>
    <col min="1" max="1" width="48.7109375" style="28" customWidth="1"/>
    <col min="2" max="2" width="21.28515625" style="29" bestFit="1" customWidth="1"/>
    <col min="3" max="3" width="14.140625" style="28" bestFit="1" customWidth="1"/>
    <col min="4" max="4" width="4.7109375" style="28" customWidth="1"/>
    <col min="5" max="5" width="7.140625" style="28" customWidth="1"/>
    <col min="6" max="6" width="13.28515625" style="28" bestFit="1" customWidth="1"/>
    <col min="7" max="7" width="15.140625" style="28" customWidth="1"/>
    <col min="8" max="8" width="17.5703125" style="28" customWidth="1"/>
    <col min="9" max="16384" width="11.42578125" style="28"/>
  </cols>
  <sheetData>
    <row r="2" spans="1:10">
      <c r="A2" s="73" t="s">
        <v>128</v>
      </c>
    </row>
    <row r="5" spans="1:10">
      <c r="A5" s="28" t="s">
        <v>129</v>
      </c>
      <c r="B5" s="184">
        <f>+'Conciliación Quipu'!C38</f>
        <v>5373775262.9879999</v>
      </c>
      <c r="F5" s="29"/>
    </row>
    <row r="6" spans="1:10">
      <c r="B6" s="184"/>
    </row>
    <row r="7" spans="1:10">
      <c r="A7" s="28" t="s">
        <v>148</v>
      </c>
      <c r="B7" s="184">
        <f>+'Conciliación Quipu'!D9</f>
        <v>176664303</v>
      </c>
    </row>
    <row r="8" spans="1:10">
      <c r="B8" s="184"/>
    </row>
    <row r="9" spans="1:10" ht="15">
      <c r="A9" s="29" t="s">
        <v>130</v>
      </c>
      <c r="B9" s="185">
        <f>+(B5-B7)/1.004</f>
        <v>5176405338.6334658</v>
      </c>
      <c r="C9" s="96"/>
    </row>
    <row r="10" spans="1:10">
      <c r="B10" s="184"/>
      <c r="C10" s="97"/>
    </row>
    <row r="11" spans="1:10">
      <c r="A11" s="98" t="s">
        <v>131</v>
      </c>
      <c r="B11" s="1068">
        <f>ROUND((B9*0.004),0)</f>
        <v>20705621</v>
      </c>
      <c r="C11" s="44"/>
      <c r="D11" s="44"/>
      <c r="E11" s="44"/>
      <c r="F11" s="44"/>
      <c r="G11" s="44"/>
      <c r="H11" s="44"/>
      <c r="J11" s="232"/>
    </row>
    <row r="12" spans="1:10">
      <c r="J12" s="29"/>
    </row>
    <row r="13" spans="1:10">
      <c r="A13" s="73" t="s">
        <v>136</v>
      </c>
    </row>
    <row r="14" spans="1:10">
      <c r="A14" s="100" t="s">
        <v>132</v>
      </c>
      <c r="B14" s="101" t="s">
        <v>133</v>
      </c>
      <c r="C14" s="1313" t="s">
        <v>134</v>
      </c>
      <c r="D14" s="1313"/>
      <c r="E14" s="1313"/>
    </row>
    <row r="15" spans="1:10" ht="34.5" customHeight="1">
      <c r="A15" s="102">
        <v>44075</v>
      </c>
      <c r="C15" s="103"/>
    </row>
    <row r="16" spans="1:10">
      <c r="A16" s="102"/>
      <c r="C16" s="103"/>
      <c r="G16" s="102"/>
    </row>
    <row r="17" spans="1:7">
      <c r="A17" s="102">
        <v>44105</v>
      </c>
      <c r="B17" s="366">
        <v>-614085</v>
      </c>
      <c r="C17" s="103">
        <v>902</v>
      </c>
      <c r="D17" s="28">
        <v>202</v>
      </c>
      <c r="E17" s="28">
        <v>13808</v>
      </c>
      <c r="F17" s="28" t="s">
        <v>173</v>
      </c>
      <c r="G17" s="102"/>
    </row>
    <row r="18" spans="1:7">
      <c r="A18" s="102"/>
      <c r="B18" s="366"/>
      <c r="C18" s="103"/>
      <c r="G18" s="102"/>
    </row>
    <row r="19" spans="1:7">
      <c r="A19" s="102">
        <v>44136</v>
      </c>
      <c r="B19" s="366"/>
      <c r="C19" s="103"/>
      <c r="G19" s="102"/>
    </row>
    <row r="20" spans="1:7">
      <c r="B20" s="366"/>
      <c r="C20" s="103"/>
      <c r="G20" s="102"/>
    </row>
    <row r="21" spans="1:7">
      <c r="A21" s="102">
        <v>44166</v>
      </c>
      <c r="B21" s="366"/>
      <c r="C21" s="103"/>
      <c r="G21" s="102"/>
    </row>
    <row r="22" spans="1:7">
      <c r="A22" s="102"/>
      <c r="B22" s="366"/>
      <c r="C22" s="103"/>
      <c r="G22" s="102"/>
    </row>
    <row r="23" spans="1:7" ht="15">
      <c r="A23" s="102">
        <v>44197</v>
      </c>
      <c r="B23" s="366">
        <v>-3776916</v>
      </c>
      <c r="C23" s="238">
        <v>902</v>
      </c>
      <c r="D23" s="238">
        <v>202</v>
      </c>
      <c r="E23" s="238">
        <v>188</v>
      </c>
      <c r="F23" s="28" t="s">
        <v>215</v>
      </c>
    </row>
    <row r="24" spans="1:7">
      <c r="B24" s="366"/>
      <c r="C24" s="103"/>
    </row>
    <row r="25" spans="1:7" ht="15">
      <c r="A25" s="102">
        <v>44228</v>
      </c>
      <c r="B25" s="366">
        <v>-243429</v>
      </c>
      <c r="C25">
        <v>902</v>
      </c>
      <c r="D25">
        <v>202</v>
      </c>
      <c r="E25">
        <v>1855</v>
      </c>
      <c r="F25" s="28" t="s">
        <v>224</v>
      </c>
    </row>
    <row r="26" spans="1:7">
      <c r="B26" s="366"/>
      <c r="C26" s="103"/>
    </row>
    <row r="27" spans="1:7" ht="15">
      <c r="A27" s="102">
        <v>44256</v>
      </c>
      <c r="B27" s="366">
        <v>-101716</v>
      </c>
      <c r="C27">
        <v>902</v>
      </c>
      <c r="D27">
        <v>202</v>
      </c>
      <c r="E27">
        <v>3180</v>
      </c>
      <c r="F27" s="28" t="s">
        <v>230</v>
      </c>
    </row>
    <row r="28" spans="1:7">
      <c r="B28" s="366"/>
      <c r="C28" s="103"/>
    </row>
    <row r="29" spans="1:7" ht="15">
      <c r="A29" s="102">
        <v>44287</v>
      </c>
      <c r="B29" s="366">
        <v>-496864</v>
      </c>
      <c r="C29">
        <v>902</v>
      </c>
      <c r="D29">
        <v>202</v>
      </c>
      <c r="E29">
        <v>4495</v>
      </c>
      <c r="F29" s="28" t="s">
        <v>242</v>
      </c>
    </row>
    <row r="30" spans="1:7">
      <c r="B30" s="366"/>
      <c r="C30" s="103"/>
    </row>
    <row r="31" spans="1:7" ht="15">
      <c r="A31" s="102">
        <v>44317</v>
      </c>
      <c r="B31" s="366">
        <v>-345463</v>
      </c>
      <c r="C31" s="294">
        <v>902</v>
      </c>
      <c r="D31" s="294">
        <v>202</v>
      </c>
      <c r="E31" s="294">
        <v>5618</v>
      </c>
      <c r="F31" s="28" t="s">
        <v>263</v>
      </c>
    </row>
    <row r="32" spans="1:7" ht="15">
      <c r="A32" s="102">
        <v>44317</v>
      </c>
      <c r="B32" s="366">
        <v>-47453.760000000002</v>
      </c>
      <c r="C32" s="294">
        <v>914</v>
      </c>
      <c r="D32" s="299">
        <v>140</v>
      </c>
      <c r="E32" s="294">
        <v>3</v>
      </c>
      <c r="F32" s="28" t="s">
        <v>264</v>
      </c>
    </row>
    <row r="33" spans="1:8" ht="15">
      <c r="A33" s="102"/>
      <c r="B33" s="366"/>
      <c r="C33" s="294"/>
      <c r="D33" s="299"/>
      <c r="E33" s="294"/>
    </row>
    <row r="34" spans="1:8" ht="15">
      <c r="A34" s="102">
        <v>44348</v>
      </c>
      <c r="B34" s="366">
        <v>-354496</v>
      </c>
      <c r="C34" s="294">
        <v>902</v>
      </c>
      <c r="D34" s="299">
        <v>202</v>
      </c>
      <c r="E34" s="294">
        <v>6830</v>
      </c>
      <c r="F34" s="28" t="s">
        <v>282</v>
      </c>
    </row>
    <row r="35" spans="1:8" ht="15">
      <c r="A35" s="102"/>
      <c r="B35" s="366"/>
      <c r="C35" s="294"/>
      <c r="D35" s="299"/>
      <c r="E35" s="294"/>
    </row>
    <row r="36" spans="1:8" ht="15">
      <c r="A36" s="102">
        <v>44378</v>
      </c>
      <c r="B36" s="366">
        <v>-1088245</v>
      </c>
      <c r="C36" s="294">
        <v>902</v>
      </c>
      <c r="D36" s="299">
        <v>202</v>
      </c>
      <c r="E36" s="294">
        <v>7828</v>
      </c>
      <c r="F36" s="28" t="s">
        <v>293</v>
      </c>
    </row>
    <row r="37" spans="1:8">
      <c r="B37" s="366"/>
      <c r="C37" s="103"/>
    </row>
    <row r="38" spans="1:8" ht="15">
      <c r="A38" s="102">
        <v>44409</v>
      </c>
      <c r="B38" s="366">
        <v>-127281</v>
      </c>
      <c r="C38" s="294">
        <v>902</v>
      </c>
      <c r="D38" s="299">
        <v>202</v>
      </c>
      <c r="E38" s="294">
        <v>9652</v>
      </c>
      <c r="F38" s="28" t="s">
        <v>308</v>
      </c>
    </row>
    <row r="39" spans="1:8" ht="15">
      <c r="A39" s="102"/>
      <c r="B39" s="366"/>
      <c r="C39" s="294"/>
      <c r="D39" s="299"/>
      <c r="E39" s="294"/>
    </row>
    <row r="40" spans="1:8" ht="15">
      <c r="A40" s="102">
        <v>44440</v>
      </c>
      <c r="B40" s="366">
        <v>-183424</v>
      </c>
      <c r="C40" s="294">
        <v>902</v>
      </c>
      <c r="D40" s="299">
        <v>202</v>
      </c>
      <c r="E40" s="294">
        <v>11272</v>
      </c>
      <c r="F40" s="28" t="s">
        <v>388</v>
      </c>
    </row>
    <row r="41" spans="1:8" ht="15">
      <c r="A41" s="102"/>
      <c r="B41" s="366"/>
      <c r="C41" s="294"/>
      <c r="D41" s="299"/>
      <c r="E41" s="294"/>
    </row>
    <row r="42" spans="1:8" ht="15">
      <c r="A42" s="102">
        <v>44470</v>
      </c>
      <c r="B42" s="366">
        <v>-321209</v>
      </c>
      <c r="C42" s="294">
        <v>902</v>
      </c>
      <c r="D42" s="299">
        <v>202</v>
      </c>
      <c r="E42" s="294">
        <v>12867</v>
      </c>
      <c r="F42" s="28" t="s">
        <v>446</v>
      </c>
    </row>
    <row r="43" spans="1:8" ht="15">
      <c r="A43" s="102"/>
      <c r="B43" s="366"/>
      <c r="C43" s="668"/>
      <c r="D43" s="299"/>
      <c r="E43" s="668"/>
    </row>
    <row r="44" spans="1:8" ht="15">
      <c r="A44" s="102">
        <v>44501</v>
      </c>
      <c r="B44" s="366">
        <v>-1293161</v>
      </c>
      <c r="C44" s="668">
        <v>902</v>
      </c>
      <c r="D44" s="299">
        <v>202</v>
      </c>
      <c r="E44" s="668">
        <v>14208</v>
      </c>
      <c r="F44" s="28" t="s">
        <v>476</v>
      </c>
    </row>
    <row r="45" spans="1:8" ht="15">
      <c r="A45" s="102"/>
      <c r="B45" s="366"/>
      <c r="C45" s="668"/>
      <c r="D45" s="299"/>
      <c r="E45" s="668"/>
    </row>
    <row r="46" spans="1:8" ht="15">
      <c r="A46" s="102">
        <v>44531</v>
      </c>
      <c r="B46" s="366">
        <v>-62787</v>
      </c>
      <c r="C46" s="668">
        <v>902</v>
      </c>
      <c r="D46" s="299">
        <v>202</v>
      </c>
      <c r="E46" s="668">
        <v>62787</v>
      </c>
      <c r="F46" s="28" t="s">
        <v>497</v>
      </c>
      <c r="H46" s="715"/>
    </row>
    <row r="47" spans="1:8" ht="15">
      <c r="A47" s="102"/>
      <c r="B47" s="366"/>
      <c r="C47" s="668"/>
      <c r="D47" s="299"/>
      <c r="E47" s="668"/>
      <c r="H47" s="716"/>
    </row>
    <row r="48" spans="1:8" ht="15">
      <c r="A48" s="102">
        <v>44562</v>
      </c>
      <c r="B48" s="366">
        <v>-2193412</v>
      </c>
      <c r="C48" s="668">
        <v>902</v>
      </c>
      <c r="D48" s="299">
        <v>202</v>
      </c>
      <c r="E48" s="668">
        <v>80</v>
      </c>
      <c r="F48" s="28" t="s">
        <v>524</v>
      </c>
    </row>
    <row r="49" spans="1:6" ht="15">
      <c r="B49" s="366"/>
      <c r="C49" s="668"/>
      <c r="D49" s="299"/>
      <c r="E49" s="668"/>
    </row>
    <row r="50" spans="1:6" ht="15">
      <c r="A50" s="102">
        <v>44593</v>
      </c>
      <c r="B50" s="366">
        <v>-3698182</v>
      </c>
      <c r="C50" s="668">
        <v>902</v>
      </c>
      <c r="D50" s="299">
        <v>202</v>
      </c>
      <c r="E50" s="668">
        <v>2610</v>
      </c>
      <c r="F50" s="28" t="s">
        <v>589</v>
      </c>
    </row>
    <row r="51" spans="1:6" ht="15">
      <c r="A51" s="102"/>
      <c r="B51" s="366"/>
      <c r="C51" s="668"/>
      <c r="D51" s="299"/>
      <c r="E51" s="668"/>
    </row>
    <row r="52" spans="1:6" ht="15">
      <c r="A52" s="102">
        <v>44621</v>
      </c>
      <c r="B52" s="366">
        <v>-131760</v>
      </c>
      <c r="C52" s="668">
        <v>902</v>
      </c>
      <c r="D52" s="299">
        <v>202</v>
      </c>
      <c r="E52" s="668">
        <v>3536</v>
      </c>
      <c r="F52" s="28" t="s">
        <v>626</v>
      </c>
    </row>
    <row r="53" spans="1:6" ht="15">
      <c r="B53" s="366"/>
      <c r="C53" s="668"/>
      <c r="D53" s="299"/>
      <c r="E53" s="668"/>
    </row>
    <row r="54" spans="1:6" ht="15">
      <c r="A54" s="102">
        <v>44652</v>
      </c>
      <c r="B54" s="366">
        <v>-1527591</v>
      </c>
      <c r="C54" s="668">
        <v>902</v>
      </c>
      <c r="D54" s="299">
        <v>202</v>
      </c>
      <c r="E54" s="668">
        <v>4768</v>
      </c>
      <c r="F54" s="28" t="s">
        <v>263</v>
      </c>
    </row>
    <row r="55" spans="1:6" ht="15">
      <c r="A55" s="102"/>
      <c r="B55" s="366"/>
      <c r="C55" s="668"/>
      <c r="D55" s="299"/>
      <c r="E55" s="668"/>
    </row>
    <row r="56" spans="1:6" ht="15">
      <c r="A56" s="102">
        <v>44682</v>
      </c>
      <c r="B56" s="366">
        <v>-259616</v>
      </c>
      <c r="C56" s="668">
        <v>902</v>
      </c>
      <c r="D56" s="299">
        <v>202</v>
      </c>
      <c r="E56" s="668">
        <v>5894</v>
      </c>
      <c r="F56" s="28" t="s">
        <v>282</v>
      </c>
    </row>
    <row r="57" spans="1:6" ht="15">
      <c r="A57" s="102"/>
      <c r="B57" s="366"/>
      <c r="C57" s="668"/>
      <c r="D57" s="299"/>
      <c r="E57" s="668"/>
    </row>
    <row r="58" spans="1:6" ht="15">
      <c r="A58" s="102">
        <v>44713</v>
      </c>
      <c r="B58" s="366">
        <v>-2123977</v>
      </c>
      <c r="C58" s="668">
        <v>902</v>
      </c>
      <c r="D58" s="299">
        <v>202</v>
      </c>
      <c r="E58" s="668">
        <v>7052</v>
      </c>
      <c r="F58" s="28" t="s">
        <v>293</v>
      </c>
    </row>
    <row r="59" spans="1:6" ht="15">
      <c r="A59" s="102"/>
      <c r="B59" s="366"/>
      <c r="C59" s="668"/>
      <c r="D59" s="299"/>
      <c r="E59" s="668"/>
    </row>
    <row r="60" spans="1:6" ht="15">
      <c r="A60" s="102">
        <v>44743</v>
      </c>
      <c r="B60" s="366">
        <v>-3076501.08</v>
      </c>
      <c r="C60" s="668">
        <v>902</v>
      </c>
      <c r="D60" s="299">
        <v>202</v>
      </c>
      <c r="E60" s="668">
        <v>8368</v>
      </c>
      <c r="F60" s="28" t="s">
        <v>308</v>
      </c>
    </row>
    <row r="61" spans="1:6" ht="15">
      <c r="A61" s="102"/>
      <c r="B61" s="366"/>
      <c r="C61" s="668"/>
      <c r="D61" s="299"/>
      <c r="E61" s="668"/>
    </row>
    <row r="62" spans="1:6" ht="15">
      <c r="A62" s="102">
        <v>44774</v>
      </c>
      <c r="B62" s="366">
        <v>-2543477</v>
      </c>
      <c r="C62" s="668">
        <v>902</v>
      </c>
      <c r="D62" s="299">
        <v>202</v>
      </c>
      <c r="E62" s="668">
        <v>10006</v>
      </c>
      <c r="F62" s="28" t="s">
        <v>388</v>
      </c>
    </row>
    <row r="63" spans="1:6" ht="15">
      <c r="A63" s="102"/>
      <c r="B63" s="366"/>
      <c r="C63" s="668"/>
      <c r="D63" s="299"/>
      <c r="E63" s="668"/>
    </row>
    <row r="64" spans="1:6" ht="15">
      <c r="A64" s="102">
        <v>44805</v>
      </c>
      <c r="B64" s="366">
        <v>-43606</v>
      </c>
      <c r="C64" s="668">
        <v>902</v>
      </c>
      <c r="D64" s="299">
        <v>202</v>
      </c>
      <c r="E64" s="668">
        <v>11504</v>
      </c>
      <c r="F64" s="28" t="s">
        <v>446</v>
      </c>
    </row>
    <row r="65" spans="1:10" ht="15">
      <c r="A65" s="102"/>
      <c r="B65" s="366"/>
      <c r="C65" s="668"/>
      <c r="D65" s="299"/>
      <c r="E65" s="668"/>
    </row>
    <row r="66" spans="1:10" ht="15">
      <c r="A66" s="102">
        <v>44835</v>
      </c>
      <c r="B66" s="366">
        <v>0</v>
      </c>
      <c r="C66" s="668"/>
      <c r="D66" s="299"/>
      <c r="E66" s="668"/>
    </row>
    <row r="67" spans="1:10" ht="15">
      <c r="A67" s="102"/>
      <c r="B67" s="366"/>
      <c r="C67" s="668"/>
      <c r="D67" s="299"/>
      <c r="E67" s="668"/>
    </row>
    <row r="68" spans="1:10" ht="15">
      <c r="A68" s="102">
        <v>44866</v>
      </c>
      <c r="B68" s="366">
        <v>-280939</v>
      </c>
      <c r="C68" s="668">
        <v>902</v>
      </c>
      <c r="D68" s="668">
        <v>202</v>
      </c>
      <c r="E68" s="668">
        <v>15696</v>
      </c>
      <c r="F68" s="28" t="s">
        <v>476</v>
      </c>
    </row>
    <row r="69" spans="1:10" ht="15">
      <c r="A69" s="102"/>
      <c r="B69" s="366"/>
      <c r="C69" s="668">
        <v>902</v>
      </c>
      <c r="D69" s="668">
        <v>202</v>
      </c>
      <c r="E69" s="668">
        <v>15698</v>
      </c>
      <c r="F69" s="28" t="s">
        <v>497</v>
      </c>
    </row>
    <row r="70" spans="1:10" ht="15">
      <c r="A70" s="102">
        <v>44896</v>
      </c>
      <c r="B70" s="366">
        <f>-'Cta 11100613'!G14</f>
        <v>-638755</v>
      </c>
      <c r="C70" s="668">
        <v>902</v>
      </c>
      <c r="D70" s="668">
        <v>202</v>
      </c>
      <c r="E70" s="668">
        <v>413</v>
      </c>
      <c r="F70" s="28" t="s">
        <v>524</v>
      </c>
    </row>
    <row r="71" spans="1:10" ht="15">
      <c r="A71" s="102"/>
      <c r="B71" s="366"/>
      <c r="C71" s="668"/>
      <c r="D71" s="668"/>
      <c r="E71" s="668"/>
    </row>
    <row r="72" spans="1:10">
      <c r="A72" s="104" t="s">
        <v>2031</v>
      </c>
      <c r="B72" s="99">
        <f>SUM(B15:B70)</f>
        <v>-25574345.839999996</v>
      </c>
    </row>
    <row r="75" spans="1:10" ht="12.75" customHeight="1">
      <c r="A75" s="105" t="s">
        <v>178</v>
      </c>
      <c r="B75" s="105">
        <f>+B11+B72</f>
        <v>-4868724.8399999961</v>
      </c>
      <c r="C75" s="320"/>
      <c r="D75" s="731" t="s">
        <v>525</v>
      </c>
      <c r="E75" s="732"/>
      <c r="F75" s="732"/>
      <c r="G75" s="732"/>
      <c r="H75" s="732"/>
      <c r="I75" s="44"/>
      <c r="J75" s="44"/>
    </row>
    <row r="76" spans="1:10" ht="18" customHeight="1">
      <c r="A76" s="88"/>
      <c r="E76" s="44"/>
      <c r="F76" s="44"/>
      <c r="G76" s="44"/>
      <c r="H76" s="44"/>
      <c r="I76" s="44"/>
      <c r="J76" s="44"/>
    </row>
    <row r="77" spans="1:10" ht="21.75" customHeight="1">
      <c r="A77" s="88"/>
      <c r="E77" s="44"/>
      <c r="F77" s="44"/>
      <c r="G77" s="44"/>
      <c r="H77" s="44"/>
      <c r="I77" s="44"/>
      <c r="J77" s="44"/>
    </row>
    <row r="78" spans="1:10">
      <c r="B78" s="184"/>
      <c r="C78" s="29"/>
    </row>
    <row r="79" spans="1:10">
      <c r="A79" s="184"/>
      <c r="B79" s="285"/>
      <c r="F79" s="1249"/>
      <c r="G79" s="1249"/>
      <c r="H79" s="1249"/>
      <c r="I79" s="30"/>
    </row>
    <row r="80" spans="1:10">
      <c r="A80" s="184"/>
      <c r="B80" s="184"/>
      <c r="C80" s="231"/>
      <c r="F80" s="40"/>
      <c r="G80" s="30"/>
      <c r="H80" s="30"/>
      <c r="I80" s="30"/>
    </row>
    <row r="83" spans="2:2">
      <c r="B83" s="30"/>
    </row>
  </sheetData>
  <mergeCells count="2">
    <mergeCell ref="C14:E14"/>
    <mergeCell ref="F79:H79"/>
  </mergeCells>
  <pageMargins left="0.7" right="0.7" top="0.75" bottom="0.75" header="0.3" footer="0.3"/>
  <pageSetup paperSize="9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1">
    <tabColor rgb="FF92D050"/>
  </sheetPr>
  <dimension ref="A1:I67"/>
  <sheetViews>
    <sheetView showGridLines="0" topLeftCell="A47" zoomScaleNormal="100" workbookViewId="0">
      <selection activeCell="E55" sqref="E55"/>
    </sheetView>
  </sheetViews>
  <sheetFormatPr baseColWidth="10" defaultRowHeight="12.75"/>
  <cols>
    <col min="1" max="1" width="40.28515625" style="95" customWidth="1"/>
    <col min="2" max="2" width="16.5703125" style="28" bestFit="1" customWidth="1"/>
    <col min="3" max="3" width="33" style="28" bestFit="1" customWidth="1"/>
    <col min="4" max="4" width="12.85546875" style="28" bestFit="1" customWidth="1"/>
    <col min="5" max="5" width="10" style="28" bestFit="1" customWidth="1"/>
    <col min="6" max="6" width="20.140625" style="28" bestFit="1" customWidth="1"/>
    <col min="7" max="7" width="45.28515625" style="56" customWidth="1"/>
    <col min="8" max="8" width="20.140625" style="28" bestFit="1" customWidth="1"/>
    <col min="9" max="16384" width="11.42578125" style="28"/>
  </cols>
  <sheetData>
    <row r="1" spans="1:9">
      <c r="A1" s="79" t="s">
        <v>121</v>
      </c>
    </row>
    <row r="2" spans="1:9" s="73" customFormat="1">
      <c r="A2" s="80" t="s">
        <v>122</v>
      </c>
      <c r="G2" s="71"/>
    </row>
    <row r="3" spans="1:9" s="73" customFormat="1" ht="13.5" thickBot="1">
      <c r="A3" s="79"/>
      <c r="G3" s="71"/>
    </row>
    <row r="4" spans="1:9" s="73" customFormat="1" ht="36" customHeight="1">
      <c r="A4" s="81" t="s">
        <v>76</v>
      </c>
      <c r="B4" s="82" t="s">
        <v>123</v>
      </c>
      <c r="C4" s="83" t="s">
        <v>124</v>
      </c>
      <c r="D4" s="1314" t="s">
        <v>75</v>
      </c>
      <c r="E4" s="1314"/>
      <c r="F4" s="1314"/>
      <c r="G4" s="1314"/>
      <c r="H4" s="1314"/>
    </row>
    <row r="5" spans="1:9">
      <c r="A5" s="84">
        <v>44013</v>
      </c>
      <c r="B5" s="753">
        <v>0</v>
      </c>
      <c r="C5" s="1079"/>
    </row>
    <row r="6" spans="1:9" ht="15">
      <c r="A6" s="84">
        <v>44044</v>
      </c>
      <c r="B6" s="753">
        <v>0</v>
      </c>
      <c r="C6" s="1079"/>
      <c r="G6" s="86"/>
      <c r="H6" s="87"/>
      <c r="I6" s="88"/>
    </row>
    <row r="7" spans="1:9">
      <c r="A7" s="84">
        <v>44075</v>
      </c>
      <c r="B7" s="754">
        <v>35321400</v>
      </c>
      <c r="C7" s="1079"/>
      <c r="D7" s="280" t="s">
        <v>175</v>
      </c>
    </row>
    <row r="8" spans="1:9">
      <c r="A8" s="84">
        <v>44105</v>
      </c>
      <c r="B8" s="754">
        <v>21832230</v>
      </c>
      <c r="C8" s="1079"/>
      <c r="D8" s="280" t="s">
        <v>174</v>
      </c>
    </row>
    <row r="9" spans="1:9">
      <c r="A9" s="84">
        <v>44136</v>
      </c>
      <c r="B9" s="754">
        <v>0</v>
      </c>
      <c r="C9" s="1079"/>
      <c r="D9" s="280"/>
    </row>
    <row r="10" spans="1:9">
      <c r="A10" s="84">
        <v>44166</v>
      </c>
      <c r="B10" s="754">
        <v>17799963</v>
      </c>
      <c r="C10" s="1079"/>
      <c r="D10" s="280" t="s">
        <v>176</v>
      </c>
    </row>
    <row r="11" spans="1:9">
      <c r="A11" s="84">
        <v>44197</v>
      </c>
      <c r="B11" s="755">
        <f>31393+8161253</f>
        <v>8192646</v>
      </c>
      <c r="C11" s="1079"/>
      <c r="D11" s="280" t="s">
        <v>214</v>
      </c>
      <c r="H11" s="262"/>
    </row>
    <row r="12" spans="1:9">
      <c r="A12" s="84">
        <v>44228</v>
      </c>
      <c r="B12" s="755">
        <v>0</v>
      </c>
      <c r="C12" s="1079"/>
      <c r="D12" s="277"/>
      <c r="H12" s="262"/>
    </row>
    <row r="13" spans="1:9">
      <c r="A13" s="84">
        <v>44256</v>
      </c>
      <c r="B13" s="755">
        <v>265650</v>
      </c>
      <c r="C13" s="1079"/>
      <c r="D13" s="28" t="s">
        <v>232</v>
      </c>
      <c r="H13" s="262"/>
    </row>
    <row r="14" spans="1:9">
      <c r="A14" s="84">
        <v>44287</v>
      </c>
      <c r="B14" s="755">
        <v>11034285</v>
      </c>
      <c r="C14" s="1079"/>
      <c r="D14" s="28" t="s">
        <v>241</v>
      </c>
      <c r="G14" s="284"/>
      <c r="H14" s="262"/>
    </row>
    <row r="15" spans="1:9">
      <c r="A15" s="84">
        <v>44317</v>
      </c>
      <c r="B15" s="755">
        <v>10916115</v>
      </c>
      <c r="C15" s="1079"/>
      <c r="D15" s="28" t="s">
        <v>265</v>
      </c>
      <c r="G15" s="284"/>
      <c r="H15" s="262"/>
    </row>
    <row r="16" spans="1:9">
      <c r="A16" s="84">
        <v>44348</v>
      </c>
      <c r="B16" s="755">
        <v>17082762</v>
      </c>
      <c r="C16" s="1079"/>
      <c r="D16" s="28" t="s">
        <v>241</v>
      </c>
      <c r="G16" s="284"/>
      <c r="H16" s="262"/>
    </row>
    <row r="17" spans="1:8">
      <c r="A17" s="84">
        <v>44378</v>
      </c>
      <c r="B17" s="782">
        <v>72450</v>
      </c>
      <c r="C17" s="1079"/>
      <c r="D17" s="28" t="s">
        <v>295</v>
      </c>
      <c r="G17" s="284"/>
      <c r="H17" s="262"/>
    </row>
    <row r="18" spans="1:8">
      <c r="A18" s="84">
        <v>44409</v>
      </c>
      <c r="B18" s="755">
        <v>5586526</v>
      </c>
      <c r="C18" s="1079"/>
      <c r="D18" s="28" t="s">
        <v>295</v>
      </c>
      <c r="F18" s="184"/>
      <c r="G18" s="284"/>
      <c r="H18" s="262"/>
    </row>
    <row r="19" spans="1:8">
      <c r="A19" s="84">
        <v>44440</v>
      </c>
      <c r="B19" s="755">
        <v>8729709</v>
      </c>
      <c r="C19" s="1079"/>
      <c r="D19" s="28" t="s">
        <v>386</v>
      </c>
      <c r="F19" s="184"/>
      <c r="G19" s="284"/>
      <c r="H19" s="262"/>
    </row>
    <row r="20" spans="1:8">
      <c r="A20" s="84">
        <v>44470</v>
      </c>
      <c r="B20" s="755">
        <v>8755214</v>
      </c>
      <c r="C20" s="1079"/>
      <c r="D20" s="28" t="s">
        <v>444</v>
      </c>
      <c r="F20" s="184"/>
      <c r="G20" s="284"/>
      <c r="H20" s="262"/>
    </row>
    <row r="21" spans="1:8">
      <c r="A21" s="84">
        <v>44501</v>
      </c>
      <c r="B21" s="755">
        <v>48300</v>
      </c>
      <c r="C21" s="1079"/>
      <c r="F21" s="184"/>
      <c r="G21" s="284"/>
      <c r="H21" s="262"/>
    </row>
    <row r="22" spans="1:8">
      <c r="A22" s="84">
        <v>44531</v>
      </c>
      <c r="B22" s="755">
        <v>6569739</v>
      </c>
      <c r="C22" s="1079"/>
      <c r="D22" s="28" t="s">
        <v>241</v>
      </c>
      <c r="F22" s="184"/>
      <c r="G22" s="284"/>
      <c r="H22" s="262"/>
    </row>
    <row r="23" spans="1:8" ht="14.25" customHeight="1">
      <c r="A23" s="84">
        <v>44593</v>
      </c>
      <c r="B23" s="755">
        <v>3265093</v>
      </c>
      <c r="C23" s="1079"/>
      <c r="F23" s="184"/>
      <c r="G23" s="284"/>
      <c r="H23" s="262"/>
    </row>
    <row r="24" spans="1:8" ht="14.25" customHeight="1">
      <c r="A24" s="84">
        <v>44621</v>
      </c>
      <c r="B24" s="755">
        <v>630614</v>
      </c>
      <c r="C24" s="1079"/>
      <c r="D24" s="29" t="s">
        <v>601</v>
      </c>
      <c r="F24" s="184"/>
      <c r="G24" s="284"/>
      <c r="H24" s="262"/>
    </row>
    <row r="25" spans="1:8" ht="14.25" customHeight="1">
      <c r="A25" s="84">
        <v>44652</v>
      </c>
      <c r="B25" s="755">
        <v>45548</v>
      </c>
      <c r="C25" s="1079"/>
      <c r="D25" s="28" t="s">
        <v>295</v>
      </c>
      <c r="F25" s="184"/>
      <c r="G25" s="284"/>
      <c r="H25" s="262"/>
    </row>
    <row r="26" spans="1:8" ht="14.25" customHeight="1">
      <c r="A26" s="84">
        <v>44682</v>
      </c>
      <c r="B26" s="755">
        <v>5261002</v>
      </c>
      <c r="C26" s="1079"/>
      <c r="D26" s="28" t="s">
        <v>697</v>
      </c>
      <c r="F26" s="184"/>
      <c r="G26" s="284"/>
      <c r="H26" s="262"/>
    </row>
    <row r="27" spans="1:8" ht="14.25" customHeight="1">
      <c r="A27" s="84">
        <v>44713</v>
      </c>
      <c r="B27" s="755">
        <v>19150</v>
      </c>
      <c r="C27" s="1079"/>
      <c r="D27" s="28" t="s">
        <v>747</v>
      </c>
      <c r="F27" s="184"/>
      <c r="G27" s="284"/>
      <c r="H27" s="262"/>
    </row>
    <row r="28" spans="1:8" ht="14.25" customHeight="1">
      <c r="A28" s="84">
        <v>44743</v>
      </c>
      <c r="B28" s="755">
        <v>1691717</v>
      </c>
      <c r="C28" s="1079"/>
      <c r="D28" s="28" t="s">
        <v>830</v>
      </c>
      <c r="F28" s="184"/>
      <c r="G28" s="284"/>
      <c r="H28" s="262"/>
    </row>
    <row r="29" spans="1:8" ht="14.25" customHeight="1">
      <c r="A29" s="84">
        <v>44774</v>
      </c>
      <c r="B29" s="755">
        <v>3366467</v>
      </c>
      <c r="C29" s="1079"/>
      <c r="D29" s="28" t="s">
        <v>869</v>
      </c>
      <c r="F29" s="184"/>
      <c r="G29" s="284"/>
      <c r="H29" s="262"/>
    </row>
    <row r="30" spans="1:8" ht="14.25" customHeight="1">
      <c r="A30" s="84">
        <v>44805</v>
      </c>
      <c r="B30" s="755">
        <v>0</v>
      </c>
      <c r="C30" s="1079"/>
      <c r="F30" s="184"/>
      <c r="G30" s="284"/>
      <c r="H30" s="262"/>
    </row>
    <row r="31" spans="1:8" ht="14.25" customHeight="1">
      <c r="A31" s="84">
        <v>44835</v>
      </c>
      <c r="B31" s="998">
        <v>1312500</v>
      </c>
      <c r="C31" s="1079"/>
      <c r="D31" s="28" t="s">
        <v>1031</v>
      </c>
      <c r="F31" s="184"/>
      <c r="G31" s="284"/>
      <c r="H31" s="262"/>
    </row>
    <row r="32" spans="1:8" ht="14.25" customHeight="1">
      <c r="A32" s="84">
        <v>44866</v>
      </c>
      <c r="B32" s="998">
        <f>+'[7]Egresos a Marzo'!$I$143</f>
        <v>7191654</v>
      </c>
      <c r="C32" s="1079"/>
      <c r="D32" s="28" t="s">
        <v>1032</v>
      </c>
      <c r="F32" s="184"/>
      <c r="G32" s="284"/>
      <c r="H32" s="262"/>
    </row>
    <row r="33" spans="1:8" ht="14.25" customHeight="1">
      <c r="A33" s="84">
        <v>44896</v>
      </c>
      <c r="B33" s="998">
        <f>+'[7]Egresos a Marzo'!$I$144</f>
        <v>7852728</v>
      </c>
      <c r="C33" s="1079"/>
      <c r="D33" s="28" t="s">
        <v>1139</v>
      </c>
      <c r="F33" s="184"/>
      <c r="G33" s="284"/>
      <c r="H33" s="262"/>
    </row>
    <row r="34" spans="1:8" ht="14.25" customHeight="1">
      <c r="A34" s="84">
        <v>44927</v>
      </c>
      <c r="B34" s="1116">
        <v>0</v>
      </c>
      <c r="C34" s="1117"/>
      <c r="F34" s="184"/>
      <c r="G34" s="284"/>
      <c r="H34" s="262"/>
    </row>
    <row r="35" spans="1:8" ht="13.5" thickBot="1">
      <c r="A35" s="1080" t="s">
        <v>125</v>
      </c>
      <c r="B35" s="1081">
        <f>SUM(B5:B34)</f>
        <v>182843462</v>
      </c>
      <c r="C35" s="1082"/>
      <c r="E35" s="28" t="s">
        <v>106</v>
      </c>
      <c r="F35" s="402"/>
      <c r="G35" s="394"/>
    </row>
    <row r="36" spans="1:8">
      <c r="B36" s="72"/>
      <c r="F36" s="320"/>
    </row>
    <row r="37" spans="1:8">
      <c r="A37" s="79" t="s">
        <v>126</v>
      </c>
      <c r="B37" s="72"/>
      <c r="G37" s="783"/>
    </row>
    <row r="38" spans="1:8" ht="15">
      <c r="A38" s="241">
        <v>44104</v>
      </c>
      <c r="B38" s="673">
        <v>35321400</v>
      </c>
      <c r="C38" s="85">
        <v>0</v>
      </c>
      <c r="D38" s="89">
        <v>914</v>
      </c>
      <c r="E38" s="89">
        <v>140</v>
      </c>
      <c r="F38" s="89">
        <v>32</v>
      </c>
      <c r="G38" s="90" t="s">
        <v>172</v>
      </c>
      <c r="H38" s="277">
        <f>+B7-B38</f>
        <v>0</v>
      </c>
    </row>
    <row r="39" spans="1:8" ht="15">
      <c r="A39" s="241">
        <v>44189</v>
      </c>
      <c r="B39" s="673">
        <v>21832230</v>
      </c>
      <c r="C39" s="85">
        <v>0</v>
      </c>
      <c r="D39" s="89">
        <v>902</v>
      </c>
      <c r="E39" s="89">
        <v>202</v>
      </c>
      <c r="F39" s="89">
        <v>16998</v>
      </c>
      <c r="G39" s="91" t="s">
        <v>177</v>
      </c>
      <c r="H39" s="277">
        <f>+B8-B39</f>
        <v>0</v>
      </c>
    </row>
    <row r="40" spans="1:8" ht="15">
      <c r="A40" s="241">
        <v>44253</v>
      </c>
      <c r="B40" s="673">
        <v>25429102</v>
      </c>
      <c r="C40" s="85">
        <v>0</v>
      </c>
      <c r="D40" s="89">
        <v>902</v>
      </c>
      <c r="E40" s="89">
        <v>202</v>
      </c>
      <c r="F40" s="89">
        <v>2188</v>
      </c>
      <c r="G40" s="91" t="s">
        <v>217</v>
      </c>
      <c r="H40" s="232"/>
    </row>
    <row r="41" spans="1:8" ht="15">
      <c r="A41" s="241">
        <v>44323</v>
      </c>
      <c r="B41" s="673">
        <v>11863440</v>
      </c>
      <c r="C41" s="85">
        <v>0</v>
      </c>
      <c r="D41" s="89">
        <v>914</v>
      </c>
      <c r="E41" s="89">
        <v>140</v>
      </c>
      <c r="F41" s="89">
        <v>3</v>
      </c>
      <c r="G41" s="91" t="s">
        <v>262</v>
      </c>
      <c r="H41" s="232"/>
    </row>
    <row r="42" spans="1:8" ht="15">
      <c r="A42" s="241">
        <v>44371</v>
      </c>
      <c r="B42" s="673">
        <v>10204387</v>
      </c>
      <c r="C42" s="85">
        <v>0</v>
      </c>
      <c r="D42" s="89">
        <v>914</v>
      </c>
      <c r="E42" s="89">
        <v>140</v>
      </c>
      <c r="F42" s="89">
        <v>12</v>
      </c>
      <c r="G42" s="90" t="s">
        <v>283</v>
      </c>
      <c r="H42" s="232"/>
    </row>
    <row r="43" spans="1:8" ht="15">
      <c r="A43" s="241">
        <v>44386</v>
      </c>
      <c r="B43" s="673">
        <v>17746190</v>
      </c>
      <c r="C43" s="85">
        <v>0</v>
      </c>
      <c r="D43" s="89">
        <v>914</v>
      </c>
      <c r="E43" s="89">
        <v>140</v>
      </c>
      <c r="F43" s="89">
        <v>13</v>
      </c>
      <c r="G43" s="90" t="s">
        <v>294</v>
      </c>
      <c r="H43" s="232"/>
    </row>
    <row r="44" spans="1:8" ht="15">
      <c r="A44" s="241">
        <v>44433</v>
      </c>
      <c r="B44" s="673">
        <v>104318</v>
      </c>
      <c r="C44" s="85">
        <v>0</v>
      </c>
      <c r="D44" s="89">
        <v>914</v>
      </c>
      <c r="E44" s="89">
        <v>140</v>
      </c>
      <c r="F44" s="89">
        <v>20</v>
      </c>
      <c r="G44" s="90" t="s">
        <v>321</v>
      </c>
      <c r="H44" s="232"/>
    </row>
    <row r="45" spans="1:8" ht="15">
      <c r="A45" s="241">
        <v>44456</v>
      </c>
      <c r="B45" s="673">
        <v>5554658</v>
      </c>
      <c r="C45" s="85">
        <v>0</v>
      </c>
      <c r="D45" s="89">
        <v>914</v>
      </c>
      <c r="E45" s="89">
        <v>140</v>
      </c>
      <c r="F45" s="89">
        <v>21</v>
      </c>
      <c r="G45" s="90" t="s">
        <v>387</v>
      </c>
      <c r="H45" s="232"/>
    </row>
    <row r="46" spans="1:8" ht="15">
      <c r="A46" s="241">
        <v>44480</v>
      </c>
      <c r="B46" s="673">
        <v>8206933</v>
      </c>
      <c r="C46" s="85">
        <v>0</v>
      </c>
      <c r="D46" s="89">
        <v>914</v>
      </c>
      <c r="E46" s="89">
        <v>140</v>
      </c>
      <c r="F46" s="89">
        <v>28</v>
      </c>
      <c r="G46" s="90" t="s">
        <v>445</v>
      </c>
      <c r="H46" s="232"/>
    </row>
    <row r="47" spans="1:8" ht="15">
      <c r="A47" s="241">
        <v>44509</v>
      </c>
      <c r="B47" s="673">
        <v>9253840</v>
      </c>
      <c r="C47" s="85">
        <v>0</v>
      </c>
      <c r="D47" s="89">
        <v>914</v>
      </c>
      <c r="E47" s="89">
        <v>140</v>
      </c>
      <c r="F47" s="89">
        <v>35</v>
      </c>
      <c r="G47" s="90" t="s">
        <v>477</v>
      </c>
      <c r="H47" s="232"/>
    </row>
    <row r="48" spans="1:8" ht="15">
      <c r="A48" s="241">
        <v>44510</v>
      </c>
      <c r="B48" s="673">
        <v>6618039</v>
      </c>
      <c r="C48" s="85">
        <v>0</v>
      </c>
      <c r="D48" s="89">
        <v>914</v>
      </c>
      <c r="E48" s="89">
        <v>140</v>
      </c>
      <c r="F48" s="89">
        <v>9</v>
      </c>
      <c r="G48" s="745" t="s">
        <v>529</v>
      </c>
      <c r="H48" s="277">
        <f>+B22+B21-B48</f>
        <v>0</v>
      </c>
    </row>
    <row r="49" spans="1:8" ht="15">
      <c r="A49" s="241">
        <v>44638</v>
      </c>
      <c r="B49" s="673">
        <v>3265093</v>
      </c>
      <c r="C49" s="85">
        <v>0</v>
      </c>
      <c r="D49" s="89">
        <v>914</v>
      </c>
      <c r="E49" s="89">
        <v>140</v>
      </c>
      <c r="F49" s="89">
        <v>15</v>
      </c>
      <c r="G49" s="745" t="s">
        <v>587</v>
      </c>
      <c r="H49" s="277">
        <f>+B23-B49</f>
        <v>0</v>
      </c>
    </row>
    <row r="50" spans="1:8" ht="15">
      <c r="A50" s="241">
        <v>44655</v>
      </c>
      <c r="B50" s="673">
        <v>630614</v>
      </c>
      <c r="C50" s="85">
        <v>0</v>
      </c>
      <c r="D50" s="89">
        <v>914</v>
      </c>
      <c r="E50" s="89">
        <v>140</v>
      </c>
      <c r="F50" s="89">
        <v>15</v>
      </c>
      <c r="G50" s="745" t="s">
        <v>746</v>
      </c>
      <c r="H50" s="277">
        <f>+B24-B50</f>
        <v>0</v>
      </c>
    </row>
    <row r="51" spans="1:8" ht="15">
      <c r="A51" s="241">
        <v>44720</v>
      </c>
      <c r="B51" s="673">
        <v>45547</v>
      </c>
      <c r="C51" s="85">
        <v>0</v>
      </c>
      <c r="D51" s="89">
        <v>914</v>
      </c>
      <c r="E51" s="89">
        <v>140</v>
      </c>
      <c r="F51" s="89">
        <v>31</v>
      </c>
      <c r="G51" s="745" t="s">
        <v>737</v>
      </c>
      <c r="H51" s="277"/>
    </row>
    <row r="52" spans="1:8" ht="15">
      <c r="A52" s="241">
        <v>44720</v>
      </c>
      <c r="B52" s="673">
        <v>4687710</v>
      </c>
      <c r="C52" s="85">
        <v>0</v>
      </c>
      <c r="D52" s="89">
        <v>914</v>
      </c>
      <c r="E52" s="89">
        <v>140</v>
      </c>
      <c r="F52" s="89">
        <v>33</v>
      </c>
      <c r="G52" s="745" t="s">
        <v>738</v>
      </c>
      <c r="H52" s="277"/>
    </row>
    <row r="53" spans="1:8" ht="15">
      <c r="A53" s="241">
        <v>44748</v>
      </c>
      <c r="B53" s="673">
        <v>592442</v>
      </c>
      <c r="C53" s="85">
        <v>0</v>
      </c>
      <c r="D53" s="89">
        <v>914</v>
      </c>
      <c r="E53" s="89">
        <v>140</v>
      </c>
      <c r="F53" s="89">
        <v>41</v>
      </c>
      <c r="G53" s="745" t="s">
        <v>829</v>
      </c>
      <c r="H53" s="277"/>
    </row>
    <row r="54" spans="1:8" ht="15">
      <c r="A54" s="241">
        <v>44810</v>
      </c>
      <c r="B54" s="673">
        <v>5058184</v>
      </c>
      <c r="C54" s="85">
        <v>0</v>
      </c>
      <c r="D54" s="89">
        <v>914</v>
      </c>
      <c r="E54" s="89">
        <v>140</v>
      </c>
      <c r="F54" s="89">
        <v>59</v>
      </c>
      <c r="G54" s="745" t="s">
        <v>933</v>
      </c>
      <c r="H54" s="277"/>
    </row>
    <row r="55" spans="1:8" ht="15">
      <c r="A55" s="241">
        <v>44942</v>
      </c>
      <c r="B55" s="673">
        <f>+'Cta 11100613'!G12</f>
        <v>6134735</v>
      </c>
      <c r="C55" s="85">
        <v>0</v>
      </c>
      <c r="D55" s="89">
        <f>+'Cta 11100613'!A12</f>
        <v>902</v>
      </c>
      <c r="E55" s="89">
        <f>+'Cta 11100613'!B12</f>
        <v>202</v>
      </c>
      <c r="F55" s="89">
        <f>+'Cta 11100613'!C12</f>
        <v>6</v>
      </c>
      <c r="G55" s="89" t="str">
        <f>+'Cta 11100613'!D12</f>
        <v>. PAGO RETENCION EN LA FUENTE  MES DE DICIEMBRE DE 2022 FONDO ESPECIAL FACULTAD DE INGENIERIA</v>
      </c>
      <c r="H55" s="277"/>
    </row>
    <row r="56" spans="1:8" ht="15">
      <c r="A56" s="241">
        <v>44946</v>
      </c>
      <c r="B56" s="673">
        <f>+'Cta 11100613'!G13</f>
        <v>431654</v>
      </c>
      <c r="C56" s="85">
        <v>0</v>
      </c>
      <c r="D56" s="89">
        <f>+'Cta 11100613'!A13</f>
        <v>902</v>
      </c>
      <c r="E56" s="89">
        <f>+'Cta 11100613'!B13</f>
        <v>202</v>
      </c>
      <c r="F56" s="89">
        <f>+'Cta 11100613'!C13</f>
        <v>69</v>
      </c>
      <c r="G56" s="89" t="str">
        <f>+'Cta 11100613'!D13</f>
        <v>. PAGO RETENCION DE INDUSTRIA Y COMERCIO VI BIMESTRE 2022 FACULTAD DE INGENIERIA</v>
      </c>
      <c r="H56" s="277"/>
    </row>
    <row r="57" spans="1:8" s="73" customFormat="1">
      <c r="A57" s="79" t="s">
        <v>127</v>
      </c>
      <c r="B57" s="92">
        <f>SUM(B38:B56)</f>
        <v>172980516</v>
      </c>
      <c r="C57" s="92">
        <f>SUM(C38:C42)</f>
        <v>0</v>
      </c>
      <c r="D57" s="672"/>
      <c r="G57" s="71"/>
    </row>
    <row r="58" spans="1:8" s="73" customFormat="1">
      <c r="A58" s="79"/>
      <c r="D58" s="672"/>
      <c r="G58" s="71"/>
    </row>
    <row r="59" spans="1:8" s="73" customFormat="1">
      <c r="A59" s="79"/>
      <c r="G59" s="71"/>
    </row>
    <row r="60" spans="1:8" s="73" customFormat="1" ht="36.75" customHeight="1">
      <c r="A60" s="93" t="s">
        <v>226</v>
      </c>
      <c r="B60" s="804">
        <f>+B35-B57</f>
        <v>9862946</v>
      </c>
      <c r="C60" s="94"/>
      <c r="D60" s="1315"/>
      <c r="E60" s="1315"/>
      <c r="F60" s="1315"/>
      <c r="G60" s="1315"/>
    </row>
    <row r="61" spans="1:8">
      <c r="B61" s="232"/>
      <c r="C61" s="94"/>
      <c r="D61" s="907">
        <f>+SUM(D62:D65)</f>
        <v>9889104</v>
      </c>
      <c r="E61" s="73" t="s">
        <v>1144</v>
      </c>
    </row>
    <row r="62" spans="1:8">
      <c r="B62" s="88">
        <f>+B60-D61</f>
        <v>-26158</v>
      </c>
      <c r="C62" s="905" t="s">
        <v>776</v>
      </c>
      <c r="D62" s="906">
        <v>72450</v>
      </c>
      <c r="E62" s="1097">
        <f>+D62*0.004</f>
        <v>289.8</v>
      </c>
    </row>
    <row r="63" spans="1:8">
      <c r="C63" s="1000" t="s">
        <v>1007</v>
      </c>
      <c r="D63" s="1001">
        <f>+'[7]Egresos a Marzo'!$J$126</f>
        <v>1312500</v>
      </c>
      <c r="E63" s="1097">
        <f>+D63*0.004</f>
        <v>5250</v>
      </c>
    </row>
    <row r="64" spans="1:8">
      <c r="C64" s="1000" t="s">
        <v>1033</v>
      </c>
      <c r="D64" s="1001">
        <f>+'[7]Egresos a Marzo'!$I$127+'[7]Egresos a Marzo'!$J$127+'[7]Egresos a Marzo'!$K$127+'[7]Egresos a Marzo'!$K$128+'[7]Egresos a Marzo'!$I$130+'[7]Egresos a Marzo'!$J$130+'[7]Egresos a Marzo'!$K$130</f>
        <v>7191654</v>
      </c>
      <c r="E64" s="1097">
        <f>+D64*0.004</f>
        <v>28766.616000000002</v>
      </c>
    </row>
    <row r="65" spans="3:6">
      <c r="C65" s="1000" t="s">
        <v>1140</v>
      </c>
      <c r="D65" s="1001">
        <f>+'[7]Egresos a Marzo'!$J$136</f>
        <v>1312500</v>
      </c>
      <c r="E65" s="1097">
        <f>+D65*0.004</f>
        <v>5250</v>
      </c>
    </row>
    <row r="66" spans="3:6">
      <c r="D66" s="907">
        <f>+SUM(D62:D65)</f>
        <v>9889104</v>
      </c>
      <c r="E66" s="907">
        <f>+SUM(E62:E65)</f>
        <v>39556.416000000005</v>
      </c>
      <c r="F66" s="232"/>
    </row>
    <row r="67" spans="3:6">
      <c r="D67" s="716">
        <f>+D66-B60</f>
        <v>26158</v>
      </c>
    </row>
  </sheetData>
  <mergeCells count="2">
    <mergeCell ref="D4:H4"/>
    <mergeCell ref="D60:G60"/>
  </mergeCells>
  <pageMargins left="0.7" right="0.7" top="0.75" bottom="0.75" header="0.3" footer="0.3"/>
  <pageSetup scale="44" orientation="portrait" r:id="rId1"/>
  <ignoredErrors>
    <ignoredError sqref="C57" formulaRange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2">
    <tabColor rgb="FF00B0F0"/>
    <pageSetUpPr fitToPage="1"/>
  </sheetPr>
  <dimension ref="A1:AG272"/>
  <sheetViews>
    <sheetView showGridLines="0" topLeftCell="A73" zoomScale="85" zoomScaleNormal="85" workbookViewId="0">
      <selection activeCell="D89" sqref="D89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20" style="6" customWidth="1"/>
    <col min="6" max="6" width="24.5703125" style="19" customWidth="1"/>
    <col min="7" max="7" width="20" style="5" bestFit="1" customWidth="1"/>
    <col min="8" max="8" width="17.85546875" style="5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2030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317</v>
      </c>
      <c r="B5" s="1322"/>
      <c r="C5" s="1322"/>
      <c r="D5" s="1322"/>
      <c r="E5" s="1322"/>
      <c r="F5" s="1322"/>
    </row>
    <row r="6" spans="1:25" ht="30" customHeight="1" thickBot="1">
      <c r="A6" s="1323" t="s">
        <v>1</v>
      </c>
      <c r="B6" s="1324"/>
      <c r="C6" s="1324"/>
      <c r="D6" s="1324"/>
      <c r="E6" s="1324"/>
      <c r="F6" s="352" t="s">
        <v>2</v>
      </c>
    </row>
    <row r="7" spans="1:25" ht="18.600000000000001" customHeight="1">
      <c r="A7" s="353"/>
      <c r="B7" s="354"/>
      <c r="C7" s="354"/>
      <c r="D7" s="354"/>
      <c r="E7" s="355"/>
      <c r="F7" s="356"/>
      <c r="I7" s="12"/>
      <c r="J7" s="12"/>
    </row>
    <row r="8" spans="1:25" ht="18.600000000000001" customHeight="1">
      <c r="A8" s="1320" t="s">
        <v>49</v>
      </c>
      <c r="B8" s="1321"/>
      <c r="C8" s="1321"/>
      <c r="D8" s="1321"/>
      <c r="E8" s="255"/>
      <c r="F8" s="256">
        <f>SUM(E9:E14)</f>
        <v>671153494</v>
      </c>
      <c r="I8" s="13"/>
      <c r="J8" s="12"/>
    </row>
    <row r="9" spans="1:25" ht="18.600000000000001" customHeight="1">
      <c r="A9" s="1316" t="s">
        <v>50</v>
      </c>
      <c r="B9" s="1317"/>
      <c r="C9" s="1317"/>
      <c r="D9" s="1317"/>
      <c r="E9" s="255">
        <v>117983468</v>
      </c>
      <c r="F9" s="256"/>
      <c r="I9" s="12"/>
      <c r="J9" s="12"/>
    </row>
    <row r="10" spans="1:25" ht="18.600000000000001" customHeight="1">
      <c r="A10" s="1316" t="s">
        <v>51</v>
      </c>
      <c r="B10" s="1317"/>
      <c r="C10" s="1317"/>
      <c r="D10" s="1317"/>
      <c r="E10" s="255">
        <v>101676470</v>
      </c>
      <c r="F10" s="256"/>
      <c r="I10" s="12"/>
      <c r="J10" s="12"/>
    </row>
    <row r="11" spans="1:25" ht="18.600000000000001" customHeight="1">
      <c r="A11" s="1316" t="s">
        <v>52</v>
      </c>
      <c r="B11" s="1317"/>
      <c r="C11" s="1317"/>
      <c r="D11" s="1317"/>
      <c r="E11" s="255">
        <v>95549041</v>
      </c>
      <c r="F11" s="258"/>
      <c r="I11" s="13"/>
      <c r="J11" s="13"/>
    </row>
    <row r="12" spans="1:25" ht="18.600000000000001" customHeight="1">
      <c r="A12" s="1316" t="s">
        <v>53</v>
      </c>
      <c r="B12" s="1317"/>
      <c r="C12" s="1317"/>
      <c r="D12" s="1317"/>
      <c r="E12" s="255">
        <v>110217686</v>
      </c>
      <c r="F12" s="258"/>
      <c r="I12" s="12"/>
      <c r="J12" s="12"/>
    </row>
    <row r="13" spans="1:25" ht="18.600000000000001" customHeight="1">
      <c r="A13" s="1316" t="s">
        <v>54</v>
      </c>
      <c r="B13" s="1317"/>
      <c r="C13" s="1317"/>
      <c r="D13" s="1317"/>
      <c r="E13" s="257">
        <v>123927185</v>
      </c>
      <c r="F13" s="258"/>
      <c r="I13" s="12"/>
      <c r="J13" s="12"/>
    </row>
    <row r="14" spans="1:25" ht="18.600000000000001" customHeight="1">
      <c r="A14" s="1316" t="s">
        <v>216</v>
      </c>
      <c r="B14" s="1317"/>
      <c r="C14" s="1317"/>
      <c r="D14" s="1317"/>
      <c r="E14" s="257">
        <v>121799644</v>
      </c>
      <c r="F14" s="258"/>
    </row>
    <row r="15" spans="1:25" ht="18.600000000000001" customHeight="1">
      <c r="A15" s="347"/>
      <c r="B15" s="348"/>
      <c r="C15" s="348"/>
      <c r="D15" s="348"/>
      <c r="E15" s="257"/>
      <c r="F15" s="258"/>
    </row>
    <row r="16" spans="1:25" ht="18.600000000000001" customHeight="1">
      <c r="A16" s="273" t="s">
        <v>55</v>
      </c>
      <c r="B16" s="348"/>
      <c r="C16" s="348"/>
      <c r="D16" s="348"/>
      <c r="E16" s="257"/>
      <c r="F16" s="260">
        <f>+SUM(E17:E18)</f>
        <v>-671142756</v>
      </c>
    </row>
    <row r="17" spans="1:6" ht="18.600000000000001" customHeight="1">
      <c r="A17" s="347" t="s">
        <v>218</v>
      </c>
      <c r="B17" s="348"/>
      <c r="C17" s="348"/>
      <c r="D17" s="348"/>
      <c r="E17" s="257">
        <v>-668468880</v>
      </c>
      <c r="F17" s="258"/>
    </row>
    <row r="18" spans="1:6" ht="18.600000000000001" customHeight="1">
      <c r="A18" s="347" t="s">
        <v>219</v>
      </c>
      <c r="B18" s="348"/>
      <c r="C18" s="348"/>
      <c r="D18" s="348"/>
      <c r="E18" s="257">
        <v>-2673876</v>
      </c>
      <c r="F18" s="258"/>
    </row>
    <row r="19" spans="1:6" ht="18.600000000000001" customHeight="1">
      <c r="A19" s="347"/>
      <c r="B19" s="348"/>
      <c r="C19" s="348"/>
      <c r="D19" s="348"/>
      <c r="E19" s="257"/>
      <c r="F19" s="258"/>
    </row>
    <row r="20" spans="1:6" ht="17.25" customHeight="1">
      <c r="A20" s="273" t="s">
        <v>56</v>
      </c>
      <c r="B20" s="348"/>
      <c r="C20" s="348"/>
      <c r="D20" s="348"/>
      <c r="E20" s="257"/>
      <c r="F20" s="260">
        <f>SUM(E21:E26)</f>
        <v>643294930</v>
      </c>
    </row>
    <row r="21" spans="1:6" ht="18.600000000000001" customHeight="1">
      <c r="A21" s="1316" t="s">
        <v>140</v>
      </c>
      <c r="B21" s="1317"/>
      <c r="C21" s="1317"/>
      <c r="D21" s="1317"/>
      <c r="E21" s="257">
        <v>131473290</v>
      </c>
      <c r="F21" s="260"/>
    </row>
    <row r="22" spans="1:6" ht="18.600000000000001" customHeight="1">
      <c r="A22" s="1316" t="s">
        <v>189</v>
      </c>
      <c r="B22" s="1317"/>
      <c r="C22" s="1317"/>
      <c r="D22" s="1317"/>
      <c r="E22" s="257">
        <v>124015503</v>
      </c>
      <c r="F22" s="260"/>
    </row>
    <row r="23" spans="1:6" ht="18.600000000000001" customHeight="1">
      <c r="A23" s="1316" t="s">
        <v>190</v>
      </c>
      <c r="B23" s="1317"/>
      <c r="C23" s="1317"/>
      <c r="D23" s="1317"/>
      <c r="E23" s="257">
        <v>99922166</v>
      </c>
      <c r="F23" s="260"/>
    </row>
    <row r="24" spans="1:6" ht="18.600000000000001" customHeight="1">
      <c r="A24" s="1316" t="s">
        <v>137</v>
      </c>
      <c r="B24" s="1317"/>
      <c r="C24" s="1317"/>
      <c r="D24" s="1317"/>
      <c r="E24" s="257">
        <v>96652549</v>
      </c>
      <c r="F24" s="258"/>
    </row>
    <row r="25" spans="1:6" ht="18.600000000000001" customHeight="1">
      <c r="A25" s="1316" t="s">
        <v>138</v>
      </c>
      <c r="B25" s="1317"/>
      <c r="C25" s="1317"/>
      <c r="D25" s="1317"/>
      <c r="E25" s="257">
        <v>96608034</v>
      </c>
      <c r="F25" s="258"/>
    </row>
    <row r="26" spans="1:6" ht="18.600000000000001" customHeight="1">
      <c r="A26" s="1316" t="s">
        <v>139</v>
      </c>
      <c r="B26" s="1317"/>
      <c r="C26" s="1317"/>
      <c r="D26" s="1317"/>
      <c r="E26" s="257">
        <v>94623388</v>
      </c>
      <c r="F26" s="258"/>
    </row>
    <row r="27" spans="1:6" ht="18.600000000000001" customHeight="1">
      <c r="A27" s="368"/>
      <c r="B27" s="369"/>
      <c r="C27" s="369"/>
      <c r="D27" s="369"/>
      <c r="E27" s="257"/>
      <c r="F27" s="258"/>
    </row>
    <row r="28" spans="1:6" ht="18.600000000000001" customHeight="1">
      <c r="A28" s="273" t="s">
        <v>55</v>
      </c>
      <c r="B28" s="369"/>
      <c r="C28" s="369"/>
      <c r="D28" s="369"/>
      <c r="E28" s="257"/>
      <c r="F28" s="260">
        <f>+SUM(E29:E30)</f>
        <v>-596913138</v>
      </c>
    </row>
    <row r="29" spans="1:6" ht="18.600000000000001" customHeight="1">
      <c r="A29" s="368" t="s">
        <v>311</v>
      </c>
      <c r="B29" s="369"/>
      <c r="C29" s="369"/>
      <c r="D29" s="369"/>
      <c r="E29" s="257">
        <v>-594534998</v>
      </c>
      <c r="F29" s="258"/>
    </row>
    <row r="30" spans="1:6" ht="18.600000000000001" customHeight="1">
      <c r="A30" s="368" t="s">
        <v>312</v>
      </c>
      <c r="B30" s="369"/>
      <c r="C30" s="369"/>
      <c r="D30" s="369"/>
      <c r="E30" s="257">
        <v>-2378140</v>
      </c>
      <c r="F30" s="258"/>
    </row>
    <row r="31" spans="1:6" ht="18.600000000000001" customHeight="1">
      <c r="A31" s="368"/>
      <c r="B31" s="369"/>
      <c r="C31" s="369"/>
      <c r="D31" s="369"/>
      <c r="E31" s="257"/>
      <c r="F31" s="258"/>
    </row>
    <row r="32" spans="1:6" ht="18.600000000000001" customHeight="1">
      <c r="A32" s="273" t="s">
        <v>310</v>
      </c>
      <c r="B32" s="369"/>
      <c r="C32" s="369"/>
      <c r="D32" s="369"/>
      <c r="E32" s="257"/>
      <c r="F32" s="260">
        <f>SUM(E33:E38)</f>
        <v>492611171</v>
      </c>
    </row>
    <row r="33" spans="1:8" ht="18.600000000000001" customHeight="1">
      <c r="A33" s="1316" t="s">
        <v>296</v>
      </c>
      <c r="B33" s="1317"/>
      <c r="C33" s="1317"/>
      <c r="D33" s="1317"/>
      <c r="E33" s="257">
        <v>90886008</v>
      </c>
      <c r="F33" s="258"/>
    </row>
    <row r="34" spans="1:8" ht="18.600000000000001" customHeight="1">
      <c r="A34" s="1316" t="s">
        <v>309</v>
      </c>
      <c r="B34" s="1317"/>
      <c r="C34" s="1317"/>
      <c r="D34" s="1317"/>
      <c r="E34" s="257">
        <v>85679484</v>
      </c>
      <c r="F34" s="258"/>
    </row>
    <row r="35" spans="1:8" ht="18.600000000000001" customHeight="1">
      <c r="A35" s="1316" t="s">
        <v>370</v>
      </c>
      <c r="B35" s="1317"/>
      <c r="C35" s="1317"/>
      <c r="D35" s="1317"/>
      <c r="E35" s="257">
        <v>83577159</v>
      </c>
      <c r="F35" s="258"/>
    </row>
    <row r="36" spans="1:8" ht="18.600000000000001" customHeight="1">
      <c r="A36" s="1316" t="s">
        <v>435</v>
      </c>
      <c r="B36" s="1317"/>
      <c r="C36" s="1317"/>
      <c r="D36" s="1317"/>
      <c r="E36" s="257">
        <v>79954983</v>
      </c>
      <c r="F36" s="258"/>
    </row>
    <row r="37" spans="1:8" ht="18.600000000000001" customHeight="1">
      <c r="A37" s="1316" t="s">
        <v>475</v>
      </c>
      <c r="B37" s="1317"/>
      <c r="C37" s="1317"/>
      <c r="D37" s="1317"/>
      <c r="E37" s="257">
        <v>77190055</v>
      </c>
      <c r="F37" s="258"/>
    </row>
    <row r="38" spans="1:8" ht="18.600000000000001" customHeight="1">
      <c r="A38" s="1316" t="s">
        <v>495</v>
      </c>
      <c r="B38" s="1317"/>
      <c r="C38" s="1317"/>
      <c r="D38" s="1317"/>
      <c r="E38" s="257">
        <v>75323482</v>
      </c>
      <c r="F38" s="258"/>
    </row>
    <row r="39" spans="1:8" ht="18.600000000000001" customHeight="1">
      <c r="A39" s="733"/>
      <c r="B39" s="734"/>
      <c r="C39" s="734"/>
      <c r="D39" s="734"/>
      <c r="E39" s="257"/>
      <c r="F39" s="258"/>
    </row>
    <row r="40" spans="1:8" ht="18.600000000000001" customHeight="1">
      <c r="A40" s="273" t="s">
        <v>55</v>
      </c>
      <c r="B40" s="734"/>
      <c r="C40" s="734"/>
      <c r="D40" s="734"/>
      <c r="E40" s="257"/>
      <c r="F40" s="260">
        <f>+SUM(E41:E42)</f>
        <v>-488427905</v>
      </c>
    </row>
    <row r="41" spans="1:8" ht="18.600000000000001" customHeight="1">
      <c r="A41" s="733" t="s">
        <v>526</v>
      </c>
      <c r="B41" s="734"/>
      <c r="C41" s="734"/>
      <c r="D41" s="734"/>
      <c r="E41" s="257">
        <v>-486481977</v>
      </c>
      <c r="F41" s="258"/>
    </row>
    <row r="42" spans="1:8" ht="18.600000000000001" customHeight="1">
      <c r="A42" s="733" t="s">
        <v>527</v>
      </c>
      <c r="B42" s="734"/>
      <c r="C42" s="734"/>
      <c r="D42" s="734"/>
      <c r="E42" s="257">
        <v>-1945928</v>
      </c>
      <c r="F42" s="258"/>
    </row>
    <row r="43" spans="1:8" ht="18.600000000000001" customHeight="1">
      <c r="A43" s="706"/>
      <c r="B43" s="707"/>
      <c r="C43" s="707"/>
      <c r="D43" s="707"/>
      <c r="E43" s="257"/>
      <c r="F43" s="258"/>
      <c r="G43" s="5">
        <f>+G54-G53</f>
        <v>0</v>
      </c>
      <c r="H43" s="5">
        <f>+H54*0.004</f>
        <v>0</v>
      </c>
    </row>
    <row r="44" spans="1:8" ht="17.25" customHeight="1">
      <c r="A44" s="273" t="s">
        <v>515</v>
      </c>
      <c r="B44" s="707"/>
      <c r="C44" s="707"/>
      <c r="D44" s="707"/>
      <c r="E44" s="257"/>
      <c r="F44" s="828">
        <f>SUM(E45:E50)</f>
        <v>733145390</v>
      </c>
      <c r="G44" s="12"/>
    </row>
    <row r="45" spans="1:8" ht="18.600000000000001" customHeight="1">
      <c r="A45" s="1316" t="s">
        <v>514</v>
      </c>
      <c r="B45" s="1317"/>
      <c r="C45" s="1317"/>
      <c r="D45" s="1317"/>
      <c r="E45" s="257">
        <v>79669910</v>
      </c>
      <c r="F45" s="258"/>
    </row>
    <row r="46" spans="1:8" ht="18.600000000000001" customHeight="1">
      <c r="A46" s="1316" t="s">
        <v>530</v>
      </c>
      <c r="B46" s="1317"/>
      <c r="C46" s="1317"/>
      <c r="D46" s="1317"/>
      <c r="E46" s="257">
        <v>141928058</v>
      </c>
      <c r="F46" s="258"/>
    </row>
    <row r="47" spans="1:8" ht="18.600000000000001" customHeight="1">
      <c r="A47" s="1316" t="s">
        <v>588</v>
      </c>
      <c r="B47" s="1317"/>
      <c r="C47" s="1317"/>
      <c r="D47" s="1317"/>
      <c r="E47" s="257">
        <v>148673744</v>
      </c>
      <c r="F47" s="258"/>
    </row>
    <row r="48" spans="1:8" ht="18.600000000000001" customHeight="1">
      <c r="A48" s="1316" t="s">
        <v>623</v>
      </c>
      <c r="B48" s="1317"/>
      <c r="C48" s="1317"/>
      <c r="D48" s="1317"/>
      <c r="E48" s="257">
        <v>121721771</v>
      </c>
      <c r="F48" s="258"/>
    </row>
    <row r="49" spans="1:7" ht="18.600000000000001" customHeight="1">
      <c r="A49" s="1316" t="s">
        <v>645</v>
      </c>
      <c r="B49" s="1317"/>
      <c r="C49" s="1317"/>
      <c r="D49" s="1317"/>
      <c r="E49" s="257">
        <v>121638500</v>
      </c>
      <c r="F49" s="258"/>
    </row>
    <row r="50" spans="1:7" ht="18.600000000000001" customHeight="1">
      <c r="A50" s="915" t="s">
        <v>744</v>
      </c>
      <c r="B50" s="916"/>
      <c r="C50" s="916"/>
      <c r="D50" s="916"/>
      <c r="E50" s="257">
        <v>119513407</v>
      </c>
      <c r="F50" s="258"/>
    </row>
    <row r="51" spans="1:7" ht="18.600000000000001" customHeight="1">
      <c r="A51" s="921"/>
      <c r="B51" s="922"/>
      <c r="C51" s="922"/>
      <c r="D51" s="922"/>
      <c r="E51" s="257"/>
      <c r="F51" s="258"/>
    </row>
    <row r="52" spans="1:7" ht="18.600000000000001" customHeight="1">
      <c r="A52" s="273" t="s">
        <v>55</v>
      </c>
      <c r="B52" s="922"/>
      <c r="C52" s="922"/>
      <c r="D52" s="922"/>
      <c r="E52" s="257"/>
      <c r="F52" s="828">
        <f>SUM(E53:E54)</f>
        <v>-733145390</v>
      </c>
    </row>
    <row r="53" spans="1:7" ht="18.600000000000001" customHeight="1">
      <c r="A53" s="915" t="s">
        <v>831</v>
      </c>
      <c r="B53" s="916"/>
      <c r="C53" s="916"/>
      <c r="D53" s="916"/>
      <c r="E53" s="257">
        <v>-730224492</v>
      </c>
      <c r="F53" s="258"/>
    </row>
    <row r="54" spans="1:7" ht="18.600000000000001" customHeight="1">
      <c r="A54" s="915" t="s">
        <v>832</v>
      </c>
      <c r="B54" s="916"/>
      <c r="C54" s="916"/>
      <c r="D54" s="916"/>
      <c r="E54" s="257">
        <v>-2920898</v>
      </c>
      <c r="F54" s="258"/>
    </row>
    <row r="55" spans="1:7" ht="18.600000000000001" customHeight="1">
      <c r="A55" s="921"/>
      <c r="B55" s="922"/>
      <c r="C55" s="922"/>
      <c r="D55" s="922"/>
      <c r="E55" s="257"/>
      <c r="F55" s="258"/>
    </row>
    <row r="56" spans="1:7" ht="18.600000000000001" customHeight="1">
      <c r="A56" s="273" t="s">
        <v>833</v>
      </c>
      <c r="B56" s="922"/>
      <c r="C56" s="922"/>
      <c r="D56" s="922"/>
      <c r="E56" s="257"/>
      <c r="F56" s="260">
        <f>+SUM(E57:E62)</f>
        <v>686902180</v>
      </c>
    </row>
    <row r="57" spans="1:7" ht="18.600000000000001" customHeight="1">
      <c r="A57" s="915" t="s">
        <v>828</v>
      </c>
      <c r="B57" s="916"/>
      <c r="C57" s="916"/>
      <c r="D57" s="916"/>
      <c r="E57" s="255">
        <v>145425468</v>
      </c>
      <c r="F57" s="258"/>
    </row>
    <row r="58" spans="1:7" ht="18.600000000000001" customHeight="1">
      <c r="A58" s="952" t="s">
        <v>868</v>
      </c>
      <c r="B58" s="953"/>
      <c r="C58" s="953"/>
      <c r="D58" s="953"/>
      <c r="E58" s="257">
        <v>175718319</v>
      </c>
      <c r="F58" s="258"/>
      <c r="G58" s="26"/>
    </row>
    <row r="59" spans="1:7" ht="18.600000000000001" customHeight="1">
      <c r="A59" s="965" t="s">
        <v>900</v>
      </c>
      <c r="B59" s="966"/>
      <c r="C59" s="966"/>
      <c r="D59" s="966"/>
      <c r="E59" s="257">
        <v>96722419</v>
      </c>
      <c r="F59" s="258"/>
    </row>
    <row r="60" spans="1:7" ht="18.600000000000001" customHeight="1">
      <c r="A60" s="994" t="s">
        <v>955</v>
      </c>
      <c r="B60" s="995"/>
      <c r="C60" s="995"/>
      <c r="D60" s="995"/>
      <c r="E60" s="257">
        <v>84307762</v>
      </c>
      <c r="F60" s="258"/>
    </row>
    <row r="61" spans="1:7" ht="18.600000000000001" customHeight="1">
      <c r="A61" s="1026" t="s">
        <v>1028</v>
      </c>
      <c r="B61" s="1027"/>
      <c r="C61" s="1027"/>
      <c r="D61" s="1027"/>
      <c r="E61" s="257">
        <v>89493531</v>
      </c>
      <c r="F61" s="258"/>
    </row>
    <row r="62" spans="1:7" ht="18.600000000000001" customHeight="1">
      <c r="A62" s="1072" t="s">
        <v>1137</v>
      </c>
      <c r="B62" s="1073"/>
      <c r="C62" s="1073"/>
      <c r="D62" s="1073"/>
      <c r="E62" s="257">
        <v>95234681</v>
      </c>
      <c r="F62" s="258"/>
    </row>
    <row r="63" spans="1:7" ht="18.600000000000001" customHeight="1">
      <c r="A63" s="1098"/>
      <c r="B63" s="1099"/>
      <c r="C63" s="1099"/>
      <c r="D63" s="1099"/>
      <c r="E63" s="257"/>
      <c r="F63" s="258"/>
    </row>
    <row r="64" spans="1:7" ht="18.600000000000001" customHeight="1">
      <c r="A64" s="273" t="s">
        <v>2002</v>
      </c>
      <c r="B64" s="1099"/>
      <c r="C64" s="1099"/>
      <c r="D64" s="1099"/>
      <c r="F64" s="260">
        <f>+E65</f>
        <v>95396395</v>
      </c>
    </row>
    <row r="65" spans="1:33" ht="18.600000000000001" customHeight="1">
      <c r="A65" s="1098" t="s">
        <v>2003</v>
      </c>
      <c r="B65" s="922"/>
      <c r="C65" s="922"/>
      <c r="D65" s="922"/>
      <c r="E65" s="257">
        <f>+'Mov Cta BBVA'!H5</f>
        <v>95396395</v>
      </c>
      <c r="F65" s="258"/>
    </row>
    <row r="66" spans="1:33" ht="18.600000000000001" customHeight="1">
      <c r="A66" s="1098"/>
      <c r="B66" s="1099"/>
      <c r="C66" s="1099"/>
      <c r="D66" s="1099"/>
      <c r="E66" s="255"/>
      <c r="F66" s="258"/>
    </row>
    <row r="67" spans="1:33" s="5" customFormat="1" ht="18.600000000000001" customHeight="1">
      <c r="A67" s="1320" t="s">
        <v>55</v>
      </c>
      <c r="B67" s="1321"/>
      <c r="C67" s="1321"/>
      <c r="D67" s="1321"/>
      <c r="E67" s="255"/>
      <c r="F67" s="260">
        <f>SUM(E68:E69)</f>
        <v>-50575796</v>
      </c>
      <c r="Z67" s="6"/>
      <c r="AA67" s="6"/>
      <c r="AB67" s="6"/>
      <c r="AC67" s="6"/>
      <c r="AD67" s="6"/>
      <c r="AE67" s="6"/>
      <c r="AF67" s="6"/>
      <c r="AG67" s="6"/>
    </row>
    <row r="68" spans="1:33" s="5" customFormat="1" ht="18.600000000000001" customHeight="1">
      <c r="A68" s="1318" t="s">
        <v>290</v>
      </c>
      <c r="B68" s="1319"/>
      <c r="C68" s="1319"/>
      <c r="D68" s="1319"/>
      <c r="E68" s="255">
        <v>-46392530</v>
      </c>
      <c r="F68" s="258"/>
      <c r="Z68" s="6"/>
      <c r="AA68" s="6"/>
      <c r="AB68" s="6"/>
      <c r="AC68" s="6"/>
      <c r="AD68" s="6"/>
      <c r="AE68" s="6"/>
      <c r="AF68" s="6"/>
      <c r="AG68" s="6"/>
    </row>
    <row r="69" spans="1:33" s="5" customFormat="1" ht="18.600000000000001" customHeight="1">
      <c r="A69" s="1318" t="s">
        <v>290</v>
      </c>
      <c r="B69" s="1319"/>
      <c r="C69" s="1319"/>
      <c r="D69" s="1319"/>
      <c r="E69" s="255">
        <v>-4183266</v>
      </c>
      <c r="F69" s="258"/>
      <c r="Z69" s="6"/>
      <c r="AA69" s="6"/>
      <c r="AB69" s="6"/>
      <c r="AC69" s="6"/>
      <c r="AD69" s="6"/>
      <c r="AE69" s="6"/>
      <c r="AF69" s="6"/>
      <c r="AG69" s="6"/>
    </row>
    <row r="70" spans="1:33" s="5" customFormat="1" ht="18.600000000000001" customHeight="1">
      <c r="A70" s="273"/>
      <c r="B70" s="274"/>
      <c r="C70" s="274"/>
      <c r="D70" s="274"/>
      <c r="E70" s="259"/>
      <c r="F70" s="260"/>
      <c r="Z70" s="6"/>
      <c r="AA70" s="6"/>
      <c r="AB70" s="6"/>
      <c r="AC70" s="6"/>
      <c r="AD70" s="6"/>
      <c r="AE70" s="6"/>
      <c r="AF70" s="6"/>
      <c r="AG70" s="6"/>
    </row>
    <row r="71" spans="1:33" s="5" customFormat="1" ht="24.75" customHeight="1">
      <c r="A71" s="357" t="s">
        <v>2068</v>
      </c>
      <c r="B71" s="350"/>
      <c r="C71" s="350"/>
      <c r="D71" s="350"/>
      <c r="E71" s="351"/>
      <c r="F71" s="1067">
        <f>SUM(F8:F67)</f>
        <v>782298575</v>
      </c>
      <c r="G71" s="1093">
        <f>+F71-E62+F79</f>
        <v>690945797</v>
      </c>
      <c r="Z71" s="6"/>
      <c r="AA71" s="6"/>
      <c r="AB71" s="6"/>
      <c r="AC71" s="6"/>
      <c r="AD71" s="6"/>
      <c r="AE71" s="6"/>
      <c r="AF71" s="6"/>
      <c r="AG71" s="6"/>
    </row>
    <row r="72" spans="1:33" s="5" customFormat="1" ht="18.600000000000001" customHeight="1">
      <c r="A72" s="1318" t="s">
        <v>292</v>
      </c>
      <c r="B72" s="1319"/>
      <c r="C72" s="1319"/>
      <c r="D72" s="1319"/>
      <c r="E72" s="255">
        <v>7108192</v>
      </c>
      <c r="F72" s="258"/>
      <c r="Z72" s="6"/>
      <c r="AA72" s="6"/>
      <c r="AB72" s="6"/>
      <c r="AC72" s="6"/>
      <c r="AD72" s="6"/>
      <c r="AE72" s="6"/>
      <c r="AF72" s="6"/>
      <c r="AG72" s="6"/>
    </row>
    <row r="73" spans="1:33" s="5" customFormat="1" ht="18.600000000000001" customHeight="1">
      <c r="A73" s="1318" t="s">
        <v>375</v>
      </c>
      <c r="B73" s="1319"/>
      <c r="C73" s="1319"/>
      <c r="D73" s="1319"/>
      <c r="E73" s="255">
        <v>8358283</v>
      </c>
      <c r="F73" s="258"/>
      <c r="Z73" s="6"/>
      <c r="AA73" s="6"/>
      <c r="AB73" s="6"/>
      <c r="AC73" s="6"/>
      <c r="AD73" s="6"/>
      <c r="AE73" s="6"/>
      <c r="AF73" s="6"/>
      <c r="AG73" s="6"/>
    </row>
    <row r="74" spans="1:33" s="5" customFormat="1" ht="18.600000000000001" customHeight="1">
      <c r="A74" s="1318" t="s">
        <v>436</v>
      </c>
      <c r="B74" s="1319"/>
      <c r="C74" s="1319"/>
      <c r="D74" s="1319"/>
      <c r="E74" s="255">
        <v>11344980</v>
      </c>
      <c r="F74" s="258"/>
      <c r="Z74" s="6"/>
      <c r="AA74" s="6"/>
      <c r="AB74" s="6"/>
      <c r="AC74" s="6"/>
      <c r="AD74" s="6"/>
      <c r="AE74" s="6"/>
      <c r="AF74" s="6"/>
      <c r="AG74" s="6"/>
    </row>
    <row r="75" spans="1:33" s="5" customFormat="1" ht="18.600000000000001" customHeight="1">
      <c r="A75" s="1318" t="s">
        <v>496</v>
      </c>
      <c r="B75" s="1319"/>
      <c r="C75" s="1319"/>
      <c r="D75" s="1319"/>
      <c r="E75" s="255">
        <v>8082867</v>
      </c>
      <c r="F75" s="258"/>
      <c r="Z75" s="6"/>
      <c r="AA75" s="6"/>
      <c r="AB75" s="6"/>
      <c r="AC75" s="6"/>
      <c r="AD75" s="6"/>
      <c r="AE75" s="6"/>
      <c r="AF75" s="6"/>
      <c r="AG75" s="6"/>
    </row>
    <row r="76" spans="1:33" s="5" customFormat="1" ht="18.600000000000001" customHeight="1">
      <c r="A76" s="1318" t="s">
        <v>560</v>
      </c>
      <c r="B76" s="1319"/>
      <c r="C76" s="1319"/>
      <c r="D76" s="1319"/>
      <c r="E76" s="255">
        <v>9154452</v>
      </c>
      <c r="F76" s="258"/>
      <c r="Z76" s="6"/>
      <c r="AA76" s="6"/>
      <c r="AB76" s="6"/>
      <c r="AC76" s="6"/>
      <c r="AD76" s="6"/>
      <c r="AE76" s="6"/>
      <c r="AF76" s="6"/>
      <c r="AG76" s="6"/>
    </row>
    <row r="77" spans="1:33" s="5" customFormat="1" ht="18.600000000000001" customHeight="1">
      <c r="A77" s="1318" t="s">
        <v>622</v>
      </c>
      <c r="B77" s="1319"/>
      <c r="C77" s="1319"/>
      <c r="D77" s="1319"/>
      <c r="E77" s="257">
        <v>2334847</v>
      </c>
      <c r="F77" s="258"/>
      <c r="Z77" s="6"/>
      <c r="AA77" s="6"/>
      <c r="AB77" s="6"/>
      <c r="AC77" s="6"/>
      <c r="AD77" s="6"/>
      <c r="AE77" s="6"/>
      <c r="AF77" s="6"/>
      <c r="AG77" s="6"/>
    </row>
    <row r="78" spans="1:33" s="5" customFormat="1" ht="18.600000000000001" customHeight="1">
      <c r="A78" s="1318" t="s">
        <v>1013</v>
      </c>
      <c r="B78" s="1319"/>
      <c r="C78" s="1319"/>
      <c r="D78" s="1319"/>
      <c r="E78" s="255">
        <f>299106+11166</f>
        <v>310272</v>
      </c>
      <c r="F78" s="258"/>
      <c r="Z78" s="6"/>
      <c r="AA78" s="6"/>
      <c r="AB78" s="6"/>
      <c r="AC78" s="6"/>
      <c r="AD78" s="6"/>
      <c r="AE78" s="6"/>
      <c r="AF78" s="6"/>
      <c r="AG78" s="6"/>
    </row>
    <row r="79" spans="1:33" s="20" customFormat="1" ht="16.5" thickBot="1">
      <c r="A79" s="358" t="s">
        <v>291</v>
      </c>
      <c r="B79" s="359"/>
      <c r="C79" s="360"/>
      <c r="D79" s="134"/>
      <c r="E79" s="1043">
        <f>SUM(E72:E78)</f>
        <v>46693893</v>
      </c>
      <c r="F79" s="1066">
        <f>-E68-E69-E72-E75-E73-E74-E76-E77-E78</f>
        <v>3881903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33" s="20" customFormat="1" ht="15.75">
      <c r="A80" s="6"/>
      <c r="B80" s="6"/>
      <c r="C80" s="16"/>
      <c r="D80" s="17"/>
      <c r="E80" s="21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22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15.75">
      <c r="A82" s="6"/>
      <c r="B82" s="6"/>
      <c r="C82" s="16"/>
      <c r="D82" s="17"/>
      <c r="E82" s="22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5" customFormat="1" ht="16.5" thickBot="1">
      <c r="A83" s="23"/>
      <c r="B83" s="24"/>
      <c r="C83" s="25"/>
      <c r="D83" s="134"/>
      <c r="E83" s="135"/>
      <c r="F83" s="136"/>
    </row>
    <row r="84" spans="1:25" s="5" customFormat="1" ht="15" customHeight="1">
      <c r="A84" s="1327" t="s">
        <v>135</v>
      </c>
      <c r="B84" s="1327"/>
      <c r="C84" s="1"/>
      <c r="D84" s="1327" t="s">
        <v>554</v>
      </c>
      <c r="E84" s="1327"/>
      <c r="F84" s="132"/>
    </row>
    <row r="85" spans="1:25" s="5" customFormat="1" ht="14.45" customHeight="1">
      <c r="A85" s="1325" t="s">
        <v>145</v>
      </c>
      <c r="B85" s="1325"/>
      <c r="C85" s="2"/>
      <c r="D85" s="1325" t="s">
        <v>556</v>
      </c>
      <c r="E85" s="1325"/>
      <c r="F85" s="133"/>
    </row>
    <row r="86" spans="1:25" s="5" customFormat="1" ht="15.75" customHeight="1">
      <c r="A86" s="1325" t="s">
        <v>48</v>
      </c>
      <c r="B86" s="1325"/>
      <c r="C86" s="2"/>
      <c r="D86" s="1325" t="s">
        <v>48</v>
      </c>
      <c r="E86" s="1325"/>
      <c r="F86" s="133"/>
    </row>
    <row r="87" spans="1:25" s="20" customFormat="1" ht="15.75" customHeight="1">
      <c r="A87" s="6"/>
      <c r="B87" s="6"/>
      <c r="C87" s="16"/>
      <c r="D87" s="1326" t="s">
        <v>555</v>
      </c>
      <c r="E87" s="1326"/>
      <c r="F87" s="133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15.75">
      <c r="A88" s="6"/>
      <c r="B88" s="6"/>
      <c r="C88" s="16"/>
      <c r="D88" s="17"/>
      <c r="E88" s="22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15.75">
      <c r="A89" s="6"/>
      <c r="B89" s="6"/>
      <c r="C89" s="16"/>
      <c r="D89" s="17"/>
      <c r="E89" s="22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15.75">
      <c r="A90" s="27"/>
      <c r="B90" s="27"/>
      <c r="C90" s="27"/>
      <c r="D90" s="27"/>
      <c r="E90" s="27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5" customFormat="1" ht="15.75">
      <c r="A91" s="27"/>
      <c r="B91" s="27"/>
      <c r="C91" s="27"/>
      <c r="D91" s="27"/>
      <c r="E91" s="27"/>
      <c r="F91" s="26"/>
    </row>
    <row r="92" spans="1:25" s="5" customFormat="1" ht="15" customHeight="1">
      <c r="A92" s="27"/>
      <c r="B92" s="27"/>
      <c r="C92" s="27"/>
      <c r="D92" s="27"/>
      <c r="E92" s="27"/>
      <c r="F92" s="26"/>
    </row>
    <row r="93" spans="1:25" s="5" customFormat="1" ht="14.45" customHeight="1">
      <c r="A93" s="27"/>
      <c r="B93" s="27"/>
      <c r="C93" s="27"/>
      <c r="D93" s="27"/>
      <c r="E93" s="27"/>
      <c r="F93" s="26"/>
    </row>
    <row r="94" spans="1:25" s="5" customFormat="1" ht="14.45" customHeight="1">
      <c r="A94" s="27"/>
      <c r="B94" s="27"/>
      <c r="C94" s="27"/>
      <c r="D94" s="27"/>
      <c r="E94" s="27"/>
      <c r="F94" s="26"/>
    </row>
    <row r="95" spans="1:25" s="20" customFormat="1" ht="15.75">
      <c r="A95" s="27"/>
      <c r="B95" s="27"/>
      <c r="C95" s="27"/>
      <c r="D95" s="27"/>
      <c r="E95" s="27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15.75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15.75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15.75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15.75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15.75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15.75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15.75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15.75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15.75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15.75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15.75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15.75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15.75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15.75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15.75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15.75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15.75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15.75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15.75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s="20" customFormat="1" ht="89.25" customHeight="1">
      <c r="A240" s="6"/>
      <c r="B240" s="6"/>
      <c r="C240" s="16"/>
      <c r="D240" s="17"/>
      <c r="E240" s="6"/>
      <c r="F240" s="19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s="20" customFormat="1" ht="89.25" customHeight="1">
      <c r="A241" s="6"/>
      <c r="B241" s="6"/>
      <c r="C241" s="16"/>
      <c r="D241" s="17"/>
      <c r="E241" s="6"/>
      <c r="F241" s="19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s="20" customFormat="1" ht="89.25" customHeight="1">
      <c r="A242" s="6"/>
      <c r="B242" s="6"/>
      <c r="C242" s="16"/>
      <c r="D242" s="17"/>
      <c r="E242" s="6"/>
      <c r="F242" s="19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s="20" customFormat="1" ht="89.25" customHeight="1">
      <c r="A243" s="6"/>
      <c r="B243" s="6"/>
      <c r="C243" s="16"/>
      <c r="D243" s="17"/>
      <c r="E243" s="6"/>
      <c r="F243" s="19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s="20" customFormat="1" ht="89.25" customHeight="1">
      <c r="A244" s="6"/>
      <c r="B244" s="6"/>
      <c r="C244" s="16"/>
      <c r="D244" s="17"/>
      <c r="E244" s="6"/>
      <c r="F244" s="19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s="20" customFormat="1" ht="89.25" customHeight="1">
      <c r="A245" s="6"/>
      <c r="B245" s="6"/>
      <c r="C245" s="16"/>
      <c r="D245" s="17"/>
      <c r="E245" s="6"/>
      <c r="F245" s="19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s="20" customFormat="1" ht="89.25" customHeight="1">
      <c r="A246" s="6"/>
      <c r="B246" s="6"/>
      <c r="C246" s="16"/>
      <c r="D246" s="17"/>
      <c r="E246" s="6"/>
      <c r="F246" s="19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s="20" customFormat="1" ht="89.25" customHeight="1">
      <c r="A247" s="6"/>
      <c r="B247" s="6"/>
      <c r="C247" s="16"/>
      <c r="D247" s="17"/>
      <c r="E247" s="6"/>
      <c r="F247" s="19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s="20" customFormat="1" ht="89.25" customHeight="1">
      <c r="A248" s="6"/>
      <c r="B248" s="6"/>
      <c r="C248" s="16"/>
      <c r="D248" s="17"/>
      <c r="E248" s="6"/>
      <c r="F248" s="19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s="20" customFormat="1" ht="89.25" customHeight="1">
      <c r="A249" s="6"/>
      <c r="B249" s="6"/>
      <c r="C249" s="16"/>
      <c r="D249" s="17"/>
      <c r="E249" s="6"/>
      <c r="F249" s="19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 s="20" customFormat="1" ht="89.25" customHeight="1">
      <c r="A250" s="6"/>
      <c r="B250" s="6"/>
      <c r="C250" s="16"/>
      <c r="D250" s="17"/>
      <c r="E250" s="6"/>
      <c r="F250" s="19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s="20" customFormat="1" ht="89.25" customHeight="1">
      <c r="A251" s="6"/>
      <c r="B251" s="6"/>
      <c r="C251" s="16"/>
      <c r="D251" s="17"/>
      <c r="E251" s="6"/>
      <c r="F251" s="19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 s="20" customFormat="1" ht="89.25" customHeight="1">
      <c r="A252" s="6"/>
      <c r="B252" s="6"/>
      <c r="C252" s="16"/>
      <c r="D252" s="17"/>
      <c r="E252" s="6"/>
      <c r="F252" s="19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 s="20" customFormat="1" ht="89.25" customHeight="1">
      <c r="A253" s="6"/>
      <c r="B253" s="6"/>
      <c r="C253" s="16"/>
      <c r="D253" s="17"/>
      <c r="E253" s="6"/>
      <c r="F253" s="19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 s="20" customFormat="1" ht="89.25" customHeight="1">
      <c r="A254" s="6"/>
      <c r="B254" s="6"/>
      <c r="C254" s="16"/>
      <c r="D254" s="17"/>
      <c r="E254" s="6"/>
      <c r="F254" s="19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s="20" customFormat="1" ht="89.25" customHeight="1">
      <c r="A255" s="6"/>
      <c r="B255" s="6"/>
      <c r="C255" s="16"/>
      <c r="D255" s="17"/>
      <c r="E255" s="6"/>
      <c r="F255" s="19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s="20" customFormat="1" ht="89.25" customHeight="1">
      <c r="A256" s="6"/>
      <c r="B256" s="6"/>
      <c r="C256" s="16"/>
      <c r="D256" s="17"/>
      <c r="E256" s="6"/>
      <c r="F256" s="19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s="20" customFormat="1" ht="89.25" customHeight="1">
      <c r="A257" s="6"/>
      <c r="B257" s="6"/>
      <c r="C257" s="16"/>
      <c r="D257" s="17"/>
      <c r="E257" s="6"/>
      <c r="F257" s="19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s="20" customFormat="1" ht="89.25" customHeight="1">
      <c r="A258" s="6"/>
      <c r="B258" s="6"/>
      <c r="C258" s="16"/>
      <c r="D258" s="17"/>
      <c r="E258" s="6"/>
      <c r="F258" s="19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s="20" customFormat="1" ht="89.25" customHeight="1">
      <c r="A259" s="6"/>
      <c r="B259" s="6"/>
      <c r="C259" s="16"/>
      <c r="D259" s="17"/>
      <c r="E259" s="6"/>
      <c r="F259" s="19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s="20" customFormat="1" ht="89.25" customHeight="1">
      <c r="A260" s="6"/>
      <c r="B260" s="6"/>
      <c r="C260" s="16"/>
      <c r="D260" s="17"/>
      <c r="E260" s="6"/>
      <c r="F260" s="19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s="20" customFormat="1" ht="89.25" customHeight="1">
      <c r="A261" s="6"/>
      <c r="B261" s="6"/>
      <c r="C261" s="16"/>
      <c r="D261" s="17"/>
      <c r="E261" s="6"/>
      <c r="F261" s="19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s="20" customFormat="1" ht="89.25" customHeight="1">
      <c r="A262" s="6"/>
      <c r="B262" s="6"/>
      <c r="C262" s="16"/>
      <c r="D262" s="17"/>
      <c r="E262" s="6"/>
      <c r="F262" s="19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s="20" customFormat="1" ht="89.25" customHeight="1">
      <c r="A263" s="6"/>
      <c r="B263" s="6"/>
      <c r="C263" s="16"/>
      <c r="D263" s="17"/>
      <c r="E263" s="6"/>
      <c r="F263" s="19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s="20" customFormat="1" ht="89.25" customHeight="1">
      <c r="A264" s="6"/>
      <c r="B264" s="6"/>
      <c r="C264" s="16"/>
      <c r="D264" s="17"/>
      <c r="E264" s="6"/>
      <c r="F264" s="19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s="20" customFormat="1" ht="89.25" customHeight="1">
      <c r="A265" s="6"/>
      <c r="B265" s="6"/>
      <c r="C265" s="16"/>
      <c r="D265" s="17"/>
      <c r="E265" s="6"/>
      <c r="F265" s="19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s="20" customFormat="1" ht="89.25" customHeight="1">
      <c r="A266" s="6"/>
      <c r="B266" s="6"/>
      <c r="C266" s="16"/>
      <c r="D266" s="17"/>
      <c r="E266" s="6"/>
      <c r="F266" s="19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s="20" customFormat="1" ht="89.25" customHeight="1">
      <c r="A267" s="6"/>
      <c r="B267" s="6"/>
      <c r="C267" s="16"/>
      <c r="D267" s="17"/>
      <c r="E267" s="6"/>
      <c r="F267" s="19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s="20" customFormat="1" ht="89.25" customHeight="1">
      <c r="A268" s="6"/>
      <c r="B268" s="6"/>
      <c r="C268" s="16"/>
      <c r="D268" s="17"/>
      <c r="E268" s="6"/>
      <c r="F268" s="19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s="20" customFormat="1" ht="89.25" customHeight="1">
      <c r="A269" s="6"/>
      <c r="B269" s="6"/>
      <c r="C269" s="16"/>
      <c r="D269" s="17"/>
      <c r="E269" s="6"/>
      <c r="F269" s="19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s="20" customFormat="1" ht="89.25" customHeight="1">
      <c r="A270" s="6"/>
      <c r="B270" s="6"/>
      <c r="C270" s="16"/>
      <c r="D270" s="17"/>
      <c r="E270" s="6"/>
      <c r="F270" s="19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s="20" customFormat="1" ht="89.25" customHeight="1">
      <c r="A271" s="6"/>
      <c r="B271" s="6"/>
      <c r="C271" s="16"/>
      <c r="D271" s="17"/>
      <c r="E271" s="6"/>
      <c r="F271" s="19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s="20" customFormat="1" ht="89.25" customHeight="1">
      <c r="A272" s="6"/>
      <c r="B272" s="6"/>
      <c r="C272" s="16"/>
      <c r="D272" s="17"/>
      <c r="E272" s="6"/>
      <c r="F272" s="19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</sheetData>
  <mergeCells count="45">
    <mergeCell ref="D86:E86"/>
    <mergeCell ref="A37:D37"/>
    <mergeCell ref="D87:E87"/>
    <mergeCell ref="A84:B84"/>
    <mergeCell ref="A85:B85"/>
    <mergeCell ref="A86:B86"/>
    <mergeCell ref="D84:E84"/>
    <mergeCell ref="A72:D72"/>
    <mergeCell ref="A74:D74"/>
    <mergeCell ref="D85:E85"/>
    <mergeCell ref="A78:D78"/>
    <mergeCell ref="A46:D46"/>
    <mergeCell ref="A1:F3"/>
    <mergeCell ref="A4:F4"/>
    <mergeCell ref="A5:F5"/>
    <mergeCell ref="A6:E6"/>
    <mergeCell ref="A8:D8"/>
    <mergeCell ref="A9:D9"/>
    <mergeCell ref="A22:D22"/>
    <mergeCell ref="A23:D23"/>
    <mergeCell ref="A35:D35"/>
    <mergeCell ref="A76:D76"/>
    <mergeCell ref="A67:D67"/>
    <mergeCell ref="A68:D68"/>
    <mergeCell ref="A34:D34"/>
    <mergeCell ref="A48:D48"/>
    <mergeCell ref="A10:D10"/>
    <mergeCell ref="A11:D11"/>
    <mergeCell ref="A12:D12"/>
    <mergeCell ref="A13:D13"/>
    <mergeCell ref="A26:D26"/>
    <mergeCell ref="A14:D14"/>
    <mergeCell ref="A24:D24"/>
    <mergeCell ref="A21:D21"/>
    <mergeCell ref="A77:D77"/>
    <mergeCell ref="A36:D36"/>
    <mergeCell ref="A25:D25"/>
    <mergeCell ref="A45:D45"/>
    <mergeCell ref="A47:D47"/>
    <mergeCell ref="A69:D69"/>
    <mergeCell ref="A49:D49"/>
    <mergeCell ref="A73:D73"/>
    <mergeCell ref="A75:D75"/>
    <mergeCell ref="A38:D38"/>
    <mergeCell ref="A33:D33"/>
  </mergeCells>
  <phoneticPr fontId="19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3"/>
  <dimension ref="A1:AE808"/>
  <sheetViews>
    <sheetView showGridLines="0" workbookViewId="0">
      <pane ySplit="2" topLeftCell="A257" activePane="bottomLeft" state="frozen"/>
      <selection pane="bottomLeft" activeCell="N3" sqref="N3:N264"/>
    </sheetView>
  </sheetViews>
  <sheetFormatPr baseColWidth="10" defaultRowHeight="15"/>
  <cols>
    <col min="1" max="1" width="11.85546875" bestFit="1" customWidth="1"/>
    <col min="4" max="4" width="15.5703125" customWidth="1"/>
    <col min="5" max="5" width="12.5703125" customWidth="1"/>
    <col min="6" max="6" width="17.140625" customWidth="1"/>
    <col min="7" max="7" width="12.85546875" customWidth="1"/>
    <col min="8" max="8" width="16.28515625" customWidth="1"/>
    <col min="10" max="10" width="14.140625" bestFit="1" customWidth="1"/>
    <col min="13" max="13" width="15" customWidth="1"/>
    <col min="14" max="14" width="15.5703125" style="298" bestFit="1" customWidth="1"/>
    <col min="15" max="15" width="15" style="682" bestFit="1" customWidth="1"/>
    <col min="16" max="16" width="14" style="682" bestFit="1" customWidth="1"/>
    <col min="17" max="17" width="13" style="682" bestFit="1" customWidth="1"/>
    <col min="18" max="18" width="14.42578125" style="682" bestFit="1" customWidth="1"/>
    <col min="19" max="19" width="15.5703125" style="682" bestFit="1" customWidth="1"/>
    <col min="20" max="20" width="15.140625" style="682" bestFit="1" customWidth="1"/>
    <col min="21" max="21" width="11.7109375" bestFit="1" customWidth="1"/>
    <col min="22" max="22" width="14.140625" style="298" bestFit="1" customWidth="1"/>
    <col min="23" max="23" width="14.140625" bestFit="1" customWidth="1"/>
    <col min="24" max="24" width="11.42578125" style="298"/>
    <col min="26" max="26" width="16.7109375" style="677" bestFit="1" customWidth="1"/>
    <col min="27" max="16384" width="11.42578125" style="674"/>
  </cols>
  <sheetData>
    <row r="1" spans="1:31" ht="97.5" customHeight="1">
      <c r="A1" s="587"/>
      <c r="B1" s="297"/>
      <c r="C1" s="297"/>
      <c r="D1" s="1328" t="s">
        <v>1358</v>
      </c>
      <c r="E1" s="1328"/>
      <c r="F1" s="1328"/>
      <c r="G1" s="1328"/>
      <c r="H1" s="1328"/>
      <c r="I1" s="1328"/>
      <c r="J1" s="1328"/>
      <c r="K1" s="1328"/>
      <c r="L1" s="1328"/>
      <c r="M1" s="1328"/>
      <c r="N1" s="1328"/>
      <c r="O1" s="1328"/>
      <c r="P1" s="1328"/>
      <c r="Q1" s="1328"/>
      <c r="R1" s="1328"/>
      <c r="S1" s="1328"/>
      <c r="T1" s="1328"/>
      <c r="U1" s="1328"/>
      <c r="V1" s="1328"/>
      <c r="W1" s="1328"/>
      <c r="X1" s="679"/>
      <c r="Y1" s="297"/>
    </row>
    <row r="2" spans="1:31" s="676" customFormat="1" ht="36">
      <c r="A2" s="675" t="s">
        <v>478</v>
      </c>
      <c r="B2" s="675" t="s">
        <v>479</v>
      </c>
      <c r="C2" s="675" t="s">
        <v>447</v>
      </c>
      <c r="D2" s="675" t="s">
        <v>390</v>
      </c>
      <c r="E2" s="675" t="s">
        <v>729</v>
      </c>
      <c r="F2" s="675" t="s">
        <v>250</v>
      </c>
      <c r="G2" s="675" t="s">
        <v>448</v>
      </c>
      <c r="H2" s="675" t="s">
        <v>449</v>
      </c>
      <c r="I2" s="675" t="s">
        <v>450</v>
      </c>
      <c r="J2" s="675" t="s">
        <v>498</v>
      </c>
      <c r="K2" s="675" t="s">
        <v>451</v>
      </c>
      <c r="L2" s="675" t="s">
        <v>452</v>
      </c>
      <c r="M2" s="675" t="s">
        <v>453</v>
      </c>
      <c r="N2" s="680" t="s">
        <v>253</v>
      </c>
      <c r="O2" s="681" t="s">
        <v>454</v>
      </c>
      <c r="P2" s="681" t="s">
        <v>455</v>
      </c>
      <c r="Q2" s="681" t="s">
        <v>456</v>
      </c>
      <c r="R2" s="681" t="s">
        <v>457</v>
      </c>
      <c r="S2" s="681" t="s">
        <v>458</v>
      </c>
      <c r="T2" s="681" t="s">
        <v>459</v>
      </c>
      <c r="U2" s="675" t="s">
        <v>31</v>
      </c>
      <c r="V2" s="680" t="s">
        <v>75</v>
      </c>
      <c r="W2" s="675" t="s">
        <v>499</v>
      </c>
      <c r="X2" s="680" t="s">
        <v>500</v>
      </c>
      <c r="Y2" s="675" t="s">
        <v>460</v>
      </c>
      <c r="Z2" s="678" t="s">
        <v>252</v>
      </c>
      <c r="AA2" s="678" t="s">
        <v>501</v>
      </c>
      <c r="AB2" s="678" t="s">
        <v>502</v>
      </c>
      <c r="AC2" s="678" t="s">
        <v>461</v>
      </c>
      <c r="AD2" s="676" t="s">
        <v>502</v>
      </c>
      <c r="AE2" s="676" t="s">
        <v>461</v>
      </c>
    </row>
    <row r="3" spans="1:31" s="382" customFormat="1">
      <c r="A3" s="668">
        <v>170</v>
      </c>
      <c r="B3" s="668">
        <v>1</v>
      </c>
      <c r="C3" s="668">
        <v>74344</v>
      </c>
      <c r="D3" s="668">
        <v>182</v>
      </c>
      <c r="E3" s="668" t="s">
        <v>1337</v>
      </c>
      <c r="F3" s="668" t="s">
        <v>1339</v>
      </c>
      <c r="G3" s="668">
        <v>901539081</v>
      </c>
      <c r="H3" s="668" t="s">
        <v>1359</v>
      </c>
      <c r="I3" s="668" t="s">
        <v>1360</v>
      </c>
      <c r="J3" s="668" t="s">
        <v>503</v>
      </c>
      <c r="K3" s="668" t="s">
        <v>1361</v>
      </c>
      <c r="L3" s="668">
        <v>339008</v>
      </c>
      <c r="M3" s="298">
        <v>44930</v>
      </c>
      <c r="N3" s="812">
        <v>2160274</v>
      </c>
      <c r="O3" s="812">
        <v>0</v>
      </c>
      <c r="P3" s="812">
        <v>0</v>
      </c>
      <c r="Q3" s="812">
        <v>0</v>
      </c>
      <c r="R3" s="812">
        <v>0</v>
      </c>
      <c r="S3" s="812">
        <v>2160274</v>
      </c>
      <c r="T3" s="668">
        <v>339008</v>
      </c>
      <c r="U3" s="298">
        <v>44931</v>
      </c>
      <c r="V3" s="668" t="s">
        <v>261</v>
      </c>
      <c r="W3" s="668"/>
      <c r="X3" s="668"/>
      <c r="Y3" s="298">
        <v>44931</v>
      </c>
      <c r="Z3" s="668" t="s">
        <v>257</v>
      </c>
      <c r="AA3" s="668" t="s">
        <v>1362</v>
      </c>
      <c r="AB3" s="668" t="s">
        <v>506</v>
      </c>
      <c r="AC3" s="668">
        <v>79999250</v>
      </c>
    </row>
    <row r="4" spans="1:31" s="382" customFormat="1">
      <c r="A4" s="668">
        <v>170</v>
      </c>
      <c r="B4" s="668">
        <v>2</v>
      </c>
      <c r="C4" s="668">
        <v>72404</v>
      </c>
      <c r="D4" s="668">
        <v>185</v>
      </c>
      <c r="E4" s="668" t="s">
        <v>566</v>
      </c>
      <c r="F4" s="668" t="s">
        <v>1336</v>
      </c>
      <c r="G4" s="668">
        <v>901556874</v>
      </c>
      <c r="H4" s="668" t="s">
        <v>1363</v>
      </c>
      <c r="I4" s="668" t="s">
        <v>1364</v>
      </c>
      <c r="J4" s="668" t="s">
        <v>503</v>
      </c>
      <c r="K4" s="668" t="s">
        <v>1365</v>
      </c>
      <c r="L4" s="668">
        <v>344414</v>
      </c>
      <c r="M4" s="298">
        <v>44930</v>
      </c>
      <c r="N4" s="812">
        <v>2924615.14</v>
      </c>
      <c r="O4" s="812">
        <v>0</v>
      </c>
      <c r="P4" s="812">
        <v>0</v>
      </c>
      <c r="Q4" s="812">
        <v>0</v>
      </c>
      <c r="R4" s="812">
        <v>0</v>
      </c>
      <c r="S4" s="812">
        <v>2924615.14</v>
      </c>
      <c r="T4" s="668">
        <v>344414</v>
      </c>
      <c r="U4" s="298">
        <v>44931</v>
      </c>
      <c r="V4" s="668" t="s">
        <v>261</v>
      </c>
      <c r="W4" s="668"/>
      <c r="X4" s="668"/>
      <c r="Y4" s="298">
        <v>44931</v>
      </c>
      <c r="Z4" s="668" t="s">
        <v>254</v>
      </c>
      <c r="AA4" s="668" t="s">
        <v>536</v>
      </c>
      <c r="AB4" s="668" t="s">
        <v>647</v>
      </c>
      <c r="AC4" s="668">
        <v>79954010</v>
      </c>
    </row>
    <row r="5" spans="1:31" s="382" customFormat="1">
      <c r="A5" s="668">
        <v>170</v>
      </c>
      <c r="B5" s="668">
        <v>3</v>
      </c>
      <c r="C5" s="668">
        <v>74874</v>
      </c>
      <c r="D5" s="668">
        <v>189</v>
      </c>
      <c r="E5" s="668" t="s">
        <v>664</v>
      </c>
      <c r="F5" s="668" t="s">
        <v>665</v>
      </c>
      <c r="G5" s="668">
        <v>901578549</v>
      </c>
      <c r="H5" s="668" t="s">
        <v>670</v>
      </c>
      <c r="I5" s="668" t="s">
        <v>1366</v>
      </c>
      <c r="J5" s="668" t="s">
        <v>503</v>
      </c>
      <c r="K5" s="668" t="s">
        <v>859</v>
      </c>
      <c r="L5" s="668">
        <v>346520</v>
      </c>
      <c r="M5" s="298">
        <v>44930</v>
      </c>
      <c r="N5" s="812">
        <v>4156119</v>
      </c>
      <c r="O5" s="812">
        <v>0</v>
      </c>
      <c r="P5" s="812">
        <v>0</v>
      </c>
      <c r="Q5" s="812">
        <v>0</v>
      </c>
      <c r="R5" s="812">
        <v>0</v>
      </c>
      <c r="S5" s="812">
        <v>4156119</v>
      </c>
      <c r="T5" s="668">
        <v>346520</v>
      </c>
      <c r="U5" s="298">
        <v>44931</v>
      </c>
      <c r="V5" s="668" t="s">
        <v>261</v>
      </c>
      <c r="W5" s="668"/>
      <c r="X5" s="668"/>
      <c r="Y5" s="298">
        <v>44931</v>
      </c>
      <c r="Z5" s="668" t="s">
        <v>258</v>
      </c>
      <c r="AA5" s="668" t="s">
        <v>661</v>
      </c>
      <c r="AB5" s="668" t="s">
        <v>506</v>
      </c>
      <c r="AC5" s="668">
        <v>77224710</v>
      </c>
    </row>
    <row r="6" spans="1:31" s="382" customFormat="1">
      <c r="A6" s="668">
        <v>170</v>
      </c>
      <c r="B6" s="668">
        <v>4</v>
      </c>
      <c r="C6" s="668">
        <v>72404</v>
      </c>
      <c r="D6" s="668">
        <v>185</v>
      </c>
      <c r="E6" s="668" t="s">
        <v>566</v>
      </c>
      <c r="F6" s="668" t="s">
        <v>1336</v>
      </c>
      <c r="G6" s="668">
        <v>901556874</v>
      </c>
      <c r="H6" s="668" t="s">
        <v>1363</v>
      </c>
      <c r="I6" s="668" t="s">
        <v>1367</v>
      </c>
      <c r="J6" s="668" t="s">
        <v>503</v>
      </c>
      <c r="K6" s="668" t="s">
        <v>1365</v>
      </c>
      <c r="L6" s="668">
        <v>346549</v>
      </c>
      <c r="M6" s="298">
        <v>44930</v>
      </c>
      <c r="N6" s="812">
        <v>1242392</v>
      </c>
      <c r="O6" s="812">
        <v>0</v>
      </c>
      <c r="P6" s="812">
        <v>0</v>
      </c>
      <c r="Q6" s="812">
        <v>0</v>
      </c>
      <c r="R6" s="812">
        <v>0</v>
      </c>
      <c r="S6" s="812">
        <v>1242392</v>
      </c>
      <c r="T6" s="668">
        <v>346549</v>
      </c>
      <c r="U6" s="298">
        <v>44931</v>
      </c>
      <c r="V6" s="668" t="s">
        <v>261</v>
      </c>
      <c r="W6" s="668"/>
      <c r="X6" s="668"/>
      <c r="Y6" s="298">
        <v>44931</v>
      </c>
      <c r="Z6" s="668" t="s">
        <v>254</v>
      </c>
      <c r="AA6" s="668" t="s">
        <v>536</v>
      </c>
      <c r="AB6" s="668" t="s">
        <v>647</v>
      </c>
      <c r="AC6" s="668">
        <v>79954010</v>
      </c>
    </row>
    <row r="7" spans="1:31" s="382" customFormat="1">
      <c r="A7" s="668">
        <v>170</v>
      </c>
      <c r="B7" s="668">
        <v>5</v>
      </c>
      <c r="C7" s="668">
        <v>74226</v>
      </c>
      <c r="D7" s="668">
        <v>176</v>
      </c>
      <c r="E7" s="668" t="s">
        <v>572</v>
      </c>
      <c r="F7" s="668" t="s">
        <v>1345</v>
      </c>
      <c r="G7" s="668">
        <v>901498759</v>
      </c>
      <c r="H7" s="668" t="s">
        <v>1368</v>
      </c>
      <c r="I7" s="668" t="s">
        <v>1369</v>
      </c>
      <c r="J7" s="668" t="s">
        <v>503</v>
      </c>
      <c r="K7" s="668" t="s">
        <v>1370</v>
      </c>
      <c r="L7" s="668">
        <v>346550</v>
      </c>
      <c r="M7" s="298">
        <v>44930</v>
      </c>
      <c r="N7" s="812">
        <v>3138371</v>
      </c>
      <c r="O7" s="812">
        <v>0</v>
      </c>
      <c r="P7" s="812">
        <v>0</v>
      </c>
      <c r="Q7" s="812">
        <v>0</v>
      </c>
      <c r="R7" s="812">
        <v>0</v>
      </c>
      <c r="S7" s="812">
        <v>3138371</v>
      </c>
      <c r="T7" s="668">
        <v>346550</v>
      </c>
      <c r="U7" s="298">
        <v>44931</v>
      </c>
      <c r="V7" s="668" t="s">
        <v>261</v>
      </c>
      <c r="W7" s="668"/>
      <c r="X7" s="668"/>
      <c r="Y7" s="298">
        <v>44931</v>
      </c>
      <c r="Z7" s="668" t="s">
        <v>255</v>
      </c>
      <c r="AA7" s="668" t="s">
        <v>542</v>
      </c>
      <c r="AB7" s="668" t="s">
        <v>506</v>
      </c>
      <c r="AC7" s="668">
        <v>84000000</v>
      </c>
    </row>
    <row r="8" spans="1:31" s="382" customFormat="1">
      <c r="A8" s="668">
        <v>170</v>
      </c>
      <c r="B8" s="668">
        <v>6</v>
      </c>
      <c r="C8" s="668">
        <v>76716</v>
      </c>
      <c r="D8" s="668">
        <v>189</v>
      </c>
      <c r="E8" s="668" t="s">
        <v>664</v>
      </c>
      <c r="F8" s="668" t="s">
        <v>671</v>
      </c>
      <c r="G8" s="668">
        <v>890317339</v>
      </c>
      <c r="H8" s="668" t="s">
        <v>932</v>
      </c>
      <c r="I8" s="668" t="s">
        <v>1371</v>
      </c>
      <c r="J8" s="668" t="s">
        <v>507</v>
      </c>
      <c r="K8" s="668" t="s">
        <v>963</v>
      </c>
      <c r="L8" s="668">
        <v>346552</v>
      </c>
      <c r="M8" s="298">
        <v>44930</v>
      </c>
      <c r="N8" s="812">
        <v>1077247</v>
      </c>
      <c r="O8" s="812">
        <v>0</v>
      </c>
      <c r="P8" s="812">
        <v>0</v>
      </c>
      <c r="Q8" s="812">
        <v>0</v>
      </c>
      <c r="R8" s="812">
        <v>0</v>
      </c>
      <c r="S8" s="812">
        <v>1077247</v>
      </c>
      <c r="T8" s="668">
        <v>346552</v>
      </c>
      <c r="U8" s="298">
        <v>44931</v>
      </c>
      <c r="V8" s="668" t="s">
        <v>261</v>
      </c>
      <c r="W8" s="668"/>
      <c r="X8" s="668"/>
      <c r="Y8" s="298">
        <v>44931</v>
      </c>
      <c r="Z8" s="668" t="s">
        <v>258</v>
      </c>
      <c r="AA8" s="668" t="s">
        <v>661</v>
      </c>
      <c r="AB8" s="668" t="s">
        <v>506</v>
      </c>
      <c r="AC8" s="668">
        <v>79950288</v>
      </c>
    </row>
    <row r="9" spans="1:31" s="382" customFormat="1">
      <c r="A9" s="668">
        <v>171</v>
      </c>
      <c r="B9" s="668">
        <v>1</v>
      </c>
      <c r="C9" s="668">
        <v>74482</v>
      </c>
      <c r="D9" s="668">
        <v>184</v>
      </c>
      <c r="E9" s="668" t="s">
        <v>521</v>
      </c>
      <c r="F9" s="668" t="s">
        <v>885</v>
      </c>
      <c r="G9" s="668">
        <v>46379467</v>
      </c>
      <c r="H9" s="668" t="s">
        <v>1076</v>
      </c>
      <c r="I9" s="668" t="s">
        <v>1372</v>
      </c>
      <c r="J9" s="668" t="s">
        <v>503</v>
      </c>
      <c r="K9" s="668" t="s">
        <v>1077</v>
      </c>
      <c r="L9" s="668">
        <v>346716</v>
      </c>
      <c r="M9" s="298">
        <v>44936</v>
      </c>
      <c r="N9" s="812">
        <v>600000</v>
      </c>
      <c r="O9" s="812">
        <v>0</v>
      </c>
      <c r="P9" s="812">
        <v>0</v>
      </c>
      <c r="Q9" s="812">
        <v>0</v>
      </c>
      <c r="R9" s="812">
        <v>0</v>
      </c>
      <c r="S9" s="812">
        <v>600000</v>
      </c>
      <c r="T9" s="668">
        <v>346716</v>
      </c>
      <c r="U9" s="298">
        <v>44939</v>
      </c>
      <c r="V9" s="668" t="s">
        <v>261</v>
      </c>
      <c r="W9" s="668"/>
      <c r="X9" s="668"/>
      <c r="Y9" s="298">
        <v>44939</v>
      </c>
      <c r="Z9" s="668" t="s">
        <v>254</v>
      </c>
      <c r="AA9" s="668" t="s">
        <v>539</v>
      </c>
      <c r="AB9" s="668" t="s">
        <v>647</v>
      </c>
      <c r="AC9" s="668">
        <v>123557020</v>
      </c>
    </row>
    <row r="10" spans="1:31" s="382" customFormat="1">
      <c r="A10" s="668">
        <v>171</v>
      </c>
      <c r="B10" s="668">
        <v>2</v>
      </c>
      <c r="C10" s="668">
        <v>72277</v>
      </c>
      <c r="D10" s="668">
        <v>187</v>
      </c>
      <c r="E10" s="668" t="s">
        <v>545</v>
      </c>
      <c r="F10" s="668" t="s">
        <v>847</v>
      </c>
      <c r="G10" s="668">
        <v>901541916</v>
      </c>
      <c r="H10" s="668" t="s">
        <v>956</v>
      </c>
      <c r="I10" s="668" t="s">
        <v>1373</v>
      </c>
      <c r="J10" s="668" t="s">
        <v>503</v>
      </c>
      <c r="K10" s="668" t="s">
        <v>957</v>
      </c>
      <c r="L10" s="668">
        <v>347851</v>
      </c>
      <c r="M10" s="298">
        <v>44936</v>
      </c>
      <c r="N10" s="812">
        <v>4402516</v>
      </c>
      <c r="O10" s="812">
        <v>0</v>
      </c>
      <c r="P10" s="812">
        <v>0</v>
      </c>
      <c r="Q10" s="812">
        <v>0</v>
      </c>
      <c r="R10" s="812">
        <v>0</v>
      </c>
      <c r="S10" s="812">
        <v>4402516</v>
      </c>
      <c r="T10" s="668">
        <v>347851</v>
      </c>
      <c r="U10" s="298">
        <v>44939</v>
      </c>
      <c r="V10" s="668" t="s">
        <v>261</v>
      </c>
      <c r="W10" s="668"/>
      <c r="X10" s="668"/>
      <c r="Y10" s="298">
        <v>44939</v>
      </c>
      <c r="Z10" s="668" t="s">
        <v>284</v>
      </c>
      <c r="AA10" s="668" t="s">
        <v>543</v>
      </c>
      <c r="AB10" s="668" t="s">
        <v>505</v>
      </c>
      <c r="AC10" s="668">
        <v>119925432</v>
      </c>
    </row>
    <row r="11" spans="1:31" s="382" customFormat="1">
      <c r="A11" s="668">
        <v>171</v>
      </c>
      <c r="B11" s="668">
        <v>3</v>
      </c>
      <c r="C11" s="668">
        <v>74479</v>
      </c>
      <c r="D11" s="668">
        <v>184</v>
      </c>
      <c r="E11" s="668" t="s">
        <v>521</v>
      </c>
      <c r="F11" s="668" t="s">
        <v>571</v>
      </c>
      <c r="G11" s="668">
        <v>901533734</v>
      </c>
      <c r="H11" s="668" t="s">
        <v>591</v>
      </c>
      <c r="I11" s="668" t="s">
        <v>1374</v>
      </c>
      <c r="J11" s="668" t="s">
        <v>503</v>
      </c>
      <c r="K11" s="668" t="s">
        <v>592</v>
      </c>
      <c r="L11" s="668">
        <v>347873</v>
      </c>
      <c r="M11" s="298">
        <v>44936</v>
      </c>
      <c r="N11" s="812">
        <v>6346376</v>
      </c>
      <c r="O11" s="812">
        <v>0</v>
      </c>
      <c r="P11" s="812">
        <v>0</v>
      </c>
      <c r="Q11" s="812">
        <v>0</v>
      </c>
      <c r="R11" s="812">
        <v>0</v>
      </c>
      <c r="S11" s="812">
        <v>6346376</v>
      </c>
      <c r="T11" s="668">
        <v>347873</v>
      </c>
      <c r="U11" s="298">
        <v>44939</v>
      </c>
      <c r="V11" s="668" t="s">
        <v>261</v>
      </c>
      <c r="W11" s="668"/>
      <c r="X11" s="668"/>
      <c r="Y11" s="298">
        <v>44939</v>
      </c>
      <c r="Z11" s="668" t="s">
        <v>254</v>
      </c>
      <c r="AA11" s="668" t="s">
        <v>539</v>
      </c>
      <c r="AB11" s="668" t="s">
        <v>647</v>
      </c>
      <c r="AC11" s="668">
        <v>123561591</v>
      </c>
    </row>
    <row r="12" spans="1:31" s="382" customFormat="1">
      <c r="A12" s="668">
        <v>171</v>
      </c>
      <c r="B12" s="668">
        <v>4</v>
      </c>
      <c r="C12" s="668">
        <v>73901</v>
      </c>
      <c r="D12" s="668">
        <v>187</v>
      </c>
      <c r="E12" s="668" t="s">
        <v>608</v>
      </c>
      <c r="F12" s="668" t="s">
        <v>713</v>
      </c>
      <c r="G12" s="668">
        <v>901575850</v>
      </c>
      <c r="H12" s="668" t="s">
        <v>791</v>
      </c>
      <c r="I12" s="668" t="s">
        <v>1375</v>
      </c>
      <c r="J12" s="668" t="s">
        <v>503</v>
      </c>
      <c r="K12" s="668" t="s">
        <v>962</v>
      </c>
      <c r="L12" s="668">
        <v>347895</v>
      </c>
      <c r="M12" s="298">
        <v>44936</v>
      </c>
      <c r="N12" s="812">
        <v>3607416</v>
      </c>
      <c r="O12" s="812">
        <v>0</v>
      </c>
      <c r="P12" s="812">
        <v>0</v>
      </c>
      <c r="Q12" s="812">
        <v>0</v>
      </c>
      <c r="R12" s="812">
        <v>0</v>
      </c>
      <c r="S12" s="812">
        <v>3607416</v>
      </c>
      <c r="T12" s="668">
        <v>347895</v>
      </c>
      <c r="U12" s="298">
        <v>44939</v>
      </c>
      <c r="V12" s="668" t="s">
        <v>261</v>
      </c>
      <c r="W12" s="668"/>
      <c r="X12" s="668"/>
      <c r="Y12" s="298">
        <v>44939</v>
      </c>
      <c r="Z12" s="668" t="s">
        <v>284</v>
      </c>
      <c r="AA12" s="668" t="s">
        <v>543</v>
      </c>
      <c r="AB12" s="668" t="s">
        <v>505</v>
      </c>
      <c r="AC12" s="668">
        <v>119710567</v>
      </c>
    </row>
    <row r="13" spans="1:31" s="382" customFormat="1">
      <c r="A13" s="668">
        <v>171</v>
      </c>
      <c r="B13" s="668">
        <v>5</v>
      </c>
      <c r="C13" s="668">
        <v>71549</v>
      </c>
      <c r="D13" s="668">
        <v>167</v>
      </c>
      <c r="E13" s="668" t="s">
        <v>648</v>
      </c>
      <c r="F13" s="668" t="s">
        <v>649</v>
      </c>
      <c r="G13" s="668">
        <v>901093402</v>
      </c>
      <c r="H13" s="668" t="s">
        <v>909</v>
      </c>
      <c r="I13" s="668" t="s">
        <v>1376</v>
      </c>
      <c r="J13" s="668" t="s">
        <v>503</v>
      </c>
      <c r="K13" s="668" t="s">
        <v>969</v>
      </c>
      <c r="L13" s="668">
        <v>348944</v>
      </c>
      <c r="M13" s="298">
        <v>44936</v>
      </c>
      <c r="N13" s="812">
        <v>1250000</v>
      </c>
      <c r="O13" s="812">
        <v>43750</v>
      </c>
      <c r="P13" s="812">
        <v>0</v>
      </c>
      <c r="Q13" s="812">
        <v>2500</v>
      </c>
      <c r="R13" s="812">
        <v>0</v>
      </c>
      <c r="S13" s="812">
        <v>1203750</v>
      </c>
      <c r="T13" s="668">
        <v>348944</v>
      </c>
      <c r="U13" s="298">
        <v>44939</v>
      </c>
      <c r="V13" s="668" t="s">
        <v>261</v>
      </c>
      <c r="W13" s="668"/>
      <c r="X13" s="668"/>
      <c r="Y13" s="298">
        <v>44939</v>
      </c>
      <c r="Z13" s="668" t="s">
        <v>254</v>
      </c>
      <c r="AA13" s="668" t="s">
        <v>650</v>
      </c>
      <c r="AB13" s="668" t="s">
        <v>647</v>
      </c>
      <c r="AC13" s="668">
        <v>79711993</v>
      </c>
    </row>
    <row r="14" spans="1:31" s="382" customFormat="1">
      <c r="A14" s="668">
        <v>171</v>
      </c>
      <c r="B14" s="668">
        <v>6</v>
      </c>
      <c r="C14" s="668">
        <v>71549</v>
      </c>
      <c r="D14" s="668">
        <v>167</v>
      </c>
      <c r="E14" s="668" t="s">
        <v>648</v>
      </c>
      <c r="F14" s="668" t="s">
        <v>649</v>
      </c>
      <c r="G14" s="668">
        <v>46379467</v>
      </c>
      <c r="H14" s="668" t="s">
        <v>1076</v>
      </c>
      <c r="I14" s="668" t="s">
        <v>1377</v>
      </c>
      <c r="J14" s="668" t="s">
        <v>503</v>
      </c>
      <c r="K14" s="668" t="s">
        <v>1077</v>
      </c>
      <c r="L14" s="668">
        <v>348947</v>
      </c>
      <c r="M14" s="298">
        <v>44936</v>
      </c>
      <c r="N14" s="812">
        <v>600000</v>
      </c>
      <c r="O14" s="812">
        <v>0</v>
      </c>
      <c r="P14" s="812">
        <v>0</v>
      </c>
      <c r="Q14" s="812">
        <v>0</v>
      </c>
      <c r="R14" s="812">
        <v>0</v>
      </c>
      <c r="S14" s="812">
        <v>600000</v>
      </c>
      <c r="T14" s="668">
        <v>348947</v>
      </c>
      <c r="U14" s="298">
        <v>44939</v>
      </c>
      <c r="V14" s="668" t="s">
        <v>261</v>
      </c>
      <c r="W14" s="668"/>
      <c r="X14" s="668"/>
      <c r="Y14" s="298">
        <v>44939</v>
      </c>
      <c r="Z14" s="668" t="s">
        <v>254</v>
      </c>
      <c r="AA14" s="668" t="s">
        <v>650</v>
      </c>
      <c r="AB14" s="668" t="s">
        <v>647</v>
      </c>
      <c r="AC14" s="668">
        <v>79711993</v>
      </c>
    </row>
    <row r="15" spans="1:31" s="382" customFormat="1">
      <c r="A15" s="668">
        <v>171</v>
      </c>
      <c r="B15" s="668">
        <v>7</v>
      </c>
      <c r="C15" s="668">
        <v>74482</v>
      </c>
      <c r="D15" s="668">
        <v>184</v>
      </c>
      <c r="E15" s="668" t="s">
        <v>521</v>
      </c>
      <c r="F15" s="668" t="s">
        <v>885</v>
      </c>
      <c r="G15" s="668">
        <v>901584568</v>
      </c>
      <c r="H15" s="668" t="s">
        <v>910</v>
      </c>
      <c r="I15" s="668" t="s">
        <v>1378</v>
      </c>
      <c r="J15" s="668" t="s">
        <v>503</v>
      </c>
      <c r="K15" s="668" t="s">
        <v>911</v>
      </c>
      <c r="L15" s="668">
        <v>349020</v>
      </c>
      <c r="M15" s="298">
        <v>44936</v>
      </c>
      <c r="N15" s="812">
        <v>1801058</v>
      </c>
      <c r="O15" s="812">
        <v>0</v>
      </c>
      <c r="P15" s="812">
        <v>0</v>
      </c>
      <c r="Q15" s="812">
        <v>0</v>
      </c>
      <c r="R15" s="812">
        <v>0</v>
      </c>
      <c r="S15" s="812">
        <v>1801058</v>
      </c>
      <c r="T15" s="668">
        <v>349020</v>
      </c>
      <c r="U15" s="298">
        <v>44939</v>
      </c>
      <c r="V15" s="668" t="s">
        <v>261</v>
      </c>
      <c r="W15" s="668"/>
      <c r="X15" s="668"/>
      <c r="Y15" s="298">
        <v>44939</v>
      </c>
      <c r="Z15" s="668" t="s">
        <v>254</v>
      </c>
      <c r="AA15" s="668" t="s">
        <v>539</v>
      </c>
      <c r="AB15" s="668" t="s">
        <v>647</v>
      </c>
      <c r="AC15" s="668">
        <v>123557020</v>
      </c>
    </row>
    <row r="16" spans="1:31" s="382" customFormat="1">
      <c r="A16" s="668">
        <v>171</v>
      </c>
      <c r="B16" s="668">
        <v>8</v>
      </c>
      <c r="C16" s="668">
        <v>74877</v>
      </c>
      <c r="D16" s="668">
        <v>187</v>
      </c>
      <c r="E16" s="668" t="s">
        <v>608</v>
      </c>
      <c r="F16" s="668" t="s">
        <v>711</v>
      </c>
      <c r="G16" s="668">
        <v>1120980609</v>
      </c>
      <c r="H16" s="668" t="s">
        <v>596</v>
      </c>
      <c r="I16" s="668" t="s">
        <v>1379</v>
      </c>
      <c r="J16" s="668" t="s">
        <v>503</v>
      </c>
      <c r="K16" s="668" t="s">
        <v>597</v>
      </c>
      <c r="L16" s="668">
        <v>349059</v>
      </c>
      <c r="M16" s="298">
        <v>44936</v>
      </c>
      <c r="N16" s="812">
        <v>600000</v>
      </c>
      <c r="O16" s="812">
        <v>0</v>
      </c>
      <c r="P16" s="812">
        <v>0</v>
      </c>
      <c r="Q16" s="812">
        <v>0</v>
      </c>
      <c r="R16" s="812">
        <v>0</v>
      </c>
      <c r="S16" s="812">
        <v>600000</v>
      </c>
      <c r="T16" s="668">
        <v>349059</v>
      </c>
      <c r="U16" s="298">
        <v>44939</v>
      </c>
      <c r="V16" s="668" t="s">
        <v>261</v>
      </c>
      <c r="W16" s="668"/>
      <c r="X16" s="668"/>
      <c r="Y16" s="298">
        <v>44939</v>
      </c>
      <c r="Z16" s="668" t="s">
        <v>284</v>
      </c>
      <c r="AA16" s="668" t="s">
        <v>543</v>
      </c>
      <c r="AB16" s="668" t="s">
        <v>505</v>
      </c>
      <c r="AC16" s="668">
        <v>119925432</v>
      </c>
    </row>
    <row r="17" spans="1:29" s="382" customFormat="1">
      <c r="A17" s="668">
        <v>171</v>
      </c>
      <c r="B17" s="668">
        <v>10</v>
      </c>
      <c r="C17" s="668">
        <v>74874</v>
      </c>
      <c r="D17" s="668">
        <v>189</v>
      </c>
      <c r="E17" s="668" t="s">
        <v>664</v>
      </c>
      <c r="F17" s="668" t="s">
        <v>665</v>
      </c>
      <c r="G17" s="668">
        <v>42022970</v>
      </c>
      <c r="H17" s="668" t="s">
        <v>1380</v>
      </c>
      <c r="I17" s="668" t="s">
        <v>1381</v>
      </c>
      <c r="J17" s="668" t="s">
        <v>503</v>
      </c>
      <c r="K17" s="668" t="s">
        <v>1382</v>
      </c>
      <c r="L17" s="668">
        <v>349138</v>
      </c>
      <c r="M17" s="298">
        <v>44936</v>
      </c>
      <c r="N17" s="812">
        <v>700000</v>
      </c>
      <c r="O17" s="812">
        <v>0</v>
      </c>
      <c r="P17" s="812">
        <v>0</v>
      </c>
      <c r="Q17" s="812">
        <v>0</v>
      </c>
      <c r="R17" s="812">
        <v>0</v>
      </c>
      <c r="S17" s="812">
        <v>700000</v>
      </c>
      <c r="T17" s="668">
        <v>349138</v>
      </c>
      <c r="U17" s="298">
        <v>44939</v>
      </c>
      <c r="V17" s="668" t="s">
        <v>261</v>
      </c>
      <c r="W17" s="668"/>
      <c r="X17" s="668"/>
      <c r="Y17" s="298">
        <v>44939</v>
      </c>
      <c r="Z17" s="668" t="s">
        <v>258</v>
      </c>
      <c r="AA17" s="668" t="s">
        <v>661</v>
      </c>
      <c r="AB17" s="668" t="s">
        <v>506</v>
      </c>
      <c r="AC17" s="668">
        <v>77224710</v>
      </c>
    </row>
    <row r="18" spans="1:29" s="382" customFormat="1">
      <c r="A18" s="668">
        <v>171</v>
      </c>
      <c r="B18" s="668">
        <v>11</v>
      </c>
      <c r="C18" s="668">
        <v>74877</v>
      </c>
      <c r="D18" s="668">
        <v>187</v>
      </c>
      <c r="E18" s="668" t="s">
        <v>608</v>
      </c>
      <c r="F18" s="668" t="s">
        <v>711</v>
      </c>
      <c r="G18" s="668">
        <v>901557705</v>
      </c>
      <c r="H18" s="668" t="s">
        <v>1048</v>
      </c>
      <c r="I18" s="668" t="s">
        <v>1383</v>
      </c>
      <c r="J18" s="668" t="s">
        <v>507</v>
      </c>
      <c r="K18" s="668" t="s">
        <v>1049</v>
      </c>
      <c r="L18" s="668">
        <v>346742</v>
      </c>
      <c r="M18" s="298">
        <v>44936</v>
      </c>
      <c r="N18" s="812">
        <v>6207488</v>
      </c>
      <c r="O18" s="812">
        <v>0</v>
      </c>
      <c r="P18" s="812">
        <v>0</v>
      </c>
      <c r="Q18" s="812">
        <v>0</v>
      </c>
      <c r="R18" s="812">
        <v>0</v>
      </c>
      <c r="S18" s="812">
        <v>6207488</v>
      </c>
      <c r="T18" s="668">
        <v>346742</v>
      </c>
      <c r="U18" s="298">
        <v>44939</v>
      </c>
      <c r="V18" s="668" t="s">
        <v>261</v>
      </c>
      <c r="W18" s="668"/>
      <c r="X18" s="668"/>
      <c r="Y18" s="298">
        <v>44939</v>
      </c>
      <c r="Z18" s="668" t="s">
        <v>284</v>
      </c>
      <c r="AA18" s="668" t="s">
        <v>543</v>
      </c>
      <c r="AB18" s="668" t="s">
        <v>505</v>
      </c>
      <c r="AC18" s="668">
        <v>119925432</v>
      </c>
    </row>
    <row r="19" spans="1:29" s="382" customFormat="1">
      <c r="A19" s="668">
        <v>171</v>
      </c>
      <c r="B19" s="668">
        <v>12</v>
      </c>
      <c r="C19" s="668">
        <v>74877</v>
      </c>
      <c r="D19" s="668">
        <v>187</v>
      </c>
      <c r="E19" s="668" t="s">
        <v>608</v>
      </c>
      <c r="F19" s="668" t="s">
        <v>711</v>
      </c>
      <c r="G19" s="668">
        <v>91427967</v>
      </c>
      <c r="H19" s="668" t="s">
        <v>730</v>
      </c>
      <c r="I19" s="668" t="s">
        <v>1384</v>
      </c>
      <c r="J19" s="668" t="s">
        <v>503</v>
      </c>
      <c r="K19" s="668" t="s">
        <v>842</v>
      </c>
      <c r="L19" s="668">
        <v>346748</v>
      </c>
      <c r="M19" s="298">
        <v>44936</v>
      </c>
      <c r="N19" s="812">
        <v>1000000</v>
      </c>
      <c r="O19" s="812">
        <v>0</v>
      </c>
      <c r="P19" s="812">
        <v>0</v>
      </c>
      <c r="Q19" s="812">
        <v>0</v>
      </c>
      <c r="R19" s="812">
        <v>0</v>
      </c>
      <c r="S19" s="812">
        <v>1000000</v>
      </c>
      <c r="T19" s="668">
        <v>346748</v>
      </c>
      <c r="U19" s="298">
        <v>44939</v>
      </c>
      <c r="V19" s="668" t="s">
        <v>261</v>
      </c>
      <c r="W19" s="668"/>
      <c r="X19" s="668"/>
      <c r="Y19" s="298">
        <v>44939</v>
      </c>
      <c r="Z19" s="668" t="s">
        <v>284</v>
      </c>
      <c r="AA19" s="668" t="s">
        <v>543</v>
      </c>
      <c r="AB19" s="668" t="s">
        <v>505</v>
      </c>
      <c r="AC19" s="668">
        <v>119925432</v>
      </c>
    </row>
    <row r="20" spans="1:29" s="382" customFormat="1">
      <c r="A20" s="668">
        <v>171</v>
      </c>
      <c r="B20" s="668">
        <v>13</v>
      </c>
      <c r="C20" s="668">
        <v>72277</v>
      </c>
      <c r="D20" s="668">
        <v>187</v>
      </c>
      <c r="E20" s="668" t="s">
        <v>545</v>
      </c>
      <c r="F20" s="668" t="s">
        <v>847</v>
      </c>
      <c r="G20" s="668">
        <v>800011863</v>
      </c>
      <c r="H20" s="668" t="s">
        <v>598</v>
      </c>
      <c r="I20" s="668" t="s">
        <v>1385</v>
      </c>
      <c r="J20" s="668" t="s">
        <v>507</v>
      </c>
      <c r="K20" s="668" t="s">
        <v>841</v>
      </c>
      <c r="L20" s="668">
        <v>347839</v>
      </c>
      <c r="M20" s="298">
        <v>44936</v>
      </c>
      <c r="N20" s="812">
        <v>2250000</v>
      </c>
      <c r="O20" s="812">
        <v>78750</v>
      </c>
      <c r="P20" s="812">
        <v>0</v>
      </c>
      <c r="Q20" s="812">
        <v>0</v>
      </c>
      <c r="R20" s="812">
        <v>0</v>
      </c>
      <c r="S20" s="812">
        <v>2171250</v>
      </c>
      <c r="T20" s="668">
        <v>347839</v>
      </c>
      <c r="U20" s="298">
        <v>44939</v>
      </c>
      <c r="V20" s="668" t="s">
        <v>261</v>
      </c>
      <c r="W20" s="668"/>
      <c r="X20" s="668"/>
      <c r="Y20" s="298">
        <v>44939</v>
      </c>
      <c r="Z20" s="668" t="s">
        <v>284</v>
      </c>
      <c r="AA20" s="668" t="s">
        <v>543</v>
      </c>
      <c r="AB20" s="668" t="s">
        <v>505</v>
      </c>
      <c r="AC20" s="668">
        <v>119925432</v>
      </c>
    </row>
    <row r="21" spans="1:29" s="382" customFormat="1">
      <c r="A21" s="668">
        <v>171</v>
      </c>
      <c r="B21" s="668">
        <v>14</v>
      </c>
      <c r="C21" s="668">
        <v>74136</v>
      </c>
      <c r="D21" s="668">
        <v>172</v>
      </c>
      <c r="E21" s="668" t="s">
        <v>1080</v>
      </c>
      <c r="F21" s="668" t="s">
        <v>1115</v>
      </c>
      <c r="G21" s="668">
        <v>900551404</v>
      </c>
      <c r="H21" s="668" t="s">
        <v>1386</v>
      </c>
      <c r="I21" s="668" t="s">
        <v>1387</v>
      </c>
      <c r="J21" s="668" t="s">
        <v>507</v>
      </c>
      <c r="K21" s="668" t="s">
        <v>1388</v>
      </c>
      <c r="L21" s="668">
        <v>347891</v>
      </c>
      <c r="M21" s="298">
        <v>44936</v>
      </c>
      <c r="N21" s="812">
        <v>3100170</v>
      </c>
      <c r="O21" s="812">
        <v>65129.63</v>
      </c>
      <c r="P21" s="812">
        <v>0</v>
      </c>
      <c r="Q21" s="812">
        <v>0</v>
      </c>
      <c r="R21" s="812">
        <v>0</v>
      </c>
      <c r="S21" s="812">
        <v>3035040.37</v>
      </c>
      <c r="T21" s="668">
        <v>347891</v>
      </c>
      <c r="U21" s="298">
        <v>44939</v>
      </c>
      <c r="V21" s="668" t="s">
        <v>261</v>
      </c>
      <c r="W21" s="668"/>
      <c r="X21" s="668"/>
      <c r="Y21" s="298">
        <v>44939</v>
      </c>
      <c r="Z21" s="668" t="s">
        <v>254</v>
      </c>
      <c r="AA21" s="668" t="s">
        <v>646</v>
      </c>
      <c r="AB21" s="668" t="s">
        <v>647</v>
      </c>
      <c r="AC21" s="668">
        <v>100000000</v>
      </c>
    </row>
    <row r="22" spans="1:29" s="382" customFormat="1">
      <c r="A22" s="668">
        <v>171</v>
      </c>
      <c r="B22" s="668">
        <v>15</v>
      </c>
      <c r="C22" s="668">
        <v>74136</v>
      </c>
      <c r="D22" s="668">
        <v>172</v>
      </c>
      <c r="E22" s="668" t="s">
        <v>1080</v>
      </c>
      <c r="F22" s="668" t="s">
        <v>1115</v>
      </c>
      <c r="G22" s="668">
        <v>901516001</v>
      </c>
      <c r="H22" s="668" t="s">
        <v>1116</v>
      </c>
      <c r="I22" s="668" t="s">
        <v>1389</v>
      </c>
      <c r="J22" s="668" t="s">
        <v>503</v>
      </c>
      <c r="K22" s="668" t="s">
        <v>1117</v>
      </c>
      <c r="L22" s="668">
        <v>347894</v>
      </c>
      <c r="M22" s="298">
        <v>44936</v>
      </c>
      <c r="N22" s="812">
        <v>2564937</v>
      </c>
      <c r="O22" s="812">
        <v>0</v>
      </c>
      <c r="P22" s="812">
        <v>0</v>
      </c>
      <c r="Q22" s="812">
        <v>0</v>
      </c>
      <c r="R22" s="812">
        <v>0</v>
      </c>
      <c r="S22" s="812">
        <v>2564937</v>
      </c>
      <c r="T22" s="668">
        <v>347894</v>
      </c>
      <c r="U22" s="298">
        <v>44939</v>
      </c>
      <c r="V22" s="668" t="s">
        <v>261</v>
      </c>
      <c r="W22" s="668"/>
      <c r="X22" s="668"/>
      <c r="Y22" s="298">
        <v>44939</v>
      </c>
      <c r="Z22" s="668" t="s">
        <v>254</v>
      </c>
      <c r="AA22" s="668" t="s">
        <v>646</v>
      </c>
      <c r="AB22" s="668" t="s">
        <v>647</v>
      </c>
      <c r="AC22" s="668">
        <v>100000000</v>
      </c>
    </row>
    <row r="23" spans="1:29" s="382" customFormat="1">
      <c r="A23" s="668">
        <v>171</v>
      </c>
      <c r="B23" s="668">
        <v>16</v>
      </c>
      <c r="C23" s="668">
        <v>74734</v>
      </c>
      <c r="D23" s="668">
        <v>177</v>
      </c>
      <c r="E23" s="668" t="s">
        <v>537</v>
      </c>
      <c r="F23" s="668" t="s">
        <v>1334</v>
      </c>
      <c r="G23" s="668">
        <v>901583977</v>
      </c>
      <c r="H23" s="668" t="s">
        <v>1390</v>
      </c>
      <c r="I23" s="668" t="s">
        <v>1391</v>
      </c>
      <c r="J23" s="668" t="s">
        <v>503</v>
      </c>
      <c r="K23" s="668" t="s">
        <v>1392</v>
      </c>
      <c r="L23" s="668">
        <v>347918</v>
      </c>
      <c r="M23" s="298">
        <v>44936</v>
      </c>
      <c r="N23" s="812">
        <v>1941850</v>
      </c>
      <c r="O23" s="812">
        <v>0</v>
      </c>
      <c r="P23" s="812">
        <v>0</v>
      </c>
      <c r="Q23" s="812">
        <v>0</v>
      </c>
      <c r="R23" s="812">
        <v>0</v>
      </c>
      <c r="S23" s="812">
        <v>1941850</v>
      </c>
      <c r="T23" s="668">
        <v>347918</v>
      </c>
      <c r="U23" s="298">
        <v>44939</v>
      </c>
      <c r="V23" s="668" t="s">
        <v>261</v>
      </c>
      <c r="W23" s="668"/>
      <c r="X23" s="668"/>
      <c r="Y23" s="298">
        <v>44939</v>
      </c>
      <c r="Z23" s="668" t="s">
        <v>254</v>
      </c>
      <c r="AA23" s="668" t="s">
        <v>538</v>
      </c>
      <c r="AB23" s="668" t="s">
        <v>647</v>
      </c>
      <c r="AC23" s="668">
        <v>79535192</v>
      </c>
    </row>
    <row r="24" spans="1:29" s="382" customFormat="1">
      <c r="A24" s="668">
        <v>171</v>
      </c>
      <c r="B24" s="668">
        <v>17</v>
      </c>
      <c r="C24" s="668">
        <v>74734</v>
      </c>
      <c r="D24" s="668">
        <v>177</v>
      </c>
      <c r="E24" s="668" t="s">
        <v>537</v>
      </c>
      <c r="F24" s="668" t="s">
        <v>1334</v>
      </c>
      <c r="G24" s="668">
        <v>901583977</v>
      </c>
      <c r="H24" s="668" t="s">
        <v>1390</v>
      </c>
      <c r="I24" s="668" t="s">
        <v>1393</v>
      </c>
      <c r="J24" s="668" t="s">
        <v>503</v>
      </c>
      <c r="K24" s="668" t="s">
        <v>1392</v>
      </c>
      <c r="L24" s="668">
        <v>347921</v>
      </c>
      <c r="M24" s="298">
        <v>44936</v>
      </c>
      <c r="N24" s="812">
        <v>1941850</v>
      </c>
      <c r="O24" s="812">
        <v>0</v>
      </c>
      <c r="P24" s="812">
        <v>0</v>
      </c>
      <c r="Q24" s="812">
        <v>0</v>
      </c>
      <c r="R24" s="812">
        <v>0</v>
      </c>
      <c r="S24" s="812">
        <v>1941850</v>
      </c>
      <c r="T24" s="668">
        <v>347921</v>
      </c>
      <c r="U24" s="298">
        <v>44939</v>
      </c>
      <c r="V24" s="668" t="s">
        <v>261</v>
      </c>
      <c r="W24" s="668"/>
      <c r="X24" s="668"/>
      <c r="Y24" s="298">
        <v>44939</v>
      </c>
      <c r="Z24" s="668" t="s">
        <v>254</v>
      </c>
      <c r="AA24" s="668" t="s">
        <v>538</v>
      </c>
      <c r="AB24" s="668" t="s">
        <v>647</v>
      </c>
      <c r="AC24" s="668">
        <v>79535192</v>
      </c>
    </row>
    <row r="25" spans="1:29" s="382" customFormat="1">
      <c r="A25" s="668">
        <v>171</v>
      </c>
      <c r="B25" s="668">
        <v>18</v>
      </c>
      <c r="C25" s="668">
        <v>74734</v>
      </c>
      <c r="D25" s="668">
        <v>177</v>
      </c>
      <c r="E25" s="668" t="s">
        <v>537</v>
      </c>
      <c r="F25" s="668" t="s">
        <v>1334</v>
      </c>
      <c r="G25" s="668">
        <v>901583977</v>
      </c>
      <c r="H25" s="668" t="s">
        <v>1390</v>
      </c>
      <c r="I25" s="668" t="s">
        <v>1394</v>
      </c>
      <c r="J25" s="668" t="s">
        <v>503</v>
      </c>
      <c r="K25" s="668" t="s">
        <v>1392</v>
      </c>
      <c r="L25" s="668">
        <v>347923</v>
      </c>
      <c r="M25" s="298">
        <v>44936</v>
      </c>
      <c r="N25" s="812">
        <v>3189522</v>
      </c>
      <c r="O25" s="812">
        <v>0</v>
      </c>
      <c r="P25" s="812">
        <v>0</v>
      </c>
      <c r="Q25" s="812">
        <v>0</v>
      </c>
      <c r="R25" s="812">
        <v>0</v>
      </c>
      <c r="S25" s="812">
        <v>3189522</v>
      </c>
      <c r="T25" s="668">
        <v>347923</v>
      </c>
      <c r="U25" s="298">
        <v>44939</v>
      </c>
      <c r="V25" s="668" t="s">
        <v>261</v>
      </c>
      <c r="W25" s="668"/>
      <c r="X25" s="668"/>
      <c r="Y25" s="298">
        <v>44939</v>
      </c>
      <c r="Z25" s="668" t="s">
        <v>254</v>
      </c>
      <c r="AA25" s="668" t="s">
        <v>538</v>
      </c>
      <c r="AB25" s="668" t="s">
        <v>647</v>
      </c>
      <c r="AC25" s="668">
        <v>79535192</v>
      </c>
    </row>
    <row r="26" spans="1:29" s="382" customFormat="1">
      <c r="A26" s="668">
        <v>171</v>
      </c>
      <c r="B26" s="668">
        <v>19</v>
      </c>
      <c r="C26" s="668">
        <v>74734</v>
      </c>
      <c r="D26" s="668">
        <v>177</v>
      </c>
      <c r="E26" s="668" t="s">
        <v>537</v>
      </c>
      <c r="F26" s="668" t="s">
        <v>1334</v>
      </c>
      <c r="G26" s="668">
        <v>901583977</v>
      </c>
      <c r="H26" s="668" t="s">
        <v>1390</v>
      </c>
      <c r="I26" s="668" t="s">
        <v>1395</v>
      </c>
      <c r="J26" s="668" t="s">
        <v>503</v>
      </c>
      <c r="K26" s="668" t="s">
        <v>1392</v>
      </c>
      <c r="L26" s="668">
        <v>347925</v>
      </c>
      <c r="M26" s="298">
        <v>44936</v>
      </c>
      <c r="N26" s="812">
        <v>5582112</v>
      </c>
      <c r="O26" s="812">
        <v>0</v>
      </c>
      <c r="P26" s="812">
        <v>0</v>
      </c>
      <c r="Q26" s="812">
        <v>0</v>
      </c>
      <c r="R26" s="812">
        <v>0</v>
      </c>
      <c r="S26" s="812">
        <v>5582112</v>
      </c>
      <c r="T26" s="668">
        <v>347925</v>
      </c>
      <c r="U26" s="298">
        <v>44939</v>
      </c>
      <c r="V26" s="668" t="s">
        <v>261</v>
      </c>
      <c r="W26" s="668"/>
      <c r="X26" s="668"/>
      <c r="Y26" s="298">
        <v>44939</v>
      </c>
      <c r="Z26" s="668" t="s">
        <v>254</v>
      </c>
      <c r="AA26" s="668" t="s">
        <v>538</v>
      </c>
      <c r="AB26" s="668" t="s">
        <v>647</v>
      </c>
      <c r="AC26" s="668">
        <v>79535192</v>
      </c>
    </row>
    <row r="27" spans="1:29" s="382" customFormat="1">
      <c r="A27" s="668">
        <v>171</v>
      </c>
      <c r="B27" s="668">
        <v>20</v>
      </c>
      <c r="C27" s="668">
        <v>78400</v>
      </c>
      <c r="D27" s="668">
        <v>191</v>
      </c>
      <c r="E27" s="668" t="s">
        <v>805</v>
      </c>
      <c r="F27" s="668" t="s">
        <v>813</v>
      </c>
      <c r="G27" s="668">
        <v>901592302</v>
      </c>
      <c r="H27" s="668" t="s">
        <v>1396</v>
      </c>
      <c r="I27" s="668" t="s">
        <v>1397</v>
      </c>
      <c r="J27" s="668" t="s">
        <v>503</v>
      </c>
      <c r="K27" s="668" t="s">
        <v>1398</v>
      </c>
      <c r="L27" s="668">
        <v>342052</v>
      </c>
      <c r="M27" s="298">
        <v>44936</v>
      </c>
      <c r="N27" s="812">
        <v>5313180</v>
      </c>
      <c r="O27" s="812">
        <v>0</v>
      </c>
      <c r="P27" s="812">
        <v>0</v>
      </c>
      <c r="Q27" s="812">
        <v>0</v>
      </c>
      <c r="R27" s="812">
        <v>0</v>
      </c>
      <c r="S27" s="812">
        <v>5313180</v>
      </c>
      <c r="T27" s="668">
        <v>342052</v>
      </c>
      <c r="U27" s="298">
        <v>44939</v>
      </c>
      <c r="V27" s="668" t="s">
        <v>261</v>
      </c>
      <c r="W27" s="668"/>
      <c r="X27" s="668"/>
      <c r="Y27" s="298">
        <v>44939</v>
      </c>
      <c r="Z27" s="668" t="s">
        <v>725</v>
      </c>
      <c r="AA27" s="668" t="s">
        <v>662</v>
      </c>
      <c r="AB27" s="668" t="s">
        <v>504</v>
      </c>
      <c r="AC27" s="668">
        <v>80000000</v>
      </c>
    </row>
    <row r="28" spans="1:29" s="382" customFormat="1">
      <c r="A28" s="668">
        <v>171</v>
      </c>
      <c r="B28" s="668">
        <v>21</v>
      </c>
      <c r="C28" s="668">
        <v>74677</v>
      </c>
      <c r="D28" s="668">
        <v>192</v>
      </c>
      <c r="E28" s="668" t="s">
        <v>681</v>
      </c>
      <c r="F28" s="668" t="s">
        <v>1357</v>
      </c>
      <c r="G28" s="668">
        <v>901565014</v>
      </c>
      <c r="H28" s="668" t="s">
        <v>1399</v>
      </c>
      <c r="I28" s="668" t="s">
        <v>1400</v>
      </c>
      <c r="J28" s="668" t="s">
        <v>503</v>
      </c>
      <c r="K28" s="668" t="s">
        <v>1401</v>
      </c>
      <c r="L28" s="668">
        <v>343396</v>
      </c>
      <c r="M28" s="298">
        <v>44936</v>
      </c>
      <c r="N28" s="812">
        <v>1261532</v>
      </c>
      <c r="O28" s="812">
        <v>0</v>
      </c>
      <c r="P28" s="812">
        <v>0</v>
      </c>
      <c r="Q28" s="812">
        <v>0</v>
      </c>
      <c r="R28" s="812">
        <v>0</v>
      </c>
      <c r="S28" s="812">
        <v>1261532</v>
      </c>
      <c r="T28" s="668">
        <v>343396</v>
      </c>
      <c r="U28" s="298">
        <v>44939</v>
      </c>
      <c r="V28" s="668" t="s">
        <v>261</v>
      </c>
      <c r="W28" s="668"/>
      <c r="X28" s="668"/>
      <c r="Y28" s="298">
        <v>44939</v>
      </c>
      <c r="Z28" s="668" t="s">
        <v>260</v>
      </c>
      <c r="AA28" s="668" t="s">
        <v>662</v>
      </c>
      <c r="AB28" s="668" t="s">
        <v>505</v>
      </c>
      <c r="AC28" s="668">
        <v>80000000</v>
      </c>
    </row>
    <row r="29" spans="1:29" s="382" customFormat="1">
      <c r="A29" s="668">
        <v>171</v>
      </c>
      <c r="B29" s="668">
        <v>22</v>
      </c>
      <c r="C29" s="668">
        <v>78105</v>
      </c>
      <c r="D29" s="668">
        <v>191</v>
      </c>
      <c r="E29" s="668" t="s">
        <v>805</v>
      </c>
      <c r="F29" s="668" t="s">
        <v>947</v>
      </c>
      <c r="G29" s="668">
        <v>901594791</v>
      </c>
      <c r="H29" s="668" t="s">
        <v>1104</v>
      </c>
      <c r="I29" s="668" t="s">
        <v>1402</v>
      </c>
      <c r="J29" s="668" t="s">
        <v>503</v>
      </c>
      <c r="K29" s="668" t="s">
        <v>1105</v>
      </c>
      <c r="L29" s="668">
        <v>344130</v>
      </c>
      <c r="M29" s="298">
        <v>44936</v>
      </c>
      <c r="N29" s="812">
        <v>3881702</v>
      </c>
      <c r="O29" s="812">
        <v>0</v>
      </c>
      <c r="P29" s="812">
        <v>0</v>
      </c>
      <c r="Q29" s="812">
        <v>0</v>
      </c>
      <c r="R29" s="812">
        <v>0</v>
      </c>
      <c r="S29" s="812">
        <v>3881702</v>
      </c>
      <c r="T29" s="668">
        <v>344130</v>
      </c>
      <c r="U29" s="298">
        <v>44939</v>
      </c>
      <c r="V29" s="668" t="s">
        <v>261</v>
      </c>
      <c r="W29" s="668"/>
      <c r="X29" s="668"/>
      <c r="Y29" s="298">
        <v>44939</v>
      </c>
      <c r="Z29" s="668" t="s">
        <v>725</v>
      </c>
      <c r="AA29" s="668" t="s">
        <v>662</v>
      </c>
      <c r="AB29" s="668" t="s">
        <v>504</v>
      </c>
      <c r="AC29" s="668">
        <v>80000000</v>
      </c>
    </row>
    <row r="30" spans="1:29" s="382" customFormat="1">
      <c r="A30" s="668">
        <v>171</v>
      </c>
      <c r="B30" s="668">
        <v>23</v>
      </c>
      <c r="C30" s="668">
        <v>78105</v>
      </c>
      <c r="D30" s="668">
        <v>191</v>
      </c>
      <c r="E30" s="668" t="s">
        <v>805</v>
      </c>
      <c r="F30" s="668" t="s">
        <v>947</v>
      </c>
      <c r="G30" s="668">
        <v>901594791</v>
      </c>
      <c r="H30" s="668" t="s">
        <v>1104</v>
      </c>
      <c r="I30" s="668" t="s">
        <v>1403</v>
      </c>
      <c r="J30" s="668" t="s">
        <v>503</v>
      </c>
      <c r="K30" s="668" t="s">
        <v>1105</v>
      </c>
      <c r="L30" s="668">
        <v>344939</v>
      </c>
      <c r="M30" s="298">
        <v>44936</v>
      </c>
      <c r="N30" s="812">
        <v>1907966</v>
      </c>
      <c r="O30" s="812">
        <v>0</v>
      </c>
      <c r="P30" s="812">
        <v>0</v>
      </c>
      <c r="Q30" s="812">
        <v>0</v>
      </c>
      <c r="R30" s="812">
        <v>0</v>
      </c>
      <c r="S30" s="812">
        <v>1907966</v>
      </c>
      <c r="T30" s="668">
        <v>344939</v>
      </c>
      <c r="U30" s="298">
        <v>44939</v>
      </c>
      <c r="V30" s="668" t="s">
        <v>261</v>
      </c>
      <c r="W30" s="668"/>
      <c r="X30" s="668"/>
      <c r="Y30" s="298">
        <v>44939</v>
      </c>
      <c r="Z30" s="668" t="s">
        <v>725</v>
      </c>
      <c r="AA30" s="668" t="s">
        <v>662</v>
      </c>
      <c r="AB30" s="668" t="s">
        <v>504</v>
      </c>
      <c r="AC30" s="668">
        <v>80000000</v>
      </c>
    </row>
    <row r="31" spans="1:29" s="382" customFormat="1">
      <c r="A31" s="668">
        <v>171</v>
      </c>
      <c r="B31" s="668">
        <v>24</v>
      </c>
      <c r="C31" s="668">
        <v>78678</v>
      </c>
      <c r="D31" s="668">
        <v>188</v>
      </c>
      <c r="E31" s="668" t="s">
        <v>659</v>
      </c>
      <c r="F31" s="668" t="s">
        <v>941</v>
      </c>
      <c r="G31" s="668">
        <v>1053769732</v>
      </c>
      <c r="H31" s="668" t="s">
        <v>999</v>
      </c>
      <c r="I31" s="668" t="s">
        <v>1404</v>
      </c>
      <c r="J31" s="668" t="s">
        <v>503</v>
      </c>
      <c r="K31" s="668" t="s">
        <v>1000</v>
      </c>
      <c r="L31" s="668">
        <v>346634</v>
      </c>
      <c r="M31" s="298">
        <v>44936</v>
      </c>
      <c r="N31" s="812">
        <v>2400000</v>
      </c>
      <c r="O31" s="812">
        <v>84000</v>
      </c>
      <c r="P31" s="812">
        <v>0</v>
      </c>
      <c r="Q31" s="812">
        <v>0</v>
      </c>
      <c r="R31" s="812">
        <v>0</v>
      </c>
      <c r="S31" s="812">
        <v>2316000</v>
      </c>
      <c r="T31" s="668">
        <v>346634</v>
      </c>
      <c r="U31" s="298">
        <v>44939</v>
      </c>
      <c r="V31" s="668" t="s">
        <v>261</v>
      </c>
      <c r="W31" s="668"/>
      <c r="X31" s="668"/>
      <c r="Y31" s="298">
        <v>44939</v>
      </c>
      <c r="Z31" s="668" t="s">
        <v>256</v>
      </c>
      <c r="AA31" s="668" t="s">
        <v>662</v>
      </c>
      <c r="AB31" s="668" t="s">
        <v>504</v>
      </c>
      <c r="AC31" s="668">
        <v>62155955</v>
      </c>
    </row>
    <row r="32" spans="1:29" s="382" customFormat="1">
      <c r="A32" s="668">
        <v>171</v>
      </c>
      <c r="B32" s="668">
        <v>25</v>
      </c>
      <c r="C32" s="668">
        <v>79033</v>
      </c>
      <c r="D32" s="668">
        <v>192</v>
      </c>
      <c r="E32" s="668" t="s">
        <v>681</v>
      </c>
      <c r="F32" s="668" t="s">
        <v>809</v>
      </c>
      <c r="G32" s="668">
        <v>40922719</v>
      </c>
      <c r="H32" s="668" t="s">
        <v>634</v>
      </c>
      <c r="I32" s="668" t="s">
        <v>1405</v>
      </c>
      <c r="J32" s="668" t="s">
        <v>503</v>
      </c>
      <c r="K32" s="668" t="s">
        <v>804</v>
      </c>
      <c r="L32" s="668">
        <v>347855</v>
      </c>
      <c r="M32" s="298">
        <v>44936</v>
      </c>
      <c r="N32" s="812">
        <v>500000</v>
      </c>
      <c r="O32" s="812">
        <v>0</v>
      </c>
      <c r="P32" s="812">
        <v>0</v>
      </c>
      <c r="Q32" s="812">
        <v>3000</v>
      </c>
      <c r="R32" s="812">
        <v>0</v>
      </c>
      <c r="S32" s="812">
        <v>497000</v>
      </c>
      <c r="T32" s="668">
        <v>347855</v>
      </c>
      <c r="U32" s="298">
        <v>44939</v>
      </c>
      <c r="V32" s="668" t="s">
        <v>261</v>
      </c>
      <c r="W32" s="668"/>
      <c r="X32" s="668"/>
      <c r="Y32" s="298">
        <v>44939</v>
      </c>
      <c r="Z32" s="668" t="s">
        <v>260</v>
      </c>
      <c r="AA32" s="668" t="s">
        <v>662</v>
      </c>
      <c r="AB32" s="668" t="s">
        <v>505</v>
      </c>
      <c r="AC32" s="668">
        <v>80000000</v>
      </c>
    </row>
    <row r="33" spans="1:29" s="382" customFormat="1">
      <c r="A33" s="668">
        <v>171</v>
      </c>
      <c r="B33" s="668">
        <v>26</v>
      </c>
      <c r="C33" s="668">
        <v>79207</v>
      </c>
      <c r="D33" s="668">
        <v>192</v>
      </c>
      <c r="E33" s="668" t="s">
        <v>681</v>
      </c>
      <c r="F33" s="668" t="s">
        <v>897</v>
      </c>
      <c r="G33" s="668">
        <v>40922719</v>
      </c>
      <c r="H33" s="668" t="s">
        <v>634</v>
      </c>
      <c r="I33" s="668" t="s">
        <v>1406</v>
      </c>
      <c r="J33" s="668" t="s">
        <v>503</v>
      </c>
      <c r="K33" s="668" t="s">
        <v>804</v>
      </c>
      <c r="L33" s="668">
        <v>347866</v>
      </c>
      <c r="M33" s="298">
        <v>44936</v>
      </c>
      <c r="N33" s="812">
        <v>500000</v>
      </c>
      <c r="O33" s="812">
        <v>0</v>
      </c>
      <c r="P33" s="812">
        <v>0</v>
      </c>
      <c r="Q33" s="812">
        <v>3000</v>
      </c>
      <c r="R33" s="812">
        <v>0</v>
      </c>
      <c r="S33" s="812">
        <v>497000</v>
      </c>
      <c r="T33" s="668">
        <v>347866</v>
      </c>
      <c r="U33" s="298">
        <v>44939</v>
      </c>
      <c r="V33" s="668" t="s">
        <v>261</v>
      </c>
      <c r="W33" s="668"/>
      <c r="X33" s="668"/>
      <c r="Y33" s="298">
        <v>44939</v>
      </c>
      <c r="Z33" s="668" t="s">
        <v>260</v>
      </c>
      <c r="AA33" s="668" t="s">
        <v>662</v>
      </c>
      <c r="AB33" s="668" t="s">
        <v>505</v>
      </c>
      <c r="AC33" s="668">
        <v>80000000</v>
      </c>
    </row>
    <row r="34" spans="1:29" s="382" customFormat="1">
      <c r="A34" s="668">
        <v>171</v>
      </c>
      <c r="B34" s="668">
        <v>27</v>
      </c>
      <c r="C34" s="668">
        <v>79207</v>
      </c>
      <c r="D34" s="668">
        <v>192</v>
      </c>
      <c r="E34" s="668" t="s">
        <v>681</v>
      </c>
      <c r="F34" s="668" t="s">
        <v>897</v>
      </c>
      <c r="G34" s="668">
        <v>40922719</v>
      </c>
      <c r="H34" s="668" t="s">
        <v>634</v>
      </c>
      <c r="I34" s="668" t="s">
        <v>1407</v>
      </c>
      <c r="J34" s="668" t="s">
        <v>503</v>
      </c>
      <c r="K34" s="668" t="s">
        <v>804</v>
      </c>
      <c r="L34" s="668">
        <v>347867</v>
      </c>
      <c r="M34" s="298">
        <v>44936</v>
      </c>
      <c r="N34" s="812">
        <v>500000</v>
      </c>
      <c r="O34" s="812">
        <v>0</v>
      </c>
      <c r="P34" s="812">
        <v>0</v>
      </c>
      <c r="Q34" s="812">
        <v>3000</v>
      </c>
      <c r="R34" s="812">
        <v>0</v>
      </c>
      <c r="S34" s="812">
        <v>497000</v>
      </c>
      <c r="T34" s="668">
        <v>347867</v>
      </c>
      <c r="U34" s="298">
        <v>44939</v>
      </c>
      <c r="V34" s="668" t="s">
        <v>261</v>
      </c>
      <c r="W34" s="668"/>
      <c r="X34" s="668"/>
      <c r="Y34" s="298">
        <v>44939</v>
      </c>
      <c r="Z34" s="668" t="s">
        <v>260</v>
      </c>
      <c r="AA34" s="668" t="s">
        <v>662</v>
      </c>
      <c r="AB34" s="668" t="s">
        <v>505</v>
      </c>
      <c r="AC34" s="668">
        <v>80000000</v>
      </c>
    </row>
    <row r="35" spans="1:29" s="382" customFormat="1">
      <c r="A35" s="668">
        <v>171</v>
      </c>
      <c r="B35" s="668">
        <v>28</v>
      </c>
      <c r="C35" s="668">
        <v>75364</v>
      </c>
      <c r="D35" s="668">
        <v>187</v>
      </c>
      <c r="E35" s="668" t="s">
        <v>545</v>
      </c>
      <c r="F35" s="668" t="s">
        <v>577</v>
      </c>
      <c r="G35" s="668">
        <v>901531273</v>
      </c>
      <c r="H35" s="668" t="s">
        <v>594</v>
      </c>
      <c r="I35" s="668" t="s">
        <v>1408</v>
      </c>
      <c r="J35" s="668" t="s">
        <v>503</v>
      </c>
      <c r="K35" s="668" t="s">
        <v>595</v>
      </c>
      <c r="L35" s="668">
        <v>349100</v>
      </c>
      <c r="M35" s="298">
        <v>44936</v>
      </c>
      <c r="N35" s="812">
        <v>1981658.67</v>
      </c>
      <c r="O35" s="812">
        <v>0</v>
      </c>
      <c r="P35" s="812">
        <v>0</v>
      </c>
      <c r="Q35" s="812">
        <v>0</v>
      </c>
      <c r="R35" s="812">
        <v>0</v>
      </c>
      <c r="S35" s="812">
        <v>1981658.67</v>
      </c>
      <c r="T35" s="668">
        <v>349100</v>
      </c>
      <c r="U35" s="298">
        <v>44939</v>
      </c>
      <c r="V35" s="668" t="s">
        <v>261</v>
      </c>
      <c r="W35" s="668"/>
      <c r="X35" s="668"/>
      <c r="Y35" s="298">
        <v>44939</v>
      </c>
      <c r="Z35" s="668" t="s">
        <v>284</v>
      </c>
      <c r="AA35" s="668" t="s">
        <v>543</v>
      </c>
      <c r="AB35" s="668" t="s">
        <v>505</v>
      </c>
      <c r="AC35" s="668">
        <v>101719704</v>
      </c>
    </row>
    <row r="36" spans="1:29" s="382" customFormat="1">
      <c r="A36" s="668">
        <v>171</v>
      </c>
      <c r="B36" s="668">
        <v>29</v>
      </c>
      <c r="C36" s="668">
        <v>74879</v>
      </c>
      <c r="D36" s="668">
        <v>187</v>
      </c>
      <c r="E36" s="668" t="s">
        <v>608</v>
      </c>
      <c r="F36" s="668" t="s">
        <v>1349</v>
      </c>
      <c r="G36" s="668">
        <v>901564290</v>
      </c>
      <c r="H36" s="668" t="s">
        <v>1409</v>
      </c>
      <c r="I36" s="668" t="s">
        <v>1410</v>
      </c>
      <c r="J36" s="668" t="s">
        <v>503</v>
      </c>
      <c r="K36" s="668" t="s">
        <v>1411</v>
      </c>
      <c r="L36" s="668">
        <v>349184</v>
      </c>
      <c r="M36" s="298">
        <v>44936</v>
      </c>
      <c r="N36" s="812">
        <v>8315125</v>
      </c>
      <c r="O36" s="812">
        <v>0</v>
      </c>
      <c r="P36" s="812">
        <v>0</v>
      </c>
      <c r="Q36" s="812">
        <v>0</v>
      </c>
      <c r="R36" s="812">
        <v>0</v>
      </c>
      <c r="S36" s="812">
        <v>8315125</v>
      </c>
      <c r="T36" s="668">
        <v>349184</v>
      </c>
      <c r="U36" s="298">
        <v>44939</v>
      </c>
      <c r="V36" s="668" t="s">
        <v>261</v>
      </c>
      <c r="W36" s="668"/>
      <c r="X36" s="668"/>
      <c r="Y36" s="298">
        <v>44939</v>
      </c>
      <c r="Z36" s="668" t="s">
        <v>284</v>
      </c>
      <c r="AA36" s="668" t="s">
        <v>543</v>
      </c>
      <c r="AB36" s="668" t="s">
        <v>505</v>
      </c>
      <c r="AC36" s="668">
        <v>119925432</v>
      </c>
    </row>
    <row r="37" spans="1:29" s="382" customFormat="1">
      <c r="A37" s="668">
        <v>171</v>
      </c>
      <c r="B37" s="668">
        <v>30</v>
      </c>
      <c r="C37" s="668">
        <v>74121</v>
      </c>
      <c r="D37" s="668">
        <v>177</v>
      </c>
      <c r="E37" s="668" t="s">
        <v>537</v>
      </c>
      <c r="F37" s="668" t="s">
        <v>810</v>
      </c>
      <c r="G37" s="668">
        <v>900903582</v>
      </c>
      <c r="H37" s="668" t="s">
        <v>1412</v>
      </c>
      <c r="I37" s="668" t="s">
        <v>1413</v>
      </c>
      <c r="J37" s="668" t="s">
        <v>503</v>
      </c>
      <c r="K37" s="668" t="s">
        <v>1414</v>
      </c>
      <c r="L37" s="668">
        <v>349009</v>
      </c>
      <c r="M37" s="298">
        <v>44936</v>
      </c>
      <c r="N37" s="812">
        <v>6451940</v>
      </c>
      <c r="O37" s="812">
        <v>135544.95000000001</v>
      </c>
      <c r="P37" s="812">
        <v>0</v>
      </c>
      <c r="Q37" s="812">
        <v>10843.6</v>
      </c>
      <c r="R37" s="812">
        <v>0</v>
      </c>
      <c r="S37" s="812">
        <v>6305551.4500000002</v>
      </c>
      <c r="T37" s="668">
        <v>349009</v>
      </c>
      <c r="U37" s="298">
        <v>44939</v>
      </c>
      <c r="V37" s="668" t="s">
        <v>261</v>
      </c>
      <c r="W37" s="668"/>
      <c r="X37" s="668"/>
      <c r="Y37" s="298">
        <v>44939</v>
      </c>
      <c r="Z37" s="668" t="s">
        <v>254</v>
      </c>
      <c r="AA37" s="668" t="s">
        <v>538</v>
      </c>
      <c r="AB37" s="668" t="s">
        <v>647</v>
      </c>
      <c r="AC37" s="668">
        <v>79880073</v>
      </c>
    </row>
    <row r="38" spans="1:29" s="382" customFormat="1">
      <c r="A38" s="668">
        <v>171</v>
      </c>
      <c r="B38" s="668">
        <v>31</v>
      </c>
      <c r="C38" s="668">
        <v>74369</v>
      </c>
      <c r="D38" s="668">
        <v>175</v>
      </c>
      <c r="E38" s="668" t="s">
        <v>492</v>
      </c>
      <c r="F38" s="668" t="s">
        <v>1347</v>
      </c>
      <c r="G38" s="668">
        <v>901407596</v>
      </c>
      <c r="H38" s="668" t="s">
        <v>1415</v>
      </c>
      <c r="I38" s="668" t="s">
        <v>1416</v>
      </c>
      <c r="J38" s="668" t="s">
        <v>503</v>
      </c>
      <c r="K38" s="668" t="s">
        <v>1417</v>
      </c>
      <c r="L38" s="668">
        <v>349042</v>
      </c>
      <c r="M38" s="298">
        <v>44936</v>
      </c>
      <c r="N38" s="812">
        <v>15936480</v>
      </c>
      <c r="O38" s="812">
        <v>267840</v>
      </c>
      <c r="P38" s="812">
        <v>0</v>
      </c>
      <c r="Q38" s="812">
        <v>0</v>
      </c>
      <c r="R38" s="812">
        <v>0</v>
      </c>
      <c r="S38" s="812">
        <v>15668640</v>
      </c>
      <c r="T38" s="668">
        <v>349042</v>
      </c>
      <c r="U38" s="298">
        <v>44939</v>
      </c>
      <c r="V38" s="668" t="s">
        <v>261</v>
      </c>
      <c r="W38" s="668"/>
      <c r="X38" s="668"/>
      <c r="Y38" s="298">
        <v>44939</v>
      </c>
      <c r="Z38" s="668" t="s">
        <v>493</v>
      </c>
      <c r="AA38" s="668" t="s">
        <v>540</v>
      </c>
      <c r="AB38" s="668" t="s">
        <v>505</v>
      </c>
      <c r="AC38" s="668">
        <v>123984828</v>
      </c>
    </row>
    <row r="39" spans="1:29" s="382" customFormat="1">
      <c r="A39" s="668">
        <v>171</v>
      </c>
      <c r="B39" s="668">
        <v>32</v>
      </c>
      <c r="C39" s="668">
        <v>77085</v>
      </c>
      <c r="D39" s="668">
        <v>188</v>
      </c>
      <c r="E39" s="668" t="s">
        <v>714</v>
      </c>
      <c r="F39" s="668" t="s">
        <v>887</v>
      </c>
      <c r="G39" s="668">
        <v>24850472</v>
      </c>
      <c r="H39" s="668" t="s">
        <v>926</v>
      </c>
      <c r="I39" s="668" t="s">
        <v>1418</v>
      </c>
      <c r="J39" s="668" t="s">
        <v>503</v>
      </c>
      <c r="K39" s="668" t="s">
        <v>927</v>
      </c>
      <c r="L39" s="668">
        <v>349076</v>
      </c>
      <c r="M39" s="298">
        <v>44936</v>
      </c>
      <c r="N39" s="812">
        <v>555000</v>
      </c>
      <c r="O39" s="812">
        <v>0</v>
      </c>
      <c r="P39" s="812">
        <v>0</v>
      </c>
      <c r="Q39" s="812">
        <v>0</v>
      </c>
      <c r="R39" s="812">
        <v>0</v>
      </c>
      <c r="S39" s="812">
        <v>555000</v>
      </c>
      <c r="T39" s="668">
        <v>349076</v>
      </c>
      <c r="U39" s="298">
        <v>44939</v>
      </c>
      <c r="V39" s="668" t="s">
        <v>261</v>
      </c>
      <c r="W39" s="668"/>
      <c r="X39" s="668"/>
      <c r="Y39" s="298">
        <v>44939</v>
      </c>
      <c r="Z39" s="668" t="s">
        <v>256</v>
      </c>
      <c r="AA39" s="668" t="s">
        <v>650</v>
      </c>
      <c r="AB39" s="668" t="s">
        <v>504</v>
      </c>
      <c r="AC39" s="668">
        <v>79789500</v>
      </c>
    </row>
    <row r="40" spans="1:29" s="382" customFormat="1">
      <c r="A40" s="668">
        <v>171</v>
      </c>
      <c r="B40" s="668">
        <v>33</v>
      </c>
      <c r="C40" s="668">
        <v>74479</v>
      </c>
      <c r="D40" s="668">
        <v>184</v>
      </c>
      <c r="E40" s="668" t="s">
        <v>521</v>
      </c>
      <c r="F40" s="668" t="s">
        <v>571</v>
      </c>
      <c r="G40" s="668">
        <v>43736177</v>
      </c>
      <c r="H40" s="668" t="s">
        <v>1083</v>
      </c>
      <c r="I40" s="668" t="s">
        <v>1419</v>
      </c>
      <c r="J40" s="668" t="s">
        <v>503</v>
      </c>
      <c r="K40" s="668" t="s">
        <v>1084</v>
      </c>
      <c r="L40" s="668">
        <v>349121</v>
      </c>
      <c r="M40" s="298">
        <v>44936</v>
      </c>
      <c r="N40" s="812">
        <v>925000</v>
      </c>
      <c r="O40" s="812">
        <v>0</v>
      </c>
      <c r="P40" s="812">
        <v>0</v>
      </c>
      <c r="Q40" s="812">
        <v>0</v>
      </c>
      <c r="R40" s="812">
        <v>0</v>
      </c>
      <c r="S40" s="812">
        <v>925000</v>
      </c>
      <c r="T40" s="668">
        <v>349121</v>
      </c>
      <c r="U40" s="298">
        <v>44939</v>
      </c>
      <c r="V40" s="668" t="s">
        <v>261</v>
      </c>
      <c r="W40" s="668"/>
      <c r="X40" s="668"/>
      <c r="Y40" s="298">
        <v>44939</v>
      </c>
      <c r="Z40" s="668" t="s">
        <v>254</v>
      </c>
      <c r="AA40" s="668" t="s">
        <v>539</v>
      </c>
      <c r="AB40" s="668" t="s">
        <v>647</v>
      </c>
      <c r="AC40" s="668">
        <v>123561591</v>
      </c>
    </row>
    <row r="41" spans="1:29" s="382" customFormat="1">
      <c r="A41" s="668">
        <v>171</v>
      </c>
      <c r="B41" s="668">
        <v>34</v>
      </c>
      <c r="C41" s="668">
        <v>71549</v>
      </c>
      <c r="D41" s="668">
        <v>167</v>
      </c>
      <c r="E41" s="668" t="s">
        <v>648</v>
      </c>
      <c r="F41" s="668" t="s">
        <v>649</v>
      </c>
      <c r="G41" s="668">
        <v>901572243</v>
      </c>
      <c r="H41" s="668" t="s">
        <v>649</v>
      </c>
      <c r="I41" s="668" t="s">
        <v>1420</v>
      </c>
      <c r="J41" s="668" t="s">
        <v>503</v>
      </c>
      <c r="K41" s="668" t="s">
        <v>789</v>
      </c>
      <c r="L41" s="668">
        <v>349191</v>
      </c>
      <c r="M41" s="298">
        <v>44936</v>
      </c>
      <c r="N41" s="812">
        <v>6261512</v>
      </c>
      <c r="O41" s="812">
        <v>0</v>
      </c>
      <c r="P41" s="812">
        <v>0</v>
      </c>
      <c r="Q41" s="812">
        <v>0</v>
      </c>
      <c r="R41" s="812">
        <v>0</v>
      </c>
      <c r="S41" s="812">
        <v>6261512</v>
      </c>
      <c r="T41" s="668">
        <v>349191</v>
      </c>
      <c r="U41" s="298">
        <v>44939</v>
      </c>
      <c r="V41" s="668" t="s">
        <v>261</v>
      </c>
      <c r="W41" s="668"/>
      <c r="X41" s="668"/>
      <c r="Y41" s="298">
        <v>44939</v>
      </c>
      <c r="Z41" s="668" t="s">
        <v>254</v>
      </c>
      <c r="AA41" s="668" t="s">
        <v>650</v>
      </c>
      <c r="AB41" s="668" t="s">
        <v>647</v>
      </c>
      <c r="AC41" s="668">
        <v>79711993</v>
      </c>
    </row>
    <row r="42" spans="1:29" s="382" customFormat="1">
      <c r="A42" s="668">
        <v>171</v>
      </c>
      <c r="B42" s="668">
        <v>35</v>
      </c>
      <c r="C42" s="668">
        <v>78105</v>
      </c>
      <c r="D42" s="668">
        <v>191</v>
      </c>
      <c r="E42" s="668" t="s">
        <v>805</v>
      </c>
      <c r="F42" s="668" t="s">
        <v>947</v>
      </c>
      <c r="G42" s="668">
        <v>1122118626</v>
      </c>
      <c r="H42" s="668" t="s">
        <v>797</v>
      </c>
      <c r="I42" s="668" t="s">
        <v>1421</v>
      </c>
      <c r="J42" s="668" t="s">
        <v>503</v>
      </c>
      <c r="K42" s="668" t="s">
        <v>736</v>
      </c>
      <c r="L42" s="668">
        <v>349220</v>
      </c>
      <c r="M42" s="298">
        <v>44936</v>
      </c>
      <c r="N42" s="812">
        <v>400000</v>
      </c>
      <c r="O42" s="812">
        <v>0</v>
      </c>
      <c r="P42" s="812">
        <v>0</v>
      </c>
      <c r="Q42" s="812">
        <v>0</v>
      </c>
      <c r="R42" s="812">
        <v>0</v>
      </c>
      <c r="S42" s="812">
        <v>400000</v>
      </c>
      <c r="T42" s="668">
        <v>349220</v>
      </c>
      <c r="U42" s="298">
        <v>44939</v>
      </c>
      <c r="V42" s="668" t="s">
        <v>261</v>
      </c>
      <c r="W42" s="668"/>
      <c r="X42" s="668"/>
      <c r="Y42" s="298">
        <v>44939</v>
      </c>
      <c r="Z42" s="668" t="s">
        <v>725</v>
      </c>
      <c r="AA42" s="668" t="s">
        <v>662</v>
      </c>
      <c r="AB42" s="668" t="s">
        <v>504</v>
      </c>
      <c r="AC42" s="668">
        <v>80000000</v>
      </c>
    </row>
    <row r="43" spans="1:29" s="382" customFormat="1">
      <c r="A43" s="668">
        <v>171</v>
      </c>
      <c r="B43" s="668">
        <v>36</v>
      </c>
      <c r="C43" s="668">
        <v>79033</v>
      </c>
      <c r="D43" s="668">
        <v>192</v>
      </c>
      <c r="E43" s="668" t="s">
        <v>681</v>
      </c>
      <c r="F43" s="668" t="s">
        <v>809</v>
      </c>
      <c r="G43" s="668">
        <v>901571348</v>
      </c>
      <c r="H43" s="668" t="s">
        <v>917</v>
      </c>
      <c r="I43" s="668" t="s">
        <v>1422</v>
      </c>
      <c r="J43" s="668" t="s">
        <v>507</v>
      </c>
      <c r="K43" s="668" t="s">
        <v>918</v>
      </c>
      <c r="L43" s="668">
        <v>349226</v>
      </c>
      <c r="M43" s="298">
        <v>44936</v>
      </c>
      <c r="N43" s="812">
        <v>3784596</v>
      </c>
      <c r="O43" s="812">
        <v>0</v>
      </c>
      <c r="P43" s="812">
        <v>0</v>
      </c>
      <c r="Q43" s="812">
        <v>0</v>
      </c>
      <c r="R43" s="812">
        <v>0</v>
      </c>
      <c r="S43" s="812">
        <v>3784596</v>
      </c>
      <c r="T43" s="668">
        <v>349226</v>
      </c>
      <c r="U43" s="298">
        <v>44939</v>
      </c>
      <c r="V43" s="668" t="s">
        <v>261</v>
      </c>
      <c r="W43" s="668"/>
      <c r="X43" s="668"/>
      <c r="Y43" s="298">
        <v>44939</v>
      </c>
      <c r="Z43" s="668" t="s">
        <v>260</v>
      </c>
      <c r="AA43" s="668" t="s">
        <v>662</v>
      </c>
      <c r="AB43" s="668" t="s">
        <v>505</v>
      </c>
      <c r="AC43" s="668">
        <v>80000000</v>
      </c>
    </row>
    <row r="44" spans="1:29" s="382" customFormat="1">
      <c r="A44" s="668">
        <v>171</v>
      </c>
      <c r="B44" s="668">
        <v>37</v>
      </c>
      <c r="C44" s="668">
        <v>79405</v>
      </c>
      <c r="D44" s="668">
        <v>191</v>
      </c>
      <c r="E44" s="668" t="s">
        <v>805</v>
      </c>
      <c r="F44" s="668" t="s">
        <v>895</v>
      </c>
      <c r="G44" s="668">
        <v>1122118626</v>
      </c>
      <c r="H44" s="668" t="s">
        <v>797</v>
      </c>
      <c r="I44" s="668" t="s">
        <v>1423</v>
      </c>
      <c r="J44" s="668" t="s">
        <v>503</v>
      </c>
      <c r="K44" s="668" t="s">
        <v>736</v>
      </c>
      <c r="L44" s="668">
        <v>349232</v>
      </c>
      <c r="M44" s="298">
        <v>44936</v>
      </c>
      <c r="N44" s="812">
        <v>500000</v>
      </c>
      <c r="O44" s="812">
        <v>0</v>
      </c>
      <c r="P44" s="812">
        <v>0</v>
      </c>
      <c r="Q44" s="812">
        <v>0</v>
      </c>
      <c r="R44" s="812">
        <v>0</v>
      </c>
      <c r="S44" s="812">
        <v>500000</v>
      </c>
      <c r="T44" s="668">
        <v>349232</v>
      </c>
      <c r="U44" s="298">
        <v>44939</v>
      </c>
      <c r="V44" s="668" t="s">
        <v>261</v>
      </c>
      <c r="W44" s="668"/>
      <c r="X44" s="668"/>
      <c r="Y44" s="298">
        <v>44939</v>
      </c>
      <c r="Z44" s="668" t="s">
        <v>725</v>
      </c>
      <c r="AA44" s="668" t="s">
        <v>680</v>
      </c>
      <c r="AB44" s="668" t="s">
        <v>504</v>
      </c>
      <c r="AC44" s="668">
        <v>80000000</v>
      </c>
    </row>
    <row r="45" spans="1:29" s="382" customFormat="1">
      <c r="A45" s="668">
        <v>171</v>
      </c>
      <c r="B45" s="668">
        <v>38</v>
      </c>
      <c r="C45" s="668">
        <v>78446</v>
      </c>
      <c r="D45" s="668">
        <v>191</v>
      </c>
      <c r="E45" s="668" t="s">
        <v>805</v>
      </c>
      <c r="F45" s="668" t="s">
        <v>1103</v>
      </c>
      <c r="G45" s="668">
        <v>1122118626</v>
      </c>
      <c r="H45" s="668" t="s">
        <v>797</v>
      </c>
      <c r="I45" s="668" t="s">
        <v>1424</v>
      </c>
      <c r="J45" s="668" t="s">
        <v>503</v>
      </c>
      <c r="K45" s="668" t="s">
        <v>736</v>
      </c>
      <c r="L45" s="668">
        <v>349233</v>
      </c>
      <c r="M45" s="298">
        <v>44936</v>
      </c>
      <c r="N45" s="812">
        <v>500000</v>
      </c>
      <c r="O45" s="812">
        <v>0</v>
      </c>
      <c r="P45" s="812">
        <v>0</v>
      </c>
      <c r="Q45" s="812">
        <v>0</v>
      </c>
      <c r="R45" s="812">
        <v>0</v>
      </c>
      <c r="S45" s="812">
        <v>500000</v>
      </c>
      <c r="T45" s="668">
        <v>349233</v>
      </c>
      <c r="U45" s="298">
        <v>44939</v>
      </c>
      <c r="V45" s="668" t="s">
        <v>261</v>
      </c>
      <c r="W45" s="668"/>
      <c r="X45" s="668"/>
      <c r="Y45" s="298">
        <v>44939</v>
      </c>
      <c r="Z45" s="668" t="s">
        <v>725</v>
      </c>
      <c r="AA45" s="668" t="s">
        <v>662</v>
      </c>
      <c r="AB45" s="668" t="s">
        <v>504</v>
      </c>
      <c r="AC45" s="668">
        <v>80000000</v>
      </c>
    </row>
    <row r="46" spans="1:29" s="382" customFormat="1">
      <c r="A46" s="668">
        <v>171</v>
      </c>
      <c r="B46" s="668">
        <v>39</v>
      </c>
      <c r="C46" s="668">
        <v>78876</v>
      </c>
      <c r="D46" s="668">
        <v>191</v>
      </c>
      <c r="E46" s="668" t="s">
        <v>805</v>
      </c>
      <c r="F46" s="668" t="s">
        <v>862</v>
      </c>
      <c r="G46" s="668">
        <v>1122118626</v>
      </c>
      <c r="H46" s="668" t="s">
        <v>797</v>
      </c>
      <c r="I46" s="668" t="s">
        <v>1425</v>
      </c>
      <c r="J46" s="668" t="s">
        <v>503</v>
      </c>
      <c r="K46" s="668" t="s">
        <v>736</v>
      </c>
      <c r="L46" s="668">
        <v>349291</v>
      </c>
      <c r="M46" s="298">
        <v>44936</v>
      </c>
      <c r="N46" s="812">
        <v>400000</v>
      </c>
      <c r="O46" s="812">
        <v>0</v>
      </c>
      <c r="P46" s="812">
        <v>0</v>
      </c>
      <c r="Q46" s="812">
        <v>0</v>
      </c>
      <c r="R46" s="812">
        <v>0</v>
      </c>
      <c r="S46" s="812">
        <v>400000</v>
      </c>
      <c r="T46" s="668">
        <v>349291</v>
      </c>
      <c r="U46" s="298">
        <v>44939</v>
      </c>
      <c r="V46" s="668" t="s">
        <v>261</v>
      </c>
      <c r="W46" s="668"/>
      <c r="X46" s="668"/>
      <c r="Y46" s="298">
        <v>44939</v>
      </c>
      <c r="Z46" s="668" t="s">
        <v>725</v>
      </c>
      <c r="AA46" s="668" t="s">
        <v>680</v>
      </c>
      <c r="AB46" s="668" t="s">
        <v>504</v>
      </c>
      <c r="AC46" s="668">
        <v>80000000</v>
      </c>
    </row>
    <row r="47" spans="1:29" s="382" customFormat="1">
      <c r="A47" s="668">
        <v>171</v>
      </c>
      <c r="B47" s="668">
        <v>40</v>
      </c>
      <c r="C47" s="668">
        <v>79207</v>
      </c>
      <c r="D47" s="668">
        <v>192</v>
      </c>
      <c r="E47" s="668" t="s">
        <v>681</v>
      </c>
      <c r="F47" s="668" t="s">
        <v>897</v>
      </c>
      <c r="G47" s="668">
        <v>901565556</v>
      </c>
      <c r="H47" s="668" t="s">
        <v>1426</v>
      </c>
      <c r="I47" s="668" t="s">
        <v>1427</v>
      </c>
      <c r="J47" s="668" t="s">
        <v>503</v>
      </c>
      <c r="K47" s="668" t="s">
        <v>1428</v>
      </c>
      <c r="L47" s="668">
        <v>343425</v>
      </c>
      <c r="M47" s="298">
        <v>44936</v>
      </c>
      <c r="N47" s="812">
        <v>3742836</v>
      </c>
      <c r="O47" s="812">
        <v>0</v>
      </c>
      <c r="P47" s="812">
        <v>0</v>
      </c>
      <c r="Q47" s="812">
        <v>0</v>
      </c>
      <c r="R47" s="812">
        <v>0</v>
      </c>
      <c r="S47" s="812">
        <v>3742836</v>
      </c>
      <c r="T47" s="668">
        <v>343425</v>
      </c>
      <c r="U47" s="298">
        <v>44939</v>
      </c>
      <c r="V47" s="668" t="s">
        <v>261</v>
      </c>
      <c r="W47" s="668"/>
      <c r="X47" s="668"/>
      <c r="Y47" s="298">
        <v>44939</v>
      </c>
      <c r="Z47" s="668" t="s">
        <v>260</v>
      </c>
      <c r="AA47" s="668" t="s">
        <v>662</v>
      </c>
      <c r="AB47" s="668" t="s">
        <v>505</v>
      </c>
      <c r="AC47" s="668">
        <v>80000000</v>
      </c>
    </row>
    <row r="48" spans="1:29" s="382" customFormat="1">
      <c r="A48" s="668">
        <v>171</v>
      </c>
      <c r="B48" s="668">
        <v>41</v>
      </c>
      <c r="C48" s="668">
        <v>79207</v>
      </c>
      <c r="D48" s="668">
        <v>192</v>
      </c>
      <c r="E48" s="668" t="s">
        <v>681</v>
      </c>
      <c r="F48" s="668" t="s">
        <v>897</v>
      </c>
      <c r="G48" s="668">
        <v>901565556</v>
      </c>
      <c r="H48" s="668" t="s">
        <v>1426</v>
      </c>
      <c r="I48" s="668" t="s">
        <v>1429</v>
      </c>
      <c r="J48" s="668" t="s">
        <v>503</v>
      </c>
      <c r="K48" s="668" t="s">
        <v>1428</v>
      </c>
      <c r="L48" s="668">
        <v>343826</v>
      </c>
      <c r="M48" s="298">
        <v>44936</v>
      </c>
      <c r="N48" s="812">
        <v>3742836</v>
      </c>
      <c r="O48" s="812">
        <v>0</v>
      </c>
      <c r="P48" s="812">
        <v>0</v>
      </c>
      <c r="Q48" s="812">
        <v>0</v>
      </c>
      <c r="R48" s="812">
        <v>0</v>
      </c>
      <c r="S48" s="812">
        <v>3742836</v>
      </c>
      <c r="T48" s="668">
        <v>343826</v>
      </c>
      <c r="U48" s="298">
        <v>44939</v>
      </c>
      <c r="V48" s="668" t="s">
        <v>261</v>
      </c>
      <c r="W48" s="668"/>
      <c r="X48" s="668"/>
      <c r="Y48" s="298">
        <v>44939</v>
      </c>
      <c r="Z48" s="668" t="s">
        <v>260</v>
      </c>
      <c r="AA48" s="668" t="s">
        <v>662</v>
      </c>
      <c r="AB48" s="668" t="s">
        <v>505</v>
      </c>
      <c r="AC48" s="668">
        <v>80000000</v>
      </c>
    </row>
    <row r="49" spans="1:29" s="382" customFormat="1">
      <c r="A49" s="668">
        <v>171</v>
      </c>
      <c r="B49" s="668">
        <v>42</v>
      </c>
      <c r="C49" s="668">
        <v>79207</v>
      </c>
      <c r="D49" s="668">
        <v>192</v>
      </c>
      <c r="E49" s="668" t="s">
        <v>681</v>
      </c>
      <c r="F49" s="668" t="s">
        <v>897</v>
      </c>
      <c r="G49" s="668">
        <v>901565556</v>
      </c>
      <c r="H49" s="668" t="s">
        <v>1426</v>
      </c>
      <c r="I49" s="668" t="s">
        <v>1430</v>
      </c>
      <c r="J49" s="668" t="s">
        <v>503</v>
      </c>
      <c r="K49" s="668" t="s">
        <v>1428</v>
      </c>
      <c r="L49" s="668">
        <v>343827</v>
      </c>
      <c r="M49" s="298">
        <v>44936</v>
      </c>
      <c r="N49" s="812">
        <v>5046203</v>
      </c>
      <c r="O49" s="812">
        <v>0</v>
      </c>
      <c r="P49" s="812">
        <v>0</v>
      </c>
      <c r="Q49" s="812">
        <v>0</v>
      </c>
      <c r="R49" s="812">
        <v>0</v>
      </c>
      <c r="S49" s="812">
        <v>5046203</v>
      </c>
      <c r="T49" s="668">
        <v>343827</v>
      </c>
      <c r="U49" s="298">
        <v>44939</v>
      </c>
      <c r="V49" s="668" t="s">
        <v>261</v>
      </c>
      <c r="W49" s="668"/>
      <c r="X49" s="668"/>
      <c r="Y49" s="298">
        <v>44939</v>
      </c>
      <c r="Z49" s="668" t="s">
        <v>260</v>
      </c>
      <c r="AA49" s="668" t="s">
        <v>662</v>
      </c>
      <c r="AB49" s="668" t="s">
        <v>505</v>
      </c>
      <c r="AC49" s="668">
        <v>80000000</v>
      </c>
    </row>
    <row r="50" spans="1:29" s="382" customFormat="1">
      <c r="A50" s="668">
        <v>171</v>
      </c>
      <c r="B50" s="668">
        <v>43</v>
      </c>
      <c r="C50" s="668">
        <v>73513</v>
      </c>
      <c r="D50" s="668">
        <v>188</v>
      </c>
      <c r="E50" s="668" t="s">
        <v>582</v>
      </c>
      <c r="F50" s="668" t="s">
        <v>1351</v>
      </c>
      <c r="G50" s="668">
        <v>30235969</v>
      </c>
      <c r="H50" s="668" t="s">
        <v>1431</v>
      </c>
      <c r="I50" s="668" t="s">
        <v>1432</v>
      </c>
      <c r="J50" s="668" t="s">
        <v>503</v>
      </c>
      <c r="K50" s="668" t="s">
        <v>1433</v>
      </c>
      <c r="L50" s="668">
        <v>346023</v>
      </c>
      <c r="M50" s="298">
        <v>44936</v>
      </c>
      <c r="N50" s="812">
        <v>400000</v>
      </c>
      <c r="O50" s="812">
        <v>0</v>
      </c>
      <c r="P50" s="812">
        <v>0</v>
      </c>
      <c r="Q50" s="812">
        <v>0</v>
      </c>
      <c r="R50" s="812">
        <v>0</v>
      </c>
      <c r="S50" s="812">
        <v>400000</v>
      </c>
      <c r="T50" s="668">
        <v>346023</v>
      </c>
      <c r="U50" s="298">
        <v>44939</v>
      </c>
      <c r="V50" s="668" t="s">
        <v>261</v>
      </c>
      <c r="W50" s="668"/>
      <c r="X50" s="668"/>
      <c r="Y50" s="298">
        <v>44939</v>
      </c>
      <c r="Z50" s="668" t="s">
        <v>256</v>
      </c>
      <c r="AA50" s="668" t="s">
        <v>541</v>
      </c>
      <c r="AB50" s="668" t="s">
        <v>504</v>
      </c>
      <c r="AC50" s="668">
        <v>54807706</v>
      </c>
    </row>
    <row r="51" spans="1:29" s="382" customFormat="1">
      <c r="A51" s="668">
        <v>171</v>
      </c>
      <c r="B51" s="668">
        <v>44</v>
      </c>
      <c r="C51" s="668">
        <v>74426</v>
      </c>
      <c r="D51" s="668">
        <v>169</v>
      </c>
      <c r="E51" s="668" t="s">
        <v>573</v>
      </c>
      <c r="F51" s="668" t="s">
        <v>707</v>
      </c>
      <c r="G51" s="668">
        <v>901554028</v>
      </c>
      <c r="H51" s="668" t="s">
        <v>1434</v>
      </c>
      <c r="I51" s="668" t="s">
        <v>1435</v>
      </c>
      <c r="J51" s="668" t="s">
        <v>503</v>
      </c>
      <c r="K51" s="668" t="s">
        <v>1436</v>
      </c>
      <c r="L51" s="668">
        <v>346057</v>
      </c>
      <c r="M51" s="298">
        <v>44936</v>
      </c>
      <c r="N51" s="812">
        <v>2285030</v>
      </c>
      <c r="O51" s="812">
        <v>0</v>
      </c>
      <c r="P51" s="812">
        <v>0</v>
      </c>
      <c r="Q51" s="812">
        <v>0</v>
      </c>
      <c r="R51" s="812">
        <v>0</v>
      </c>
      <c r="S51" s="812">
        <v>2285030</v>
      </c>
      <c r="T51" s="668">
        <v>346057</v>
      </c>
      <c r="U51" s="298">
        <v>44939</v>
      </c>
      <c r="V51" s="668" t="s">
        <v>261</v>
      </c>
      <c r="W51" s="668"/>
      <c r="X51" s="668"/>
      <c r="Y51" s="298">
        <v>44939</v>
      </c>
      <c r="Z51" s="668" t="s">
        <v>304</v>
      </c>
      <c r="AA51" s="668" t="s">
        <v>548</v>
      </c>
      <c r="AB51" s="668" t="s">
        <v>504</v>
      </c>
      <c r="AC51" s="668">
        <v>109023120</v>
      </c>
    </row>
    <row r="52" spans="1:29" s="382" customFormat="1">
      <c r="A52" s="668">
        <v>171</v>
      </c>
      <c r="B52" s="668">
        <v>45</v>
      </c>
      <c r="C52" s="668">
        <v>78059</v>
      </c>
      <c r="D52" s="668">
        <v>190</v>
      </c>
      <c r="E52" s="668" t="s">
        <v>673</v>
      </c>
      <c r="F52" s="668" t="s">
        <v>676</v>
      </c>
      <c r="G52" s="668">
        <v>901575405</v>
      </c>
      <c r="H52" s="668" t="s">
        <v>678</v>
      </c>
      <c r="I52" s="668" t="s">
        <v>1437</v>
      </c>
      <c r="J52" s="668" t="s">
        <v>503</v>
      </c>
      <c r="K52" s="668" t="s">
        <v>865</v>
      </c>
      <c r="L52" s="668">
        <v>348951</v>
      </c>
      <c r="M52" s="298">
        <v>44936</v>
      </c>
      <c r="N52" s="812">
        <v>3742836</v>
      </c>
      <c r="O52" s="812">
        <v>0</v>
      </c>
      <c r="P52" s="812">
        <v>0</v>
      </c>
      <c r="Q52" s="812">
        <v>0</v>
      </c>
      <c r="R52" s="812">
        <v>0</v>
      </c>
      <c r="S52" s="812">
        <v>3742836</v>
      </c>
      <c r="T52" s="668">
        <v>348951</v>
      </c>
      <c r="U52" s="298">
        <v>44939</v>
      </c>
      <c r="V52" s="668" t="s">
        <v>261</v>
      </c>
      <c r="W52" s="668"/>
      <c r="X52" s="668"/>
      <c r="Y52" s="298">
        <v>44939</v>
      </c>
      <c r="Z52" s="668" t="s">
        <v>259</v>
      </c>
      <c r="AA52" s="668" t="s">
        <v>675</v>
      </c>
      <c r="AB52" s="668" t="s">
        <v>504</v>
      </c>
      <c r="AC52" s="668">
        <v>79951810</v>
      </c>
    </row>
    <row r="53" spans="1:29" s="382" customFormat="1">
      <c r="A53" s="668">
        <v>171</v>
      </c>
      <c r="B53" s="668">
        <v>46</v>
      </c>
      <c r="C53" s="668">
        <v>79777</v>
      </c>
      <c r="D53" s="668">
        <v>191</v>
      </c>
      <c r="E53" s="668" t="s">
        <v>805</v>
      </c>
      <c r="F53" s="668" t="s">
        <v>1106</v>
      </c>
      <c r="G53" s="668">
        <v>900750366</v>
      </c>
      <c r="H53" s="668" t="s">
        <v>1438</v>
      </c>
      <c r="I53" s="668" t="s">
        <v>1439</v>
      </c>
      <c r="J53" s="668" t="s">
        <v>503</v>
      </c>
      <c r="K53" s="668" t="s">
        <v>1440</v>
      </c>
      <c r="L53" s="668">
        <v>348952</v>
      </c>
      <c r="M53" s="298">
        <v>44936</v>
      </c>
      <c r="N53" s="812">
        <v>1500000</v>
      </c>
      <c r="O53" s="812">
        <v>60000</v>
      </c>
      <c r="P53" s="812">
        <v>0</v>
      </c>
      <c r="Q53" s="812">
        <v>14490</v>
      </c>
      <c r="R53" s="812">
        <v>0</v>
      </c>
      <c r="S53" s="812">
        <v>1425510</v>
      </c>
      <c r="T53" s="668">
        <v>348952</v>
      </c>
      <c r="U53" s="298">
        <v>44939</v>
      </c>
      <c r="V53" s="668" t="s">
        <v>261</v>
      </c>
      <c r="W53" s="668"/>
      <c r="X53" s="668"/>
      <c r="Y53" s="298">
        <v>44939</v>
      </c>
      <c r="Z53" s="668" t="s">
        <v>725</v>
      </c>
      <c r="AA53" s="668" t="s">
        <v>680</v>
      </c>
      <c r="AB53" s="668" t="s">
        <v>504</v>
      </c>
      <c r="AC53" s="668">
        <v>80000000</v>
      </c>
    </row>
    <row r="54" spans="1:29" s="382" customFormat="1">
      <c r="A54" s="668">
        <v>171</v>
      </c>
      <c r="B54" s="668">
        <v>47</v>
      </c>
      <c r="C54" s="668">
        <v>79223</v>
      </c>
      <c r="D54" s="668">
        <v>190</v>
      </c>
      <c r="E54" s="668" t="s">
        <v>673</v>
      </c>
      <c r="F54" s="668" t="s">
        <v>889</v>
      </c>
      <c r="G54" s="668">
        <v>1022408394</v>
      </c>
      <c r="H54" s="668" t="s">
        <v>1441</v>
      </c>
      <c r="I54" s="668" t="s">
        <v>1442</v>
      </c>
      <c r="J54" s="668" t="s">
        <v>503</v>
      </c>
      <c r="K54" s="668" t="s">
        <v>1443</v>
      </c>
      <c r="L54" s="668">
        <v>349001</v>
      </c>
      <c r="M54" s="298">
        <v>44936</v>
      </c>
      <c r="N54" s="812">
        <v>17500000</v>
      </c>
      <c r="O54" s="812">
        <v>612500</v>
      </c>
      <c r="P54" s="812">
        <v>0</v>
      </c>
      <c r="Q54" s="812">
        <v>0</v>
      </c>
      <c r="R54" s="812">
        <v>0</v>
      </c>
      <c r="S54" s="812">
        <v>16887500</v>
      </c>
      <c r="T54" s="668">
        <v>349001</v>
      </c>
      <c r="U54" s="298">
        <v>44939</v>
      </c>
      <c r="V54" s="668" t="s">
        <v>261</v>
      </c>
      <c r="W54" s="668"/>
      <c r="X54" s="668"/>
      <c r="Y54" s="298">
        <v>44939</v>
      </c>
      <c r="Z54" s="668" t="s">
        <v>259</v>
      </c>
      <c r="AA54" s="668" t="s">
        <v>675</v>
      </c>
      <c r="AB54" s="668" t="s">
        <v>504</v>
      </c>
      <c r="AC54" s="668">
        <v>78133236</v>
      </c>
    </row>
    <row r="55" spans="1:29" s="382" customFormat="1">
      <c r="A55" s="668">
        <v>171</v>
      </c>
      <c r="B55" s="668">
        <v>48</v>
      </c>
      <c r="C55" s="668">
        <v>78376</v>
      </c>
      <c r="D55" s="668">
        <v>191</v>
      </c>
      <c r="E55" s="668" t="s">
        <v>722</v>
      </c>
      <c r="F55" s="668" t="s">
        <v>727</v>
      </c>
      <c r="G55" s="668">
        <v>901565815</v>
      </c>
      <c r="H55" s="668" t="s">
        <v>986</v>
      </c>
      <c r="I55" s="668" t="s">
        <v>1444</v>
      </c>
      <c r="J55" s="668" t="s">
        <v>503</v>
      </c>
      <c r="K55" s="668" t="s">
        <v>987</v>
      </c>
      <c r="L55" s="668">
        <v>349186</v>
      </c>
      <c r="M55" s="298">
        <v>44936</v>
      </c>
      <c r="N55" s="812">
        <v>4157829</v>
      </c>
      <c r="O55" s="812">
        <v>0</v>
      </c>
      <c r="P55" s="812">
        <v>0</v>
      </c>
      <c r="Q55" s="812">
        <v>0</v>
      </c>
      <c r="R55" s="812">
        <v>0</v>
      </c>
      <c r="S55" s="812">
        <v>4157829</v>
      </c>
      <c r="T55" s="668">
        <v>349186</v>
      </c>
      <c r="U55" s="298">
        <v>44939</v>
      </c>
      <c r="V55" s="668" t="s">
        <v>261</v>
      </c>
      <c r="W55" s="668"/>
      <c r="X55" s="668"/>
      <c r="Y55" s="298">
        <v>44939</v>
      </c>
      <c r="Z55" s="668" t="s">
        <v>725</v>
      </c>
      <c r="AA55" s="668" t="s">
        <v>653</v>
      </c>
      <c r="AB55" s="668" t="s">
        <v>504</v>
      </c>
      <c r="AC55" s="668">
        <v>80000000</v>
      </c>
    </row>
    <row r="56" spans="1:29" s="382" customFormat="1">
      <c r="A56" s="668">
        <v>171</v>
      </c>
      <c r="B56" s="668">
        <v>49</v>
      </c>
      <c r="C56" s="668">
        <v>78454</v>
      </c>
      <c r="D56" s="668">
        <v>191</v>
      </c>
      <c r="E56" s="668" t="s">
        <v>722</v>
      </c>
      <c r="F56" s="668" t="s">
        <v>796</v>
      </c>
      <c r="G56" s="668">
        <v>1122118626</v>
      </c>
      <c r="H56" s="668" t="s">
        <v>797</v>
      </c>
      <c r="I56" s="668" t="s">
        <v>1445</v>
      </c>
      <c r="J56" s="668" t="s">
        <v>503</v>
      </c>
      <c r="K56" s="668" t="s">
        <v>736</v>
      </c>
      <c r="L56" s="668">
        <v>349218</v>
      </c>
      <c r="M56" s="298">
        <v>44936</v>
      </c>
      <c r="N56" s="812">
        <v>440000</v>
      </c>
      <c r="O56" s="812">
        <v>0</v>
      </c>
      <c r="P56" s="812">
        <v>0</v>
      </c>
      <c r="Q56" s="812">
        <v>0</v>
      </c>
      <c r="R56" s="812">
        <v>0</v>
      </c>
      <c r="S56" s="812">
        <v>440000</v>
      </c>
      <c r="T56" s="668">
        <v>349218</v>
      </c>
      <c r="U56" s="298">
        <v>44939</v>
      </c>
      <c r="V56" s="668" t="s">
        <v>261</v>
      </c>
      <c r="W56" s="668"/>
      <c r="X56" s="668"/>
      <c r="Y56" s="298">
        <v>44939</v>
      </c>
      <c r="Z56" s="668" t="s">
        <v>725</v>
      </c>
      <c r="AA56" s="668" t="s">
        <v>653</v>
      </c>
      <c r="AB56" s="668" t="s">
        <v>504</v>
      </c>
      <c r="AC56" s="668">
        <v>80000000</v>
      </c>
    </row>
    <row r="57" spans="1:29" s="382" customFormat="1">
      <c r="A57" s="668">
        <v>171</v>
      </c>
      <c r="B57" s="668">
        <v>50</v>
      </c>
      <c r="C57" s="668">
        <v>73513</v>
      </c>
      <c r="D57" s="668">
        <v>188</v>
      </c>
      <c r="E57" s="668" t="s">
        <v>582</v>
      </c>
      <c r="F57" s="668" t="s">
        <v>1351</v>
      </c>
      <c r="G57" s="668">
        <v>901554706</v>
      </c>
      <c r="H57" s="668" t="s">
        <v>1446</v>
      </c>
      <c r="I57" s="668" t="s">
        <v>1447</v>
      </c>
      <c r="J57" s="668" t="s">
        <v>503</v>
      </c>
      <c r="K57" s="668" t="s">
        <v>1448</v>
      </c>
      <c r="L57" s="668">
        <v>346033</v>
      </c>
      <c r="M57" s="298">
        <v>44936</v>
      </c>
      <c r="N57" s="812">
        <v>3487116</v>
      </c>
      <c r="O57" s="812">
        <v>0</v>
      </c>
      <c r="P57" s="812">
        <v>0</v>
      </c>
      <c r="Q57" s="812">
        <v>0</v>
      </c>
      <c r="R57" s="812">
        <v>0</v>
      </c>
      <c r="S57" s="812">
        <v>3487116</v>
      </c>
      <c r="T57" s="668">
        <v>346033</v>
      </c>
      <c r="U57" s="298">
        <v>44939</v>
      </c>
      <c r="V57" s="668" t="s">
        <v>261</v>
      </c>
      <c r="W57" s="668"/>
      <c r="X57" s="668"/>
      <c r="Y57" s="298">
        <v>44939</v>
      </c>
      <c r="Z57" s="668" t="s">
        <v>256</v>
      </c>
      <c r="AA57" s="668" t="s">
        <v>541</v>
      </c>
      <c r="AB57" s="668" t="s">
        <v>504</v>
      </c>
      <c r="AC57" s="668">
        <v>54807706</v>
      </c>
    </row>
    <row r="58" spans="1:29" s="382" customFormat="1">
      <c r="A58" s="668">
        <v>171</v>
      </c>
      <c r="B58" s="668">
        <v>51</v>
      </c>
      <c r="C58" s="668">
        <v>77085</v>
      </c>
      <c r="D58" s="668">
        <v>188</v>
      </c>
      <c r="E58" s="668" t="s">
        <v>714</v>
      </c>
      <c r="F58" s="668" t="s">
        <v>887</v>
      </c>
      <c r="G58" s="668">
        <v>1053786595</v>
      </c>
      <c r="H58" s="668" t="s">
        <v>519</v>
      </c>
      <c r="I58" s="668" t="s">
        <v>1449</v>
      </c>
      <c r="J58" s="668" t="s">
        <v>503</v>
      </c>
      <c r="K58" s="668" t="s">
        <v>520</v>
      </c>
      <c r="L58" s="668">
        <v>349185</v>
      </c>
      <c r="M58" s="298">
        <v>44936</v>
      </c>
      <c r="N58" s="812">
        <v>600000</v>
      </c>
      <c r="O58" s="812">
        <v>0</v>
      </c>
      <c r="P58" s="812">
        <v>0</v>
      </c>
      <c r="Q58" s="812">
        <v>0</v>
      </c>
      <c r="R58" s="812">
        <v>0</v>
      </c>
      <c r="S58" s="812">
        <v>600000</v>
      </c>
      <c r="T58" s="668">
        <v>349185</v>
      </c>
      <c r="U58" s="298">
        <v>44939</v>
      </c>
      <c r="V58" s="668" t="s">
        <v>261</v>
      </c>
      <c r="W58" s="668"/>
      <c r="X58" s="668"/>
      <c r="Y58" s="298">
        <v>44939</v>
      </c>
      <c r="Z58" s="668" t="s">
        <v>256</v>
      </c>
      <c r="AA58" s="668" t="s">
        <v>650</v>
      </c>
      <c r="AB58" s="668" t="s">
        <v>504</v>
      </c>
      <c r="AC58" s="668">
        <v>79789500</v>
      </c>
    </row>
    <row r="59" spans="1:29" s="382" customFormat="1">
      <c r="A59" s="668">
        <v>171</v>
      </c>
      <c r="B59" s="668">
        <v>52</v>
      </c>
      <c r="C59" s="668">
        <v>77085</v>
      </c>
      <c r="D59" s="668">
        <v>188</v>
      </c>
      <c r="E59" s="668" t="s">
        <v>714</v>
      </c>
      <c r="F59" s="668" t="s">
        <v>887</v>
      </c>
      <c r="G59" s="668">
        <v>901581638</v>
      </c>
      <c r="H59" s="668" t="s">
        <v>924</v>
      </c>
      <c r="I59" s="668" t="s">
        <v>1450</v>
      </c>
      <c r="J59" s="668" t="s">
        <v>503</v>
      </c>
      <c r="K59" s="668" t="s">
        <v>925</v>
      </c>
      <c r="L59" s="668">
        <v>349456</v>
      </c>
      <c r="M59" s="298">
        <v>44936</v>
      </c>
      <c r="N59" s="812">
        <v>5053297</v>
      </c>
      <c r="O59" s="812">
        <v>0</v>
      </c>
      <c r="P59" s="812">
        <v>0</v>
      </c>
      <c r="Q59" s="812">
        <v>0</v>
      </c>
      <c r="R59" s="812">
        <v>0</v>
      </c>
      <c r="S59" s="812">
        <v>5053297</v>
      </c>
      <c r="T59" s="668">
        <v>349456</v>
      </c>
      <c r="U59" s="298">
        <v>44939</v>
      </c>
      <c r="V59" s="668" t="s">
        <v>261</v>
      </c>
      <c r="W59" s="668"/>
      <c r="X59" s="668"/>
      <c r="Y59" s="298">
        <v>44939</v>
      </c>
      <c r="Z59" s="668" t="s">
        <v>256</v>
      </c>
      <c r="AA59" s="668" t="s">
        <v>650</v>
      </c>
      <c r="AB59" s="668" t="s">
        <v>504</v>
      </c>
      <c r="AC59" s="668">
        <v>79789500</v>
      </c>
    </row>
    <row r="60" spans="1:29" s="382" customFormat="1">
      <c r="A60" s="668">
        <v>171</v>
      </c>
      <c r="B60" s="668">
        <v>53</v>
      </c>
      <c r="C60" s="668">
        <v>74414</v>
      </c>
      <c r="D60" s="668">
        <v>184</v>
      </c>
      <c r="E60" s="668" t="s">
        <v>521</v>
      </c>
      <c r="F60" s="668" t="s">
        <v>1343</v>
      </c>
      <c r="G60" s="668">
        <v>1042770110</v>
      </c>
      <c r="H60" s="668" t="s">
        <v>1451</v>
      </c>
      <c r="I60" s="668" t="s">
        <v>1452</v>
      </c>
      <c r="J60" s="668" t="s">
        <v>503</v>
      </c>
      <c r="K60" s="668" t="s">
        <v>1453</v>
      </c>
      <c r="L60" s="668">
        <v>345947</v>
      </c>
      <c r="M60" s="298">
        <v>44936</v>
      </c>
      <c r="N60" s="812">
        <v>1600000</v>
      </c>
      <c r="O60" s="812">
        <v>0</v>
      </c>
      <c r="P60" s="812">
        <v>0</v>
      </c>
      <c r="Q60" s="812">
        <v>0</v>
      </c>
      <c r="R60" s="812">
        <v>0</v>
      </c>
      <c r="S60" s="812">
        <v>1600000</v>
      </c>
      <c r="T60" s="668">
        <v>345947</v>
      </c>
      <c r="U60" s="298">
        <v>44939</v>
      </c>
      <c r="V60" s="668" t="s">
        <v>261</v>
      </c>
      <c r="W60" s="668"/>
      <c r="X60" s="668"/>
      <c r="Y60" s="298">
        <v>44939</v>
      </c>
      <c r="Z60" s="668" t="s">
        <v>254</v>
      </c>
      <c r="AA60" s="668" t="s">
        <v>539</v>
      </c>
      <c r="AB60" s="668" t="s">
        <v>647</v>
      </c>
      <c r="AC60" s="668">
        <v>123108652</v>
      </c>
    </row>
    <row r="61" spans="1:29" s="382" customFormat="1">
      <c r="A61" s="668">
        <v>171</v>
      </c>
      <c r="B61" s="668">
        <v>54</v>
      </c>
      <c r="C61" s="668">
        <v>74414</v>
      </c>
      <c r="D61" s="668">
        <v>184</v>
      </c>
      <c r="E61" s="668" t="s">
        <v>521</v>
      </c>
      <c r="F61" s="668" t="s">
        <v>1343</v>
      </c>
      <c r="G61" s="668">
        <v>901534418</v>
      </c>
      <c r="H61" s="668" t="s">
        <v>1454</v>
      </c>
      <c r="I61" s="668" t="s">
        <v>1455</v>
      </c>
      <c r="J61" s="668" t="s">
        <v>503</v>
      </c>
      <c r="K61" s="668" t="s">
        <v>1456</v>
      </c>
      <c r="L61" s="668">
        <v>345959</v>
      </c>
      <c r="M61" s="298">
        <v>44936</v>
      </c>
      <c r="N61" s="812">
        <v>1247612</v>
      </c>
      <c r="O61" s="812">
        <v>0</v>
      </c>
      <c r="P61" s="812">
        <v>0</v>
      </c>
      <c r="Q61" s="812">
        <v>0</v>
      </c>
      <c r="R61" s="812">
        <v>0</v>
      </c>
      <c r="S61" s="812">
        <v>1247612</v>
      </c>
      <c r="T61" s="668">
        <v>345959</v>
      </c>
      <c r="U61" s="298">
        <v>44939</v>
      </c>
      <c r="V61" s="668" t="s">
        <v>261</v>
      </c>
      <c r="W61" s="668"/>
      <c r="X61" s="668"/>
      <c r="Y61" s="298">
        <v>44939</v>
      </c>
      <c r="Z61" s="668" t="s">
        <v>254</v>
      </c>
      <c r="AA61" s="668" t="s">
        <v>539</v>
      </c>
      <c r="AB61" s="668" t="s">
        <v>647</v>
      </c>
      <c r="AC61" s="668">
        <v>123108652</v>
      </c>
    </row>
    <row r="62" spans="1:29" s="382" customFormat="1">
      <c r="A62" s="668">
        <v>171</v>
      </c>
      <c r="B62" s="668">
        <v>55</v>
      </c>
      <c r="C62" s="668">
        <v>74414</v>
      </c>
      <c r="D62" s="668">
        <v>184</v>
      </c>
      <c r="E62" s="668" t="s">
        <v>521</v>
      </c>
      <c r="F62" s="668" t="s">
        <v>1343</v>
      </c>
      <c r="G62" s="668">
        <v>901534418</v>
      </c>
      <c r="H62" s="668" t="s">
        <v>1454</v>
      </c>
      <c r="I62" s="668" t="s">
        <v>1457</v>
      </c>
      <c r="J62" s="668" t="s">
        <v>503</v>
      </c>
      <c r="K62" s="668" t="s">
        <v>1456</v>
      </c>
      <c r="L62" s="668">
        <v>345967</v>
      </c>
      <c r="M62" s="298">
        <v>44936</v>
      </c>
      <c r="N62" s="812">
        <v>1247612</v>
      </c>
      <c r="O62" s="812">
        <v>0</v>
      </c>
      <c r="P62" s="812">
        <v>0</v>
      </c>
      <c r="Q62" s="812">
        <v>0</v>
      </c>
      <c r="R62" s="812">
        <v>0</v>
      </c>
      <c r="S62" s="812">
        <v>1247612</v>
      </c>
      <c r="T62" s="668">
        <v>345967</v>
      </c>
      <c r="U62" s="298">
        <v>44939</v>
      </c>
      <c r="V62" s="668" t="s">
        <v>261</v>
      </c>
      <c r="W62" s="668"/>
      <c r="X62" s="668"/>
      <c r="Y62" s="298">
        <v>44939</v>
      </c>
      <c r="Z62" s="668" t="s">
        <v>254</v>
      </c>
      <c r="AA62" s="668" t="s">
        <v>539</v>
      </c>
      <c r="AB62" s="668" t="s">
        <v>647</v>
      </c>
      <c r="AC62" s="668">
        <v>123108652</v>
      </c>
    </row>
    <row r="63" spans="1:29" s="382" customFormat="1">
      <c r="A63" s="668">
        <v>171</v>
      </c>
      <c r="B63" s="668">
        <v>56</v>
      </c>
      <c r="C63" s="668">
        <v>78876</v>
      </c>
      <c r="D63" s="668">
        <v>191</v>
      </c>
      <c r="E63" s="668" t="s">
        <v>805</v>
      </c>
      <c r="F63" s="668" t="s">
        <v>862</v>
      </c>
      <c r="G63" s="668">
        <v>901587378</v>
      </c>
      <c r="H63" s="668" t="s">
        <v>1458</v>
      </c>
      <c r="I63" s="668" t="s">
        <v>1459</v>
      </c>
      <c r="J63" s="668" t="s">
        <v>503</v>
      </c>
      <c r="K63" s="668" t="s">
        <v>1460</v>
      </c>
      <c r="L63" s="668">
        <v>346543</v>
      </c>
      <c r="M63" s="298">
        <v>44936</v>
      </c>
      <c r="N63" s="812">
        <v>8366209</v>
      </c>
      <c r="O63" s="812">
        <v>0</v>
      </c>
      <c r="P63" s="812">
        <v>0</v>
      </c>
      <c r="Q63" s="812">
        <v>0</v>
      </c>
      <c r="R63" s="812">
        <v>0</v>
      </c>
      <c r="S63" s="812">
        <v>8366209</v>
      </c>
      <c r="T63" s="668">
        <v>346543</v>
      </c>
      <c r="U63" s="298">
        <v>44939</v>
      </c>
      <c r="V63" s="668" t="s">
        <v>261</v>
      </c>
      <c r="W63" s="668"/>
      <c r="X63" s="668"/>
      <c r="Y63" s="298">
        <v>44939</v>
      </c>
      <c r="Z63" s="668" t="s">
        <v>725</v>
      </c>
      <c r="AA63" s="668" t="s">
        <v>680</v>
      </c>
      <c r="AB63" s="668" t="s">
        <v>504</v>
      </c>
      <c r="AC63" s="668">
        <v>80000000</v>
      </c>
    </row>
    <row r="64" spans="1:29" s="382" customFormat="1">
      <c r="A64" s="668">
        <v>171</v>
      </c>
      <c r="B64" s="668">
        <v>57</v>
      </c>
      <c r="C64" s="668">
        <v>74904</v>
      </c>
      <c r="D64" s="668">
        <v>189</v>
      </c>
      <c r="E64" s="668" t="s">
        <v>664</v>
      </c>
      <c r="F64" s="668" t="s">
        <v>840</v>
      </c>
      <c r="G64" s="668">
        <v>1088011872</v>
      </c>
      <c r="H64" s="668" t="s">
        <v>1461</v>
      </c>
      <c r="I64" s="668" t="s">
        <v>1462</v>
      </c>
      <c r="J64" s="668" t="s">
        <v>503</v>
      </c>
      <c r="K64" s="668" t="s">
        <v>1463</v>
      </c>
      <c r="L64" s="668">
        <v>346562</v>
      </c>
      <c r="M64" s="298">
        <v>44936</v>
      </c>
      <c r="N64" s="812">
        <v>1584159</v>
      </c>
      <c r="O64" s="812">
        <v>0</v>
      </c>
      <c r="P64" s="812">
        <v>0</v>
      </c>
      <c r="Q64" s="812">
        <v>0</v>
      </c>
      <c r="R64" s="812">
        <v>0</v>
      </c>
      <c r="S64" s="812">
        <v>1584159</v>
      </c>
      <c r="T64" s="668">
        <v>346562</v>
      </c>
      <c r="U64" s="298">
        <v>44939</v>
      </c>
      <c r="V64" s="668" t="s">
        <v>261</v>
      </c>
      <c r="W64" s="668"/>
      <c r="X64" s="668"/>
      <c r="Y64" s="298">
        <v>44939</v>
      </c>
      <c r="Z64" s="668" t="s">
        <v>258</v>
      </c>
      <c r="AA64" s="668" t="s">
        <v>661</v>
      </c>
      <c r="AB64" s="668" t="s">
        <v>506</v>
      </c>
      <c r="AC64" s="668">
        <v>79999977</v>
      </c>
    </row>
    <row r="65" spans="1:31" s="382" customFormat="1">
      <c r="A65" s="668">
        <v>171</v>
      </c>
      <c r="B65" s="668">
        <v>58</v>
      </c>
      <c r="C65" s="668">
        <v>75522</v>
      </c>
      <c r="D65" s="668">
        <v>169</v>
      </c>
      <c r="E65" s="668" t="s">
        <v>573</v>
      </c>
      <c r="F65" s="668" t="s">
        <v>575</v>
      </c>
      <c r="G65" s="668">
        <v>1118167149</v>
      </c>
      <c r="H65" s="668" t="s">
        <v>1464</v>
      </c>
      <c r="I65" s="668" t="s">
        <v>1465</v>
      </c>
      <c r="J65" s="668" t="s">
        <v>503</v>
      </c>
      <c r="K65" s="668" t="s">
        <v>1466</v>
      </c>
      <c r="L65" s="668">
        <v>346578</v>
      </c>
      <c r="M65" s="298">
        <v>44936</v>
      </c>
      <c r="N65" s="812">
        <v>3800000</v>
      </c>
      <c r="O65" s="812">
        <v>95000</v>
      </c>
      <c r="P65" s="812">
        <v>0</v>
      </c>
      <c r="Q65" s="812">
        <v>0</v>
      </c>
      <c r="R65" s="812">
        <v>0</v>
      </c>
      <c r="S65" s="812">
        <v>3705000</v>
      </c>
      <c r="T65" s="668">
        <v>346578</v>
      </c>
      <c r="U65" s="298">
        <v>44939</v>
      </c>
      <c r="V65" s="668" t="s">
        <v>261</v>
      </c>
      <c r="W65" s="668"/>
      <c r="X65" s="668"/>
      <c r="Y65" s="298">
        <v>44939</v>
      </c>
      <c r="Z65" s="668" t="s">
        <v>304</v>
      </c>
      <c r="AA65" s="668" t="s">
        <v>548</v>
      </c>
      <c r="AB65" s="668" t="s">
        <v>504</v>
      </c>
      <c r="AC65" s="668">
        <v>123376750</v>
      </c>
    </row>
    <row r="66" spans="1:31" s="382" customFormat="1">
      <c r="A66" s="668">
        <v>171</v>
      </c>
      <c r="B66" s="668">
        <v>59</v>
      </c>
      <c r="C66" s="668">
        <v>75522</v>
      </c>
      <c r="D66" s="668">
        <v>169</v>
      </c>
      <c r="E66" s="668" t="s">
        <v>573</v>
      </c>
      <c r="F66" s="668" t="s">
        <v>575</v>
      </c>
      <c r="G66" s="668">
        <v>11319284</v>
      </c>
      <c r="H66" s="668" t="s">
        <v>1467</v>
      </c>
      <c r="I66" s="668" t="s">
        <v>1468</v>
      </c>
      <c r="J66" s="668" t="s">
        <v>503</v>
      </c>
      <c r="K66" s="668" t="s">
        <v>1469</v>
      </c>
      <c r="L66" s="668">
        <v>346582</v>
      </c>
      <c r="M66" s="298">
        <v>44936</v>
      </c>
      <c r="N66" s="812">
        <v>5021000</v>
      </c>
      <c r="O66" s="812">
        <v>125525</v>
      </c>
      <c r="P66" s="812">
        <v>0</v>
      </c>
      <c r="Q66" s="812">
        <v>0</v>
      </c>
      <c r="R66" s="812">
        <v>0</v>
      </c>
      <c r="S66" s="812">
        <v>4895475</v>
      </c>
      <c r="T66" s="668">
        <v>346582</v>
      </c>
      <c r="U66" s="298">
        <v>44939</v>
      </c>
      <c r="V66" s="668" t="s">
        <v>261</v>
      </c>
      <c r="W66" s="668"/>
      <c r="X66" s="668"/>
      <c r="Y66" s="298">
        <v>44939</v>
      </c>
      <c r="Z66" s="668" t="s">
        <v>304</v>
      </c>
      <c r="AA66" s="668" t="s">
        <v>548</v>
      </c>
      <c r="AB66" s="668" t="s">
        <v>504</v>
      </c>
      <c r="AC66" s="668">
        <v>123376750</v>
      </c>
    </row>
    <row r="67" spans="1:31" s="382" customFormat="1">
      <c r="A67" s="668">
        <v>171</v>
      </c>
      <c r="B67" s="668">
        <v>60</v>
      </c>
      <c r="C67" s="668">
        <v>75457</v>
      </c>
      <c r="D67" s="668">
        <v>171</v>
      </c>
      <c r="E67" s="668" t="s">
        <v>619</v>
      </c>
      <c r="F67" s="668" t="s">
        <v>621</v>
      </c>
      <c r="G67" s="668">
        <v>901577494</v>
      </c>
      <c r="H67" s="668" t="s">
        <v>655</v>
      </c>
      <c r="I67" s="668" t="s">
        <v>1470</v>
      </c>
      <c r="J67" s="668" t="s">
        <v>503</v>
      </c>
      <c r="K67" s="668" t="s">
        <v>656</v>
      </c>
      <c r="L67" s="668">
        <v>346720</v>
      </c>
      <c r="M67" s="298">
        <v>44936</v>
      </c>
      <c r="N67" s="812">
        <v>5313288</v>
      </c>
      <c r="O67" s="812">
        <v>0</v>
      </c>
      <c r="P67" s="812">
        <v>0</v>
      </c>
      <c r="Q67" s="812">
        <v>0</v>
      </c>
      <c r="R67" s="812">
        <v>0</v>
      </c>
      <c r="S67" s="812">
        <v>5313288</v>
      </c>
      <c r="T67" s="668">
        <v>346720</v>
      </c>
      <c r="U67" s="298">
        <v>44939</v>
      </c>
      <c r="V67" s="668" t="s">
        <v>261</v>
      </c>
      <c r="W67" s="668"/>
      <c r="X67" s="668"/>
      <c r="Y67" s="298">
        <v>44939</v>
      </c>
      <c r="Z67" s="668" t="s">
        <v>254</v>
      </c>
      <c r="AA67" s="668" t="s">
        <v>650</v>
      </c>
      <c r="AB67" s="668" t="s">
        <v>647</v>
      </c>
      <c r="AC67" s="668">
        <v>123999974</v>
      </c>
    </row>
    <row r="68" spans="1:31" s="382" customFormat="1">
      <c r="A68" s="668">
        <v>171</v>
      </c>
      <c r="B68" s="668">
        <v>61</v>
      </c>
      <c r="C68" s="668">
        <v>73451</v>
      </c>
      <c r="D68" s="668">
        <v>188</v>
      </c>
      <c r="E68" s="668" t="s">
        <v>714</v>
      </c>
      <c r="F68" s="668" t="s">
        <v>716</v>
      </c>
      <c r="G68" s="668">
        <v>901582272</v>
      </c>
      <c r="H68" s="668" t="s">
        <v>807</v>
      </c>
      <c r="I68" s="668" t="s">
        <v>1471</v>
      </c>
      <c r="J68" s="668" t="s">
        <v>503</v>
      </c>
      <c r="K68" s="668" t="s">
        <v>808</v>
      </c>
      <c r="L68" s="668">
        <v>346727</v>
      </c>
      <c r="M68" s="298">
        <v>44936</v>
      </c>
      <c r="N68" s="812">
        <v>3612516</v>
      </c>
      <c r="O68" s="812">
        <v>0</v>
      </c>
      <c r="P68" s="812">
        <v>0</v>
      </c>
      <c r="Q68" s="812">
        <v>0</v>
      </c>
      <c r="R68" s="812">
        <v>0</v>
      </c>
      <c r="S68" s="812">
        <v>3612516</v>
      </c>
      <c r="T68" s="668">
        <v>346727</v>
      </c>
      <c r="U68" s="298">
        <v>44939</v>
      </c>
      <c r="V68" s="668" t="s">
        <v>261</v>
      </c>
      <c r="W68" s="668"/>
      <c r="X68" s="668"/>
      <c r="Y68" s="298">
        <v>44939</v>
      </c>
      <c r="Z68" s="668" t="s">
        <v>256</v>
      </c>
      <c r="AA68" s="668" t="s">
        <v>650</v>
      </c>
      <c r="AB68" s="668" t="s">
        <v>504</v>
      </c>
      <c r="AC68" s="668">
        <v>79939464</v>
      </c>
    </row>
    <row r="69" spans="1:31" s="382" customFormat="1">
      <c r="A69" s="668">
        <v>171</v>
      </c>
      <c r="B69" s="668">
        <v>62</v>
      </c>
      <c r="C69" s="668">
        <v>74465</v>
      </c>
      <c r="D69" s="668">
        <v>184</v>
      </c>
      <c r="E69" s="668" t="s">
        <v>521</v>
      </c>
      <c r="F69" s="668" t="s">
        <v>569</v>
      </c>
      <c r="G69" s="668">
        <v>901532998</v>
      </c>
      <c r="H69" s="668" t="s">
        <v>958</v>
      </c>
      <c r="I69" s="668" t="s">
        <v>1472</v>
      </c>
      <c r="J69" s="668" t="s">
        <v>507</v>
      </c>
      <c r="K69" s="668" t="s">
        <v>959</v>
      </c>
      <c r="L69" s="668">
        <v>346770</v>
      </c>
      <c r="M69" s="298">
        <v>44936</v>
      </c>
      <c r="N69" s="812">
        <v>3750516</v>
      </c>
      <c r="O69" s="812">
        <v>0</v>
      </c>
      <c r="P69" s="812">
        <v>0</v>
      </c>
      <c r="Q69" s="812">
        <v>0</v>
      </c>
      <c r="R69" s="812">
        <v>0</v>
      </c>
      <c r="S69" s="812">
        <v>3750516</v>
      </c>
      <c r="T69" s="668">
        <v>346770</v>
      </c>
      <c r="U69" s="298">
        <v>44939</v>
      </c>
      <c r="V69" s="668" t="s">
        <v>261</v>
      </c>
      <c r="W69" s="668"/>
      <c r="X69" s="668"/>
      <c r="Y69" s="298">
        <v>44939</v>
      </c>
      <c r="Z69" s="668" t="s">
        <v>254</v>
      </c>
      <c r="AA69" s="668" t="s">
        <v>539</v>
      </c>
      <c r="AB69" s="668" t="s">
        <v>647</v>
      </c>
      <c r="AC69" s="668">
        <v>123558292</v>
      </c>
    </row>
    <row r="70" spans="1:31">
      <c r="A70" s="668">
        <v>172</v>
      </c>
      <c r="B70" s="668">
        <v>1</v>
      </c>
      <c r="C70" s="668">
        <v>76937</v>
      </c>
      <c r="D70" s="668">
        <v>188</v>
      </c>
      <c r="E70" s="668" t="s">
        <v>582</v>
      </c>
      <c r="F70" s="668" t="s">
        <v>1020</v>
      </c>
      <c r="G70" s="668">
        <v>30235969</v>
      </c>
      <c r="H70" s="668" t="s">
        <v>1431</v>
      </c>
      <c r="I70" s="668" t="s">
        <v>1473</v>
      </c>
      <c r="J70" s="668" t="s">
        <v>503</v>
      </c>
      <c r="K70" s="668" t="s">
        <v>1433</v>
      </c>
      <c r="L70" s="668">
        <v>346521</v>
      </c>
      <c r="M70" s="298">
        <v>44939</v>
      </c>
      <c r="N70" s="812">
        <v>600000</v>
      </c>
      <c r="O70" s="812">
        <v>0</v>
      </c>
      <c r="P70" s="812">
        <v>0</v>
      </c>
      <c r="Q70" s="812">
        <v>0</v>
      </c>
      <c r="R70" s="812">
        <v>0</v>
      </c>
      <c r="S70" s="812">
        <v>600000</v>
      </c>
      <c r="T70" s="668">
        <v>346521</v>
      </c>
      <c r="U70" s="298">
        <v>44945</v>
      </c>
      <c r="V70" s="668" t="s">
        <v>261</v>
      </c>
      <c r="W70" s="668"/>
      <c r="X70" s="668"/>
      <c r="Y70" s="298">
        <v>44945</v>
      </c>
      <c r="Z70" s="668" t="s">
        <v>256</v>
      </c>
      <c r="AA70" s="668" t="s">
        <v>541</v>
      </c>
      <c r="AB70" s="668" t="s">
        <v>504</v>
      </c>
      <c r="AC70" s="668">
        <v>79005578</v>
      </c>
    </row>
    <row r="71" spans="1:31">
      <c r="A71" s="668">
        <v>172</v>
      </c>
      <c r="B71" s="668">
        <v>2</v>
      </c>
      <c r="C71" s="668">
        <v>74121</v>
      </c>
      <c r="D71" s="668">
        <v>177</v>
      </c>
      <c r="E71" s="668" t="s">
        <v>537</v>
      </c>
      <c r="F71" s="668" t="s">
        <v>810</v>
      </c>
      <c r="G71" s="668">
        <v>1026161604</v>
      </c>
      <c r="H71" s="668" t="s">
        <v>1101</v>
      </c>
      <c r="I71" s="668" t="s">
        <v>1474</v>
      </c>
      <c r="J71" s="668" t="s">
        <v>503</v>
      </c>
      <c r="K71" s="668" t="s">
        <v>1102</v>
      </c>
      <c r="L71" s="668">
        <v>349727</v>
      </c>
      <c r="M71" s="298">
        <v>44939</v>
      </c>
      <c r="N71" s="812">
        <v>400000</v>
      </c>
      <c r="O71" s="812">
        <v>0</v>
      </c>
      <c r="P71" s="812">
        <v>0</v>
      </c>
      <c r="Q71" s="812">
        <v>0</v>
      </c>
      <c r="R71" s="812">
        <v>0</v>
      </c>
      <c r="S71" s="812">
        <v>400000</v>
      </c>
      <c r="T71" s="668">
        <v>349727</v>
      </c>
      <c r="U71" s="298">
        <v>44945</v>
      </c>
      <c r="V71" s="668" t="s">
        <v>261</v>
      </c>
      <c r="W71" s="668"/>
      <c r="X71" s="668"/>
      <c r="Y71" s="298">
        <v>44945</v>
      </c>
      <c r="Z71" s="668" t="s">
        <v>254</v>
      </c>
      <c r="AA71" s="668" t="s">
        <v>538</v>
      </c>
      <c r="AB71" s="668" t="s">
        <v>647</v>
      </c>
      <c r="AC71" s="668">
        <v>79880073</v>
      </c>
      <c r="AD71" s="668"/>
      <c r="AE71" s="668"/>
    </row>
    <row r="72" spans="1:31">
      <c r="A72" s="668">
        <v>172</v>
      </c>
      <c r="B72" s="668">
        <v>3</v>
      </c>
      <c r="C72" s="668">
        <v>74395</v>
      </c>
      <c r="D72" s="668">
        <v>184</v>
      </c>
      <c r="E72" s="668" t="s">
        <v>521</v>
      </c>
      <c r="F72" s="668" t="s">
        <v>850</v>
      </c>
      <c r="G72" s="668">
        <v>1023830622</v>
      </c>
      <c r="H72" s="668" t="s">
        <v>1078</v>
      </c>
      <c r="I72" s="668" t="s">
        <v>1475</v>
      </c>
      <c r="J72" s="668" t="s">
        <v>503</v>
      </c>
      <c r="K72" s="668" t="s">
        <v>1079</v>
      </c>
      <c r="L72" s="668">
        <v>349995</v>
      </c>
      <c r="M72" s="298">
        <v>44939</v>
      </c>
      <c r="N72" s="812">
        <v>600000</v>
      </c>
      <c r="O72" s="812">
        <v>0</v>
      </c>
      <c r="P72" s="812">
        <v>0</v>
      </c>
      <c r="Q72" s="812">
        <v>0</v>
      </c>
      <c r="R72" s="812">
        <v>0</v>
      </c>
      <c r="S72" s="812">
        <v>600000</v>
      </c>
      <c r="T72" s="668">
        <v>349995</v>
      </c>
      <c r="U72" s="298">
        <v>44945</v>
      </c>
      <c r="V72" s="668" t="s">
        <v>261</v>
      </c>
      <c r="W72" s="668"/>
      <c r="X72" s="668"/>
      <c r="Y72" s="298">
        <v>44945</v>
      </c>
      <c r="Z72" s="668" t="s">
        <v>254</v>
      </c>
      <c r="AA72" s="668" t="s">
        <v>539</v>
      </c>
      <c r="AB72" s="668" t="s">
        <v>647</v>
      </c>
      <c r="AC72" s="668">
        <v>123562188</v>
      </c>
    </row>
    <row r="73" spans="1:31">
      <c r="A73" s="668">
        <v>172</v>
      </c>
      <c r="B73" s="668">
        <v>4</v>
      </c>
      <c r="C73" s="668">
        <v>74395</v>
      </c>
      <c r="D73" s="668">
        <v>184</v>
      </c>
      <c r="E73" s="668" t="s">
        <v>521</v>
      </c>
      <c r="F73" s="668" t="s">
        <v>850</v>
      </c>
      <c r="G73" s="668">
        <v>1115088524</v>
      </c>
      <c r="H73" s="668" t="s">
        <v>1109</v>
      </c>
      <c r="I73" s="668" t="s">
        <v>1476</v>
      </c>
      <c r="J73" s="668" t="s">
        <v>503</v>
      </c>
      <c r="K73" s="668" t="s">
        <v>1110</v>
      </c>
      <c r="L73" s="668">
        <v>350002</v>
      </c>
      <c r="M73" s="298">
        <v>44939</v>
      </c>
      <c r="N73" s="812">
        <v>750000</v>
      </c>
      <c r="O73" s="812">
        <v>0</v>
      </c>
      <c r="P73" s="812">
        <v>0</v>
      </c>
      <c r="Q73" s="812">
        <v>1500</v>
      </c>
      <c r="R73" s="812">
        <v>0</v>
      </c>
      <c r="S73" s="812">
        <v>748500</v>
      </c>
      <c r="T73" s="668">
        <v>350002</v>
      </c>
      <c r="U73" s="298">
        <v>44945</v>
      </c>
      <c r="V73" s="668" t="s">
        <v>261</v>
      </c>
      <c r="W73" s="668"/>
      <c r="X73" s="668"/>
      <c r="Y73" s="298">
        <v>44945</v>
      </c>
      <c r="Z73" s="668" t="s">
        <v>254</v>
      </c>
      <c r="AA73" s="668" t="s">
        <v>539</v>
      </c>
      <c r="AB73" s="668" t="s">
        <v>647</v>
      </c>
      <c r="AC73" s="668">
        <v>123562188</v>
      </c>
    </row>
    <row r="74" spans="1:31">
      <c r="A74" s="668">
        <v>172</v>
      </c>
      <c r="B74" s="668">
        <v>5</v>
      </c>
      <c r="C74" s="668">
        <v>74414</v>
      </c>
      <c r="D74" s="668">
        <v>184</v>
      </c>
      <c r="E74" s="668" t="s">
        <v>521</v>
      </c>
      <c r="F74" s="668" t="s">
        <v>1343</v>
      </c>
      <c r="G74" s="668">
        <v>98453789</v>
      </c>
      <c r="H74" s="668" t="s">
        <v>1477</v>
      </c>
      <c r="I74" s="668" t="s">
        <v>1478</v>
      </c>
      <c r="J74" s="668" t="s">
        <v>503</v>
      </c>
      <c r="K74" s="668" t="s">
        <v>1479</v>
      </c>
      <c r="L74" s="668">
        <v>350098</v>
      </c>
      <c r="M74" s="298">
        <v>44939</v>
      </c>
      <c r="N74" s="812">
        <v>1668000</v>
      </c>
      <c r="O74" s="812">
        <v>58380</v>
      </c>
      <c r="P74" s="812">
        <v>0</v>
      </c>
      <c r="Q74" s="812">
        <v>0</v>
      </c>
      <c r="R74" s="812">
        <v>0</v>
      </c>
      <c r="S74" s="812">
        <v>1609620</v>
      </c>
      <c r="T74" s="668">
        <v>350098</v>
      </c>
      <c r="U74" s="298">
        <v>44945</v>
      </c>
      <c r="V74" s="668" t="s">
        <v>261</v>
      </c>
      <c r="W74" s="668"/>
      <c r="X74" s="668"/>
      <c r="Y74" s="298">
        <v>44945</v>
      </c>
      <c r="Z74" s="668" t="s">
        <v>254</v>
      </c>
      <c r="AA74" s="668" t="s">
        <v>539</v>
      </c>
      <c r="AB74" s="668" t="s">
        <v>647</v>
      </c>
      <c r="AC74" s="668">
        <v>123108652</v>
      </c>
    </row>
    <row r="75" spans="1:31">
      <c r="A75" s="668">
        <v>172</v>
      </c>
      <c r="B75" s="668">
        <v>6</v>
      </c>
      <c r="C75" s="668">
        <v>75400</v>
      </c>
      <c r="D75" s="668">
        <v>189</v>
      </c>
      <c r="E75" s="668" t="s">
        <v>817</v>
      </c>
      <c r="F75" s="668" t="s">
        <v>1022</v>
      </c>
      <c r="G75" s="668">
        <v>901586718</v>
      </c>
      <c r="H75" s="668" t="s">
        <v>1096</v>
      </c>
      <c r="I75" s="668" t="s">
        <v>1480</v>
      </c>
      <c r="J75" s="668" t="s">
        <v>503</v>
      </c>
      <c r="K75" s="668" t="s">
        <v>1097</v>
      </c>
      <c r="L75" s="668">
        <v>350481</v>
      </c>
      <c r="M75" s="298">
        <v>44939</v>
      </c>
      <c r="N75" s="812">
        <v>4358486</v>
      </c>
      <c r="O75" s="812">
        <v>0</v>
      </c>
      <c r="P75" s="812">
        <v>0</v>
      </c>
      <c r="Q75" s="812">
        <v>0</v>
      </c>
      <c r="R75" s="812">
        <v>0</v>
      </c>
      <c r="S75" s="812">
        <v>4358486</v>
      </c>
      <c r="T75" s="668">
        <v>350481</v>
      </c>
      <c r="U75" s="298">
        <v>44945</v>
      </c>
      <c r="V75" s="668" t="s">
        <v>261</v>
      </c>
      <c r="W75" s="668"/>
      <c r="X75" s="668"/>
      <c r="Y75" s="298">
        <v>44945</v>
      </c>
      <c r="Z75" s="668" t="s">
        <v>258</v>
      </c>
      <c r="AA75" s="668" t="s">
        <v>650</v>
      </c>
      <c r="AB75" s="668" t="s">
        <v>506</v>
      </c>
      <c r="AC75" s="668">
        <v>79897937</v>
      </c>
    </row>
    <row r="76" spans="1:31">
      <c r="A76" s="668">
        <v>172</v>
      </c>
      <c r="B76" s="668">
        <v>7</v>
      </c>
      <c r="C76" s="668">
        <v>75400</v>
      </c>
      <c r="D76" s="668">
        <v>189</v>
      </c>
      <c r="E76" s="668" t="s">
        <v>817</v>
      </c>
      <c r="F76" s="668" t="s">
        <v>1022</v>
      </c>
      <c r="G76" s="668">
        <v>42005269</v>
      </c>
      <c r="H76" s="668" t="s">
        <v>801</v>
      </c>
      <c r="I76" s="668" t="s">
        <v>1481</v>
      </c>
      <c r="J76" s="668" t="s">
        <v>507</v>
      </c>
      <c r="K76" s="668" t="s">
        <v>802</v>
      </c>
      <c r="L76" s="668">
        <v>350489</v>
      </c>
      <c r="M76" s="298">
        <v>44939</v>
      </c>
      <c r="N76" s="812">
        <v>500000</v>
      </c>
      <c r="O76" s="812">
        <v>0</v>
      </c>
      <c r="P76" s="812">
        <v>0</v>
      </c>
      <c r="Q76" s="812">
        <v>0</v>
      </c>
      <c r="R76" s="812">
        <v>0</v>
      </c>
      <c r="S76" s="812">
        <v>500000</v>
      </c>
      <c r="T76" s="668">
        <v>350489</v>
      </c>
      <c r="U76" s="298">
        <v>44945</v>
      </c>
      <c r="V76" s="668" t="s">
        <v>261</v>
      </c>
      <c r="W76" s="668"/>
      <c r="X76" s="668"/>
      <c r="Y76" s="298">
        <v>44945</v>
      </c>
      <c r="Z76" s="668" t="s">
        <v>258</v>
      </c>
      <c r="AA76" s="668" t="s">
        <v>650</v>
      </c>
      <c r="AB76" s="668" t="s">
        <v>506</v>
      </c>
      <c r="AC76" s="668">
        <v>79897937</v>
      </c>
    </row>
    <row r="77" spans="1:31">
      <c r="A77" s="668">
        <v>172</v>
      </c>
      <c r="B77" s="668">
        <v>8</v>
      </c>
      <c r="C77" s="668">
        <v>73513</v>
      </c>
      <c r="D77" s="668">
        <v>188</v>
      </c>
      <c r="E77" s="668" t="s">
        <v>582</v>
      </c>
      <c r="F77" s="668" t="s">
        <v>1351</v>
      </c>
      <c r="G77" s="668">
        <v>901554706</v>
      </c>
      <c r="H77" s="668" t="s">
        <v>1446</v>
      </c>
      <c r="I77" s="668" t="s">
        <v>1482</v>
      </c>
      <c r="J77" s="668" t="s">
        <v>503</v>
      </c>
      <c r="K77" s="668" t="s">
        <v>1448</v>
      </c>
      <c r="L77" s="668">
        <v>350499</v>
      </c>
      <c r="M77" s="298">
        <v>44939</v>
      </c>
      <c r="N77" s="812">
        <v>749333</v>
      </c>
      <c r="O77" s="812">
        <v>0</v>
      </c>
      <c r="P77" s="812">
        <v>0</v>
      </c>
      <c r="Q77" s="812">
        <v>0</v>
      </c>
      <c r="R77" s="812">
        <v>0</v>
      </c>
      <c r="S77" s="812">
        <v>749333</v>
      </c>
      <c r="T77" s="668">
        <v>350499</v>
      </c>
      <c r="U77" s="298">
        <v>44945</v>
      </c>
      <c r="V77" s="668" t="s">
        <v>261</v>
      </c>
      <c r="W77" s="668"/>
      <c r="X77" s="668"/>
      <c r="Y77" s="298">
        <v>44945</v>
      </c>
      <c r="Z77" s="668" t="s">
        <v>256</v>
      </c>
      <c r="AA77" s="668" t="s">
        <v>541</v>
      </c>
      <c r="AB77" s="668" t="s">
        <v>504</v>
      </c>
      <c r="AC77" s="668">
        <v>54807706</v>
      </c>
    </row>
    <row r="78" spans="1:31">
      <c r="A78" s="668">
        <v>172</v>
      </c>
      <c r="B78" s="668">
        <v>9</v>
      </c>
      <c r="C78" s="668">
        <v>74121</v>
      </c>
      <c r="D78" s="668">
        <v>177</v>
      </c>
      <c r="E78" s="668" t="s">
        <v>537</v>
      </c>
      <c r="F78" s="668" t="s">
        <v>810</v>
      </c>
      <c r="G78" s="668">
        <v>1026161604</v>
      </c>
      <c r="H78" s="668" t="s">
        <v>1101</v>
      </c>
      <c r="I78" s="668" t="s">
        <v>1483</v>
      </c>
      <c r="J78" s="668" t="s">
        <v>503</v>
      </c>
      <c r="K78" s="668" t="s">
        <v>1102</v>
      </c>
      <c r="L78" s="668">
        <v>350510</v>
      </c>
      <c r="M78" s="298">
        <v>44939</v>
      </c>
      <c r="N78" s="812">
        <v>400000</v>
      </c>
      <c r="O78" s="812">
        <v>0</v>
      </c>
      <c r="P78" s="812">
        <v>0</v>
      </c>
      <c r="Q78" s="812">
        <v>0</v>
      </c>
      <c r="R78" s="812">
        <v>0</v>
      </c>
      <c r="S78" s="812">
        <v>400000</v>
      </c>
      <c r="T78" s="668">
        <v>350510</v>
      </c>
      <c r="U78" s="298">
        <v>44945</v>
      </c>
      <c r="V78" s="668" t="s">
        <v>261</v>
      </c>
      <c r="W78" s="668"/>
      <c r="X78" s="668"/>
      <c r="Y78" s="298">
        <v>44945</v>
      </c>
      <c r="Z78" s="668" t="s">
        <v>254</v>
      </c>
      <c r="AA78" s="668" t="s">
        <v>538</v>
      </c>
      <c r="AB78" s="668" t="s">
        <v>647</v>
      </c>
      <c r="AC78" s="668">
        <v>79880073</v>
      </c>
    </row>
    <row r="79" spans="1:31">
      <c r="A79" s="668">
        <v>172</v>
      </c>
      <c r="B79" s="668">
        <v>10</v>
      </c>
      <c r="C79" s="668">
        <v>78876</v>
      </c>
      <c r="D79" s="668">
        <v>191</v>
      </c>
      <c r="E79" s="668" t="s">
        <v>805</v>
      </c>
      <c r="F79" s="668" t="s">
        <v>862</v>
      </c>
      <c r="G79" s="668">
        <v>901587378</v>
      </c>
      <c r="H79" s="668" t="s">
        <v>1458</v>
      </c>
      <c r="I79" s="668" t="s">
        <v>1484</v>
      </c>
      <c r="J79" s="668" t="s">
        <v>503</v>
      </c>
      <c r="K79" s="668" t="s">
        <v>1460</v>
      </c>
      <c r="L79" s="668">
        <v>350521</v>
      </c>
      <c r="M79" s="298">
        <v>44939</v>
      </c>
      <c r="N79" s="812">
        <v>6399391</v>
      </c>
      <c r="O79" s="812">
        <v>0</v>
      </c>
      <c r="P79" s="812">
        <v>0</v>
      </c>
      <c r="Q79" s="812">
        <v>0</v>
      </c>
      <c r="R79" s="812">
        <v>0</v>
      </c>
      <c r="S79" s="812">
        <v>6399391</v>
      </c>
      <c r="T79" s="668">
        <v>350521</v>
      </c>
      <c r="U79" s="298">
        <v>44945</v>
      </c>
      <c r="V79" s="668" t="s">
        <v>261</v>
      </c>
      <c r="W79" s="668"/>
      <c r="X79" s="668"/>
      <c r="Y79" s="298">
        <v>44945</v>
      </c>
      <c r="Z79" s="668" t="s">
        <v>725</v>
      </c>
      <c r="AA79" s="668" t="s">
        <v>680</v>
      </c>
      <c r="AB79" s="668" t="s">
        <v>504</v>
      </c>
      <c r="AC79" s="668">
        <v>80000000</v>
      </c>
    </row>
    <row r="80" spans="1:31">
      <c r="A80" s="668">
        <v>172</v>
      </c>
      <c r="B80" s="668">
        <v>11</v>
      </c>
      <c r="C80" s="668">
        <v>75433</v>
      </c>
      <c r="D80" s="668">
        <v>187</v>
      </c>
      <c r="E80" s="668" t="s">
        <v>545</v>
      </c>
      <c r="F80" s="668" t="s">
        <v>709</v>
      </c>
      <c r="G80" s="668">
        <v>901176666</v>
      </c>
      <c r="H80" s="668" t="s">
        <v>795</v>
      </c>
      <c r="I80" s="668" t="s">
        <v>1485</v>
      </c>
      <c r="J80" s="668" t="s">
        <v>503</v>
      </c>
      <c r="K80" s="668" t="s">
        <v>970</v>
      </c>
      <c r="L80" s="668">
        <v>349240</v>
      </c>
      <c r="M80" s="298">
        <v>44939</v>
      </c>
      <c r="N80" s="812">
        <v>1417720</v>
      </c>
      <c r="O80" s="812">
        <v>0</v>
      </c>
      <c r="P80" s="812">
        <v>0</v>
      </c>
      <c r="Q80" s="812">
        <v>0</v>
      </c>
      <c r="R80" s="812">
        <v>0</v>
      </c>
      <c r="S80" s="812">
        <v>1417720</v>
      </c>
      <c r="T80" s="668">
        <v>349240</v>
      </c>
      <c r="U80" s="298">
        <v>44945</v>
      </c>
      <c r="V80" s="668" t="s">
        <v>261</v>
      </c>
      <c r="W80" s="668"/>
      <c r="X80" s="668"/>
      <c r="Y80" s="298">
        <v>44945</v>
      </c>
      <c r="Z80" s="668" t="s">
        <v>284</v>
      </c>
      <c r="AA80" s="668" t="s">
        <v>543</v>
      </c>
      <c r="AB80" s="668" t="s">
        <v>505</v>
      </c>
      <c r="AC80" s="668">
        <v>119925432</v>
      </c>
    </row>
    <row r="81" spans="1:29">
      <c r="A81" s="668">
        <v>172</v>
      </c>
      <c r="B81" s="668">
        <v>12</v>
      </c>
      <c r="C81" s="668">
        <v>76627</v>
      </c>
      <c r="D81" s="668">
        <v>187</v>
      </c>
      <c r="E81" s="668" t="s">
        <v>545</v>
      </c>
      <c r="F81" s="668" t="s">
        <v>658</v>
      </c>
      <c r="G81" s="668">
        <v>901557674</v>
      </c>
      <c r="H81" s="668" t="s">
        <v>965</v>
      </c>
      <c r="I81" s="668" t="s">
        <v>1486</v>
      </c>
      <c r="J81" s="668" t="s">
        <v>503</v>
      </c>
      <c r="K81" s="668" t="s">
        <v>966</v>
      </c>
      <c r="L81" s="668">
        <v>350038</v>
      </c>
      <c r="M81" s="298">
        <v>44939</v>
      </c>
      <c r="N81" s="812">
        <v>3870481</v>
      </c>
      <c r="O81" s="812">
        <v>0</v>
      </c>
      <c r="P81" s="812">
        <v>0</v>
      </c>
      <c r="Q81" s="812">
        <v>0</v>
      </c>
      <c r="R81" s="812">
        <v>0</v>
      </c>
      <c r="S81" s="812">
        <v>3870481</v>
      </c>
      <c r="T81" s="668">
        <v>350038</v>
      </c>
      <c r="U81" s="298">
        <v>44945</v>
      </c>
      <c r="V81" s="668" t="s">
        <v>261</v>
      </c>
      <c r="W81" s="668"/>
      <c r="X81" s="668"/>
      <c r="Y81" s="298">
        <v>44945</v>
      </c>
      <c r="Z81" s="668" t="s">
        <v>284</v>
      </c>
      <c r="AA81" s="668" t="s">
        <v>543</v>
      </c>
      <c r="AB81" s="668" t="s">
        <v>505</v>
      </c>
      <c r="AC81" s="668">
        <v>119540045</v>
      </c>
    </row>
    <row r="82" spans="1:29">
      <c r="A82" s="668">
        <v>172</v>
      </c>
      <c r="B82" s="668">
        <v>13</v>
      </c>
      <c r="C82" s="668">
        <v>76628</v>
      </c>
      <c r="D82" s="668">
        <v>187</v>
      </c>
      <c r="E82" s="668" t="s">
        <v>545</v>
      </c>
      <c r="F82" s="668" t="s">
        <v>579</v>
      </c>
      <c r="G82" s="668">
        <v>901537432</v>
      </c>
      <c r="H82" s="668" t="s">
        <v>593</v>
      </c>
      <c r="I82" s="668" t="s">
        <v>1487</v>
      </c>
      <c r="J82" s="668" t="s">
        <v>503</v>
      </c>
      <c r="K82" s="668" t="s">
        <v>1001</v>
      </c>
      <c r="L82" s="668">
        <v>350106</v>
      </c>
      <c r="M82" s="298">
        <v>44939</v>
      </c>
      <c r="N82" s="812">
        <v>7086390</v>
      </c>
      <c r="O82" s="812">
        <v>0</v>
      </c>
      <c r="P82" s="812">
        <v>0</v>
      </c>
      <c r="Q82" s="812">
        <v>0</v>
      </c>
      <c r="R82" s="812">
        <v>0</v>
      </c>
      <c r="S82" s="812">
        <v>7086390</v>
      </c>
      <c r="T82" s="668">
        <v>350106</v>
      </c>
      <c r="U82" s="298">
        <v>44945</v>
      </c>
      <c r="V82" s="668" t="s">
        <v>261</v>
      </c>
      <c r="W82" s="668"/>
      <c r="X82" s="668"/>
      <c r="Y82" s="298">
        <v>44945</v>
      </c>
      <c r="Z82" s="668" t="s">
        <v>284</v>
      </c>
      <c r="AA82" s="668" t="s">
        <v>543</v>
      </c>
      <c r="AB82" s="668" t="s">
        <v>505</v>
      </c>
      <c r="AC82" s="668">
        <v>112657224</v>
      </c>
    </row>
    <row r="83" spans="1:29">
      <c r="A83" s="668">
        <v>172</v>
      </c>
      <c r="B83" s="668">
        <v>14</v>
      </c>
      <c r="C83" s="668">
        <v>76628</v>
      </c>
      <c r="D83" s="668">
        <v>187</v>
      </c>
      <c r="E83" s="668" t="s">
        <v>545</v>
      </c>
      <c r="F83" s="668" t="s">
        <v>579</v>
      </c>
      <c r="G83" s="668">
        <v>1123631745</v>
      </c>
      <c r="H83" s="668" t="s">
        <v>1055</v>
      </c>
      <c r="I83" s="668" t="s">
        <v>1488</v>
      </c>
      <c r="J83" s="668" t="s">
        <v>503</v>
      </c>
      <c r="K83" s="668" t="s">
        <v>1056</v>
      </c>
      <c r="L83" s="668">
        <v>350113</v>
      </c>
      <c r="M83" s="298">
        <v>44939</v>
      </c>
      <c r="N83" s="812">
        <v>500000</v>
      </c>
      <c r="O83" s="812">
        <v>0</v>
      </c>
      <c r="P83" s="812">
        <v>0</v>
      </c>
      <c r="Q83" s="812">
        <v>0</v>
      </c>
      <c r="R83" s="812">
        <v>0</v>
      </c>
      <c r="S83" s="812">
        <v>500000</v>
      </c>
      <c r="T83" s="668">
        <v>350113</v>
      </c>
      <c r="U83" s="298">
        <v>44945</v>
      </c>
      <c r="V83" s="668" t="s">
        <v>261</v>
      </c>
      <c r="W83" s="668"/>
      <c r="X83" s="668"/>
      <c r="Y83" s="298">
        <v>44945</v>
      </c>
      <c r="Z83" s="668" t="s">
        <v>284</v>
      </c>
      <c r="AA83" s="668" t="s">
        <v>543</v>
      </c>
      <c r="AB83" s="668" t="s">
        <v>505</v>
      </c>
      <c r="AC83" s="668">
        <v>112657224</v>
      </c>
    </row>
    <row r="84" spans="1:29">
      <c r="A84" s="668">
        <v>172</v>
      </c>
      <c r="B84" s="668">
        <v>15</v>
      </c>
      <c r="C84" s="668">
        <v>74414</v>
      </c>
      <c r="D84" s="668">
        <v>184</v>
      </c>
      <c r="E84" s="668" t="s">
        <v>521</v>
      </c>
      <c r="F84" s="668" t="s">
        <v>1343</v>
      </c>
      <c r="G84" s="668">
        <v>1026155188</v>
      </c>
      <c r="H84" s="668" t="s">
        <v>1489</v>
      </c>
      <c r="I84" s="668" t="s">
        <v>1490</v>
      </c>
      <c r="J84" s="668" t="s">
        <v>503</v>
      </c>
      <c r="K84" s="668" t="s">
        <v>1491</v>
      </c>
      <c r="L84" s="668">
        <v>350618</v>
      </c>
      <c r="M84" s="298">
        <v>44939</v>
      </c>
      <c r="N84" s="812">
        <v>2050000</v>
      </c>
      <c r="O84" s="812">
        <v>0</v>
      </c>
      <c r="P84" s="812">
        <v>0</v>
      </c>
      <c r="Q84" s="812">
        <v>0</v>
      </c>
      <c r="R84" s="812">
        <v>0</v>
      </c>
      <c r="S84" s="812">
        <v>2050000</v>
      </c>
      <c r="T84" s="668">
        <v>350618</v>
      </c>
      <c r="U84" s="298">
        <v>44945</v>
      </c>
      <c r="V84" s="668" t="s">
        <v>261</v>
      </c>
      <c r="W84" s="668"/>
      <c r="X84" s="668"/>
      <c r="Y84" s="298">
        <v>44945</v>
      </c>
      <c r="Z84" s="668" t="s">
        <v>254</v>
      </c>
      <c r="AA84" s="668" t="s">
        <v>539</v>
      </c>
      <c r="AB84" s="668" t="s">
        <v>647</v>
      </c>
      <c r="AC84" s="668">
        <v>123108652</v>
      </c>
    </row>
    <row r="85" spans="1:29">
      <c r="A85" s="668">
        <v>172</v>
      </c>
      <c r="B85" s="668">
        <v>16</v>
      </c>
      <c r="C85" s="668">
        <v>74372</v>
      </c>
      <c r="D85" s="668">
        <v>178</v>
      </c>
      <c r="E85" s="668" t="s">
        <v>550</v>
      </c>
      <c r="F85" s="668" t="s">
        <v>565</v>
      </c>
      <c r="G85" s="668">
        <v>901539758</v>
      </c>
      <c r="H85" s="668" t="s">
        <v>1107</v>
      </c>
      <c r="I85" s="668" t="s">
        <v>1492</v>
      </c>
      <c r="J85" s="668" t="s">
        <v>503</v>
      </c>
      <c r="K85" s="668" t="s">
        <v>1108</v>
      </c>
      <c r="L85" s="668">
        <v>350769</v>
      </c>
      <c r="M85" s="298">
        <v>44939</v>
      </c>
      <c r="N85" s="812">
        <v>5190116</v>
      </c>
      <c r="O85" s="812">
        <v>0</v>
      </c>
      <c r="P85" s="812">
        <v>0</v>
      </c>
      <c r="Q85" s="812">
        <v>0</v>
      </c>
      <c r="R85" s="812">
        <v>0</v>
      </c>
      <c r="S85" s="812">
        <v>5190116</v>
      </c>
      <c r="T85" s="668">
        <v>350769</v>
      </c>
      <c r="U85" s="298">
        <v>44945</v>
      </c>
      <c r="V85" s="668" t="s">
        <v>261</v>
      </c>
      <c r="W85" s="668"/>
      <c r="X85" s="668"/>
      <c r="Y85" s="298">
        <v>44945</v>
      </c>
      <c r="Z85" s="668" t="s">
        <v>254</v>
      </c>
      <c r="AA85" s="668" t="s">
        <v>538</v>
      </c>
      <c r="AB85" s="668" t="s">
        <v>647</v>
      </c>
      <c r="AC85" s="668">
        <v>98077119</v>
      </c>
    </row>
    <row r="86" spans="1:29">
      <c r="A86" s="668">
        <v>172</v>
      </c>
      <c r="B86" s="668">
        <v>17</v>
      </c>
      <c r="C86" s="668">
        <v>74823</v>
      </c>
      <c r="D86" s="668">
        <v>169</v>
      </c>
      <c r="E86" s="668" t="s">
        <v>651</v>
      </c>
      <c r="F86" s="668" t="s">
        <v>652</v>
      </c>
      <c r="G86" s="668">
        <v>1118168393</v>
      </c>
      <c r="H86" s="668" t="s">
        <v>1493</v>
      </c>
      <c r="I86" s="668" t="s">
        <v>1494</v>
      </c>
      <c r="J86" s="668" t="s">
        <v>503</v>
      </c>
      <c r="K86" s="668" t="s">
        <v>1495</v>
      </c>
      <c r="L86" s="668">
        <v>350802</v>
      </c>
      <c r="M86" s="298">
        <v>44939</v>
      </c>
      <c r="N86" s="812">
        <v>2000000</v>
      </c>
      <c r="O86" s="812">
        <v>0</v>
      </c>
      <c r="P86" s="812">
        <v>0</v>
      </c>
      <c r="Q86" s="812">
        <v>0</v>
      </c>
      <c r="R86" s="812">
        <v>0</v>
      </c>
      <c r="S86" s="812">
        <v>2000000</v>
      </c>
      <c r="T86" s="668">
        <v>350802</v>
      </c>
      <c r="U86" s="298">
        <v>44945</v>
      </c>
      <c r="V86" s="668" t="s">
        <v>261</v>
      </c>
      <c r="W86" s="668"/>
      <c r="X86" s="668"/>
      <c r="Y86" s="298">
        <v>44945</v>
      </c>
      <c r="Z86" s="668" t="s">
        <v>304</v>
      </c>
      <c r="AA86" s="668" t="s">
        <v>653</v>
      </c>
      <c r="AB86" s="668" t="s">
        <v>504</v>
      </c>
      <c r="AC86" s="668">
        <v>111748698</v>
      </c>
    </row>
    <row r="87" spans="1:29">
      <c r="A87" s="668">
        <v>172</v>
      </c>
      <c r="B87" s="668">
        <v>18</v>
      </c>
      <c r="C87" s="668">
        <v>74395</v>
      </c>
      <c r="D87" s="668">
        <v>184</v>
      </c>
      <c r="E87" s="668" t="s">
        <v>521</v>
      </c>
      <c r="F87" s="668" t="s">
        <v>850</v>
      </c>
      <c r="G87" s="668">
        <v>901533089</v>
      </c>
      <c r="H87" s="668" t="s">
        <v>997</v>
      </c>
      <c r="I87" s="668" t="s">
        <v>1496</v>
      </c>
      <c r="J87" s="668" t="s">
        <v>503</v>
      </c>
      <c r="K87" s="668" t="s">
        <v>998</v>
      </c>
      <c r="L87" s="668">
        <v>350875</v>
      </c>
      <c r="M87" s="298">
        <v>44939</v>
      </c>
      <c r="N87" s="812">
        <v>4182519</v>
      </c>
      <c r="O87" s="812">
        <v>0</v>
      </c>
      <c r="P87" s="812">
        <v>0</v>
      </c>
      <c r="Q87" s="812">
        <v>0</v>
      </c>
      <c r="R87" s="812">
        <v>0</v>
      </c>
      <c r="S87" s="812">
        <v>4182519</v>
      </c>
      <c r="T87" s="668">
        <v>350875</v>
      </c>
      <c r="U87" s="298">
        <v>44945</v>
      </c>
      <c r="V87" s="668" t="s">
        <v>261</v>
      </c>
      <c r="W87" s="668"/>
      <c r="X87" s="668"/>
      <c r="Y87" s="298">
        <v>44945</v>
      </c>
      <c r="Z87" s="668" t="s">
        <v>254</v>
      </c>
      <c r="AA87" s="668" t="s">
        <v>539</v>
      </c>
      <c r="AB87" s="668" t="s">
        <v>647</v>
      </c>
      <c r="AC87" s="668">
        <v>123562188</v>
      </c>
    </row>
    <row r="88" spans="1:29">
      <c r="A88" s="668">
        <v>172</v>
      </c>
      <c r="B88" s="668">
        <v>19</v>
      </c>
      <c r="C88" s="668">
        <v>79846</v>
      </c>
      <c r="D88" s="668">
        <v>191</v>
      </c>
      <c r="E88" s="668" t="s">
        <v>805</v>
      </c>
      <c r="F88" s="668" t="s">
        <v>1071</v>
      </c>
      <c r="G88" s="668">
        <v>901589927</v>
      </c>
      <c r="H88" s="668" t="s">
        <v>1497</v>
      </c>
      <c r="I88" s="668" t="s">
        <v>1498</v>
      </c>
      <c r="J88" s="668" t="s">
        <v>503</v>
      </c>
      <c r="K88" s="668" t="s">
        <v>1499</v>
      </c>
      <c r="L88" s="668">
        <v>346170</v>
      </c>
      <c r="M88" s="298">
        <v>44939</v>
      </c>
      <c r="N88" s="812">
        <v>3043372</v>
      </c>
      <c r="O88" s="812">
        <v>0</v>
      </c>
      <c r="P88" s="812">
        <v>0</v>
      </c>
      <c r="Q88" s="812">
        <v>0</v>
      </c>
      <c r="R88" s="812">
        <v>0</v>
      </c>
      <c r="S88" s="812">
        <v>3043372</v>
      </c>
      <c r="T88" s="668">
        <v>346170</v>
      </c>
      <c r="U88" s="298">
        <v>44945</v>
      </c>
      <c r="V88" s="668" t="s">
        <v>261</v>
      </c>
      <c r="W88" s="668"/>
      <c r="X88" s="668"/>
      <c r="Y88" s="298">
        <v>44945</v>
      </c>
      <c r="Z88" s="668" t="s">
        <v>725</v>
      </c>
      <c r="AA88" s="668" t="s">
        <v>680</v>
      </c>
      <c r="AB88" s="668" t="s">
        <v>504</v>
      </c>
      <c r="AC88" s="668">
        <v>80000000</v>
      </c>
    </row>
    <row r="89" spans="1:29">
      <c r="A89" s="668">
        <v>172</v>
      </c>
      <c r="B89" s="668">
        <v>20</v>
      </c>
      <c r="C89" s="668">
        <v>75029</v>
      </c>
      <c r="D89" s="668">
        <v>190</v>
      </c>
      <c r="E89" s="668" t="s">
        <v>673</v>
      </c>
      <c r="F89" s="668" t="s">
        <v>790</v>
      </c>
      <c r="G89" s="668">
        <v>37315385</v>
      </c>
      <c r="H89" s="668" t="s">
        <v>792</v>
      </c>
      <c r="I89" s="668" t="s">
        <v>1500</v>
      </c>
      <c r="J89" s="668" t="s">
        <v>503</v>
      </c>
      <c r="K89" s="668" t="s">
        <v>855</v>
      </c>
      <c r="L89" s="668">
        <v>349628</v>
      </c>
      <c r="M89" s="298">
        <v>44939</v>
      </c>
      <c r="N89" s="812">
        <v>500000</v>
      </c>
      <c r="O89" s="812">
        <v>0</v>
      </c>
      <c r="P89" s="812">
        <v>0</v>
      </c>
      <c r="Q89" s="812">
        <v>0</v>
      </c>
      <c r="R89" s="812">
        <v>0</v>
      </c>
      <c r="S89" s="812">
        <v>500000</v>
      </c>
      <c r="T89" s="668">
        <v>349628</v>
      </c>
      <c r="U89" s="298">
        <v>44945</v>
      </c>
      <c r="V89" s="668" t="s">
        <v>261</v>
      </c>
      <c r="W89" s="668"/>
      <c r="X89" s="668"/>
      <c r="Y89" s="298">
        <v>44945</v>
      </c>
      <c r="Z89" s="668" t="s">
        <v>259</v>
      </c>
      <c r="AA89" s="668" t="s">
        <v>680</v>
      </c>
      <c r="AB89" s="668" t="s">
        <v>504</v>
      </c>
      <c r="AC89" s="668">
        <v>79955681</v>
      </c>
    </row>
    <row r="90" spans="1:29">
      <c r="A90" s="668">
        <v>172</v>
      </c>
      <c r="B90" s="668">
        <v>21</v>
      </c>
      <c r="C90" s="668">
        <v>75169</v>
      </c>
      <c r="D90" s="668">
        <v>190</v>
      </c>
      <c r="E90" s="668" t="s">
        <v>673</v>
      </c>
      <c r="F90" s="668" t="s">
        <v>891</v>
      </c>
      <c r="G90" s="668">
        <v>890502559</v>
      </c>
      <c r="H90" s="668" t="s">
        <v>971</v>
      </c>
      <c r="I90" s="668" t="s">
        <v>1501</v>
      </c>
      <c r="J90" s="668" t="s">
        <v>507</v>
      </c>
      <c r="K90" s="668" t="s">
        <v>972</v>
      </c>
      <c r="L90" s="668">
        <v>350454</v>
      </c>
      <c r="M90" s="298">
        <v>44939</v>
      </c>
      <c r="N90" s="812">
        <v>773500</v>
      </c>
      <c r="O90" s="812">
        <v>0</v>
      </c>
      <c r="P90" s="812">
        <v>0</v>
      </c>
      <c r="Q90" s="812">
        <v>0</v>
      </c>
      <c r="R90" s="812">
        <v>0</v>
      </c>
      <c r="S90" s="812">
        <v>773500</v>
      </c>
      <c r="T90" s="668">
        <v>350454</v>
      </c>
      <c r="U90" s="298">
        <v>44945</v>
      </c>
      <c r="V90" s="668" t="s">
        <v>261</v>
      </c>
      <c r="W90" s="668"/>
      <c r="X90" s="668"/>
      <c r="Y90" s="298">
        <v>44945</v>
      </c>
      <c r="Z90" s="668" t="s">
        <v>259</v>
      </c>
      <c r="AA90" s="668" t="s">
        <v>675</v>
      </c>
      <c r="AB90" s="668" t="s">
        <v>504</v>
      </c>
      <c r="AC90" s="668">
        <v>79985249</v>
      </c>
    </row>
    <row r="91" spans="1:29">
      <c r="A91" s="668">
        <v>172</v>
      </c>
      <c r="B91" s="668">
        <v>22</v>
      </c>
      <c r="C91" s="668">
        <v>75400</v>
      </c>
      <c r="D91" s="668">
        <v>189</v>
      </c>
      <c r="E91" s="668" t="s">
        <v>817</v>
      </c>
      <c r="F91" s="668" t="s">
        <v>1022</v>
      </c>
      <c r="G91" s="668">
        <v>10076483</v>
      </c>
      <c r="H91" s="668" t="s">
        <v>1502</v>
      </c>
      <c r="I91" s="668" t="s">
        <v>1503</v>
      </c>
      <c r="J91" s="668" t="s">
        <v>503</v>
      </c>
      <c r="K91" s="668" t="s">
        <v>1504</v>
      </c>
      <c r="L91" s="668">
        <v>350525</v>
      </c>
      <c r="M91" s="298">
        <v>44939</v>
      </c>
      <c r="N91" s="812">
        <v>3500000</v>
      </c>
      <c r="O91" s="812">
        <v>87500</v>
      </c>
      <c r="P91" s="812">
        <v>0</v>
      </c>
      <c r="Q91" s="812">
        <v>0</v>
      </c>
      <c r="R91" s="812">
        <v>0</v>
      </c>
      <c r="S91" s="812">
        <v>3412500</v>
      </c>
      <c r="T91" s="668">
        <v>350525</v>
      </c>
      <c r="U91" s="298">
        <v>44945</v>
      </c>
      <c r="V91" s="668" t="s">
        <v>261</v>
      </c>
      <c r="W91" s="668"/>
      <c r="X91" s="668"/>
      <c r="Y91" s="298">
        <v>44945</v>
      </c>
      <c r="Z91" s="668" t="s">
        <v>258</v>
      </c>
      <c r="AA91" s="668" t="s">
        <v>650</v>
      </c>
      <c r="AB91" s="668" t="s">
        <v>506</v>
      </c>
      <c r="AC91" s="668">
        <v>79897937</v>
      </c>
    </row>
    <row r="92" spans="1:29">
      <c r="A92" s="668">
        <v>172</v>
      </c>
      <c r="B92" s="668">
        <v>23</v>
      </c>
      <c r="C92" s="668">
        <v>72277</v>
      </c>
      <c r="D92" s="668">
        <v>187</v>
      </c>
      <c r="E92" s="668" t="s">
        <v>545</v>
      </c>
      <c r="F92" s="668" t="s">
        <v>847</v>
      </c>
      <c r="G92" s="668">
        <v>1123628690</v>
      </c>
      <c r="H92" s="668" t="s">
        <v>546</v>
      </c>
      <c r="I92" s="668" t="s">
        <v>1505</v>
      </c>
      <c r="J92" s="668" t="s">
        <v>503</v>
      </c>
      <c r="K92" s="668" t="s">
        <v>547</v>
      </c>
      <c r="L92" s="668">
        <v>350542</v>
      </c>
      <c r="M92" s="298">
        <v>44939</v>
      </c>
      <c r="N92" s="812">
        <v>600000</v>
      </c>
      <c r="O92" s="812">
        <v>0</v>
      </c>
      <c r="P92" s="812">
        <v>0</v>
      </c>
      <c r="Q92" s="812">
        <v>0</v>
      </c>
      <c r="R92" s="812">
        <v>0</v>
      </c>
      <c r="S92" s="812">
        <v>600000</v>
      </c>
      <c r="T92" s="668">
        <v>350542</v>
      </c>
      <c r="U92" s="298">
        <v>44945</v>
      </c>
      <c r="V92" s="668" t="s">
        <v>261</v>
      </c>
      <c r="W92" s="668"/>
      <c r="X92" s="668"/>
      <c r="Y92" s="298">
        <v>44945</v>
      </c>
      <c r="Z92" s="668" t="s">
        <v>284</v>
      </c>
      <c r="AA92" s="668" t="s">
        <v>543</v>
      </c>
      <c r="AB92" s="668" t="s">
        <v>505</v>
      </c>
      <c r="AC92" s="668">
        <v>119925432</v>
      </c>
    </row>
    <row r="93" spans="1:29">
      <c r="A93" s="668">
        <v>172</v>
      </c>
      <c r="B93" s="668">
        <v>24</v>
      </c>
      <c r="C93" s="668">
        <v>76836</v>
      </c>
      <c r="D93" s="668">
        <v>191</v>
      </c>
      <c r="E93" s="668" t="s">
        <v>722</v>
      </c>
      <c r="F93" s="668" t="s">
        <v>893</v>
      </c>
      <c r="G93" s="668">
        <v>901578859</v>
      </c>
      <c r="H93" s="668" t="s">
        <v>904</v>
      </c>
      <c r="I93" s="668" t="s">
        <v>1506</v>
      </c>
      <c r="J93" s="668" t="s">
        <v>503</v>
      </c>
      <c r="K93" s="668" t="s">
        <v>905</v>
      </c>
      <c r="L93" s="668">
        <v>350605</v>
      </c>
      <c r="M93" s="298">
        <v>44939</v>
      </c>
      <c r="N93" s="812">
        <v>7231103</v>
      </c>
      <c r="O93" s="812">
        <v>0</v>
      </c>
      <c r="P93" s="812">
        <v>0</v>
      </c>
      <c r="Q93" s="812">
        <v>0</v>
      </c>
      <c r="R93" s="812">
        <v>0</v>
      </c>
      <c r="S93" s="812">
        <v>7231103</v>
      </c>
      <c r="T93" s="668">
        <v>350605</v>
      </c>
      <c r="U93" s="298">
        <v>44945</v>
      </c>
      <c r="V93" s="668" t="s">
        <v>261</v>
      </c>
      <c r="W93" s="668"/>
      <c r="X93" s="668"/>
      <c r="Y93" s="298">
        <v>44945</v>
      </c>
      <c r="Z93" s="668" t="s">
        <v>725</v>
      </c>
      <c r="AA93" s="668" t="s">
        <v>680</v>
      </c>
      <c r="AB93" s="668" t="s">
        <v>504</v>
      </c>
      <c r="AC93" s="668">
        <v>79545232</v>
      </c>
    </row>
    <row r="94" spans="1:29">
      <c r="A94" s="668">
        <v>172</v>
      </c>
      <c r="B94" s="668">
        <v>25</v>
      </c>
      <c r="C94" s="668">
        <v>74372</v>
      </c>
      <c r="D94" s="668">
        <v>178</v>
      </c>
      <c r="E94" s="668" t="s">
        <v>550</v>
      </c>
      <c r="F94" s="668" t="s">
        <v>565</v>
      </c>
      <c r="G94" s="668">
        <v>1036401217</v>
      </c>
      <c r="H94" s="668" t="s">
        <v>848</v>
      </c>
      <c r="I94" s="668" t="s">
        <v>1507</v>
      </c>
      <c r="J94" s="668" t="s">
        <v>503</v>
      </c>
      <c r="K94" s="668" t="s">
        <v>849</v>
      </c>
      <c r="L94" s="668">
        <v>350782</v>
      </c>
      <c r="M94" s="298">
        <v>44939</v>
      </c>
      <c r="N94" s="812">
        <v>400000</v>
      </c>
      <c r="O94" s="812">
        <v>0</v>
      </c>
      <c r="P94" s="812">
        <v>0</v>
      </c>
      <c r="Q94" s="812">
        <v>0</v>
      </c>
      <c r="R94" s="812">
        <v>0</v>
      </c>
      <c r="S94" s="812">
        <v>400000</v>
      </c>
      <c r="T94" s="668">
        <v>350782</v>
      </c>
      <c r="U94" s="298">
        <v>44945</v>
      </c>
      <c r="V94" s="668" t="s">
        <v>261</v>
      </c>
      <c r="W94" s="668"/>
      <c r="X94" s="668"/>
      <c r="Y94" s="298">
        <v>44945</v>
      </c>
      <c r="Z94" s="668" t="s">
        <v>254</v>
      </c>
      <c r="AA94" s="668" t="s">
        <v>538</v>
      </c>
      <c r="AB94" s="668" t="s">
        <v>647</v>
      </c>
      <c r="AC94" s="668">
        <v>98077119</v>
      </c>
    </row>
    <row r="95" spans="1:29">
      <c r="A95" s="668">
        <v>172</v>
      </c>
      <c r="B95" s="668">
        <v>26</v>
      </c>
      <c r="C95" s="668">
        <v>78407</v>
      </c>
      <c r="D95" s="668">
        <v>191</v>
      </c>
      <c r="E95" s="668" t="s">
        <v>722</v>
      </c>
      <c r="F95" s="668" t="s">
        <v>724</v>
      </c>
      <c r="G95" s="668">
        <v>1122128328</v>
      </c>
      <c r="H95" s="668" t="s">
        <v>1508</v>
      </c>
      <c r="I95" s="668" t="s">
        <v>1509</v>
      </c>
      <c r="J95" s="668" t="s">
        <v>503</v>
      </c>
      <c r="K95" s="668" t="s">
        <v>1510</v>
      </c>
      <c r="L95" s="668">
        <v>350813</v>
      </c>
      <c r="M95" s="298">
        <v>44939</v>
      </c>
      <c r="N95" s="812">
        <v>2950000</v>
      </c>
      <c r="O95" s="812">
        <v>103250</v>
      </c>
      <c r="P95" s="812">
        <v>0</v>
      </c>
      <c r="Q95" s="812">
        <v>0</v>
      </c>
      <c r="R95" s="812">
        <v>0</v>
      </c>
      <c r="S95" s="812">
        <v>2846750</v>
      </c>
      <c r="T95" s="668">
        <v>350813</v>
      </c>
      <c r="U95" s="298">
        <v>44945</v>
      </c>
      <c r="V95" s="668" t="s">
        <v>261</v>
      </c>
      <c r="W95" s="668"/>
      <c r="X95" s="668"/>
      <c r="Y95" s="298">
        <v>44945</v>
      </c>
      <c r="Z95" s="668" t="s">
        <v>725</v>
      </c>
      <c r="AA95" s="668" t="s">
        <v>653</v>
      </c>
      <c r="AB95" s="668" t="s">
        <v>504</v>
      </c>
      <c r="AC95" s="668">
        <v>80000000</v>
      </c>
    </row>
    <row r="96" spans="1:29">
      <c r="A96" s="668">
        <v>172</v>
      </c>
      <c r="B96" s="668">
        <v>27</v>
      </c>
      <c r="C96" s="668">
        <v>78407</v>
      </c>
      <c r="D96" s="668">
        <v>191</v>
      </c>
      <c r="E96" s="668" t="s">
        <v>722</v>
      </c>
      <c r="F96" s="668" t="s">
        <v>724</v>
      </c>
      <c r="G96" s="668">
        <v>901581548</v>
      </c>
      <c r="H96" s="668" t="s">
        <v>793</v>
      </c>
      <c r="I96" s="668" t="s">
        <v>1511</v>
      </c>
      <c r="J96" s="668" t="s">
        <v>503</v>
      </c>
      <c r="K96" s="668" t="s">
        <v>799</v>
      </c>
      <c r="L96" s="668">
        <v>351006</v>
      </c>
      <c r="M96" s="298">
        <v>44939</v>
      </c>
      <c r="N96" s="812">
        <v>6143777</v>
      </c>
      <c r="O96" s="812">
        <v>0</v>
      </c>
      <c r="P96" s="812">
        <v>0</v>
      </c>
      <c r="Q96" s="812">
        <v>0</v>
      </c>
      <c r="R96" s="812">
        <v>0</v>
      </c>
      <c r="S96" s="812">
        <v>6143777</v>
      </c>
      <c r="T96" s="668">
        <v>351006</v>
      </c>
      <c r="U96" s="298">
        <v>44945</v>
      </c>
      <c r="V96" s="668" t="s">
        <v>261</v>
      </c>
      <c r="W96" s="668"/>
      <c r="X96" s="668"/>
      <c r="Y96" s="298">
        <v>44945</v>
      </c>
      <c r="Z96" s="668" t="s">
        <v>725</v>
      </c>
      <c r="AA96" s="668" t="s">
        <v>653</v>
      </c>
      <c r="AB96" s="668" t="s">
        <v>504</v>
      </c>
      <c r="AC96" s="668">
        <v>80000000</v>
      </c>
    </row>
    <row r="97" spans="1:29">
      <c r="A97" s="668">
        <v>172</v>
      </c>
      <c r="B97" s="668">
        <v>28</v>
      </c>
      <c r="C97" s="668">
        <v>77931</v>
      </c>
      <c r="D97" s="668">
        <v>191</v>
      </c>
      <c r="E97" s="668" t="s">
        <v>722</v>
      </c>
      <c r="F97" s="668" t="s">
        <v>1026</v>
      </c>
      <c r="G97" s="668">
        <v>1122118501</v>
      </c>
      <c r="H97" s="668" t="s">
        <v>1051</v>
      </c>
      <c r="I97" s="668" t="s">
        <v>1512</v>
      </c>
      <c r="J97" s="668" t="s">
        <v>503</v>
      </c>
      <c r="K97" s="668" t="s">
        <v>1052</v>
      </c>
      <c r="L97" s="668">
        <v>351066</v>
      </c>
      <c r="M97" s="298">
        <v>44939</v>
      </c>
      <c r="N97" s="812">
        <v>500000</v>
      </c>
      <c r="O97" s="812">
        <v>0</v>
      </c>
      <c r="P97" s="812">
        <v>0</v>
      </c>
      <c r="Q97" s="812">
        <v>0</v>
      </c>
      <c r="R97" s="812">
        <v>0</v>
      </c>
      <c r="S97" s="812">
        <v>500000</v>
      </c>
      <c r="T97" s="668">
        <v>351066</v>
      </c>
      <c r="U97" s="298">
        <v>44945</v>
      </c>
      <c r="V97" s="668" t="s">
        <v>261</v>
      </c>
      <c r="W97" s="668"/>
      <c r="X97" s="668"/>
      <c r="Y97" s="298">
        <v>44945</v>
      </c>
      <c r="Z97" s="668" t="s">
        <v>725</v>
      </c>
      <c r="AA97" s="668" t="s">
        <v>680</v>
      </c>
      <c r="AB97" s="668" t="s">
        <v>504</v>
      </c>
      <c r="AC97" s="668">
        <v>79952557</v>
      </c>
    </row>
    <row r="98" spans="1:29">
      <c r="A98" s="668">
        <v>172</v>
      </c>
      <c r="B98" s="668">
        <v>29</v>
      </c>
      <c r="C98" s="668">
        <v>72494</v>
      </c>
      <c r="D98" s="668">
        <v>190</v>
      </c>
      <c r="E98" s="668" t="s">
        <v>673</v>
      </c>
      <c r="F98" s="668" t="s">
        <v>1353</v>
      </c>
      <c r="G98" s="668">
        <v>13279858</v>
      </c>
      <c r="H98" s="668" t="s">
        <v>1513</v>
      </c>
      <c r="I98" s="668" t="s">
        <v>1514</v>
      </c>
      <c r="J98" s="668" t="s">
        <v>507</v>
      </c>
      <c r="K98" s="668" t="s">
        <v>1515</v>
      </c>
      <c r="L98" s="668">
        <v>346317</v>
      </c>
      <c r="M98" s="298">
        <v>44939</v>
      </c>
      <c r="N98" s="812">
        <v>400000</v>
      </c>
      <c r="O98" s="812">
        <v>0</v>
      </c>
      <c r="P98" s="812">
        <v>0</v>
      </c>
      <c r="Q98" s="812">
        <v>0</v>
      </c>
      <c r="R98" s="812">
        <v>0</v>
      </c>
      <c r="S98" s="812">
        <v>400000</v>
      </c>
      <c r="T98" s="668">
        <v>346317</v>
      </c>
      <c r="U98" s="298">
        <v>44945</v>
      </c>
      <c r="V98" s="668" t="s">
        <v>261</v>
      </c>
      <c r="W98" s="668"/>
      <c r="X98" s="668"/>
      <c r="Y98" s="298">
        <v>44945</v>
      </c>
      <c r="Z98" s="668" t="s">
        <v>259</v>
      </c>
      <c r="AA98" s="668" t="s">
        <v>680</v>
      </c>
      <c r="AB98" s="668" t="s">
        <v>504</v>
      </c>
      <c r="AC98" s="668">
        <v>79935978</v>
      </c>
    </row>
    <row r="99" spans="1:29">
      <c r="A99" s="668">
        <v>172</v>
      </c>
      <c r="B99" s="668">
        <v>30</v>
      </c>
      <c r="C99" s="668">
        <v>79777</v>
      </c>
      <c r="D99" s="668">
        <v>191</v>
      </c>
      <c r="E99" s="668" t="s">
        <v>805</v>
      </c>
      <c r="F99" s="668" t="s">
        <v>1106</v>
      </c>
      <c r="G99" s="668">
        <v>1121832796</v>
      </c>
      <c r="H99" s="668" t="s">
        <v>1516</v>
      </c>
      <c r="I99" s="668" t="s">
        <v>1517</v>
      </c>
      <c r="J99" s="668" t="s">
        <v>503</v>
      </c>
      <c r="K99" s="668" t="s">
        <v>1518</v>
      </c>
      <c r="L99" s="668">
        <v>348964</v>
      </c>
      <c r="M99" s="298">
        <v>44939</v>
      </c>
      <c r="N99" s="812">
        <v>2600000</v>
      </c>
      <c r="O99" s="812">
        <v>0</v>
      </c>
      <c r="P99" s="812">
        <v>0</v>
      </c>
      <c r="Q99" s="812">
        <v>0</v>
      </c>
      <c r="R99" s="812">
        <v>0</v>
      </c>
      <c r="S99" s="812">
        <v>2600000</v>
      </c>
      <c r="T99" s="668">
        <v>348964</v>
      </c>
      <c r="U99" s="298">
        <v>44945</v>
      </c>
      <c r="V99" s="668" t="s">
        <v>261</v>
      </c>
      <c r="W99" s="668"/>
      <c r="X99" s="668"/>
      <c r="Y99" s="298">
        <v>44945</v>
      </c>
      <c r="Z99" s="668" t="s">
        <v>725</v>
      </c>
      <c r="AA99" s="668" t="s">
        <v>680</v>
      </c>
      <c r="AB99" s="668" t="s">
        <v>504</v>
      </c>
      <c r="AC99" s="668">
        <v>80000000</v>
      </c>
    </row>
    <row r="100" spans="1:29">
      <c r="A100" s="668">
        <v>172</v>
      </c>
      <c r="B100" s="668">
        <v>31</v>
      </c>
      <c r="C100" s="668">
        <v>76647</v>
      </c>
      <c r="D100" s="668">
        <v>187</v>
      </c>
      <c r="E100" s="668" t="s">
        <v>545</v>
      </c>
      <c r="F100" s="668" t="s">
        <v>581</v>
      </c>
      <c r="G100" s="668">
        <v>901558404</v>
      </c>
      <c r="H100" s="668" t="s">
        <v>633</v>
      </c>
      <c r="I100" s="668" t="s">
        <v>1519</v>
      </c>
      <c r="J100" s="668" t="s">
        <v>503</v>
      </c>
      <c r="K100" s="668" t="s">
        <v>964</v>
      </c>
      <c r="L100" s="668">
        <v>349448</v>
      </c>
      <c r="M100" s="298">
        <v>44939</v>
      </c>
      <c r="N100" s="812">
        <v>2743563</v>
      </c>
      <c r="O100" s="812">
        <v>0</v>
      </c>
      <c r="P100" s="812">
        <v>0</v>
      </c>
      <c r="Q100" s="812">
        <v>0</v>
      </c>
      <c r="R100" s="812">
        <v>0</v>
      </c>
      <c r="S100" s="812">
        <v>2743563</v>
      </c>
      <c r="T100" s="668">
        <v>349448</v>
      </c>
      <c r="U100" s="298">
        <v>44945</v>
      </c>
      <c r="V100" s="668" t="s">
        <v>261</v>
      </c>
      <c r="W100" s="668"/>
      <c r="X100" s="668"/>
      <c r="Y100" s="298">
        <v>44945</v>
      </c>
      <c r="Z100" s="668" t="s">
        <v>284</v>
      </c>
      <c r="AA100" s="668" t="s">
        <v>543</v>
      </c>
      <c r="AB100" s="668" t="s">
        <v>505</v>
      </c>
      <c r="AC100" s="668">
        <v>119925432</v>
      </c>
    </row>
    <row r="101" spans="1:29">
      <c r="A101" s="668">
        <v>172</v>
      </c>
      <c r="B101" s="668">
        <v>32</v>
      </c>
      <c r="C101" s="668">
        <v>71536</v>
      </c>
      <c r="D101" s="668">
        <v>190</v>
      </c>
      <c r="E101" s="668" t="s">
        <v>673</v>
      </c>
      <c r="F101" s="668" t="s">
        <v>674</v>
      </c>
      <c r="G101" s="668">
        <v>901580575</v>
      </c>
      <c r="H101" s="668" t="s">
        <v>679</v>
      </c>
      <c r="I101" s="668" t="s">
        <v>1520</v>
      </c>
      <c r="J101" s="668" t="s">
        <v>503</v>
      </c>
      <c r="K101" s="668" t="s">
        <v>812</v>
      </c>
      <c r="L101" s="668">
        <v>350186</v>
      </c>
      <c r="M101" s="298">
        <v>44939</v>
      </c>
      <c r="N101" s="812">
        <v>5584527</v>
      </c>
      <c r="O101" s="812">
        <v>0</v>
      </c>
      <c r="P101" s="812">
        <v>0</v>
      </c>
      <c r="Q101" s="812">
        <v>0</v>
      </c>
      <c r="R101" s="812">
        <v>0</v>
      </c>
      <c r="S101" s="812">
        <v>5584527</v>
      </c>
      <c r="T101" s="668">
        <v>350186</v>
      </c>
      <c r="U101" s="298">
        <v>44945</v>
      </c>
      <c r="V101" s="668" t="s">
        <v>261</v>
      </c>
      <c r="W101" s="668"/>
      <c r="X101" s="668"/>
      <c r="Y101" s="298">
        <v>44945</v>
      </c>
      <c r="Z101" s="668" t="s">
        <v>259</v>
      </c>
      <c r="AA101" s="668" t="s">
        <v>675</v>
      </c>
      <c r="AB101" s="668" t="s">
        <v>504</v>
      </c>
      <c r="AC101" s="668">
        <v>79950468</v>
      </c>
    </row>
    <row r="102" spans="1:29">
      <c r="A102" s="668">
        <v>172</v>
      </c>
      <c r="B102" s="668">
        <v>33</v>
      </c>
      <c r="C102" s="668">
        <v>75169</v>
      </c>
      <c r="D102" s="668">
        <v>190</v>
      </c>
      <c r="E102" s="668" t="s">
        <v>673</v>
      </c>
      <c r="F102" s="668" t="s">
        <v>891</v>
      </c>
      <c r="G102" s="668">
        <v>901583415</v>
      </c>
      <c r="H102" s="668" t="s">
        <v>992</v>
      </c>
      <c r="I102" s="668" t="s">
        <v>1521</v>
      </c>
      <c r="J102" s="668" t="s">
        <v>503</v>
      </c>
      <c r="K102" s="668" t="s">
        <v>993</v>
      </c>
      <c r="L102" s="668">
        <v>350460</v>
      </c>
      <c r="M102" s="298">
        <v>44939</v>
      </c>
      <c r="N102" s="812">
        <v>6173748</v>
      </c>
      <c r="O102" s="812">
        <v>0</v>
      </c>
      <c r="P102" s="812">
        <v>0</v>
      </c>
      <c r="Q102" s="812">
        <v>0</v>
      </c>
      <c r="R102" s="812">
        <v>0</v>
      </c>
      <c r="S102" s="812">
        <v>6173748</v>
      </c>
      <c r="T102" s="668">
        <v>350460</v>
      </c>
      <c r="U102" s="298">
        <v>44945</v>
      </c>
      <c r="V102" s="668" t="s">
        <v>261</v>
      </c>
      <c r="W102" s="668"/>
      <c r="X102" s="668"/>
      <c r="Y102" s="298">
        <v>44945</v>
      </c>
      <c r="Z102" s="668" t="s">
        <v>259</v>
      </c>
      <c r="AA102" s="668" t="s">
        <v>675</v>
      </c>
      <c r="AB102" s="668" t="s">
        <v>504</v>
      </c>
      <c r="AC102" s="668">
        <v>79985249</v>
      </c>
    </row>
    <row r="103" spans="1:29">
      <c r="A103" s="668">
        <v>172</v>
      </c>
      <c r="B103" s="668">
        <v>34</v>
      </c>
      <c r="C103" s="668">
        <v>77390</v>
      </c>
      <c r="D103" s="668">
        <v>189</v>
      </c>
      <c r="E103" s="668" t="s">
        <v>817</v>
      </c>
      <c r="F103" s="668" t="s">
        <v>818</v>
      </c>
      <c r="G103" s="668">
        <v>901583984</v>
      </c>
      <c r="H103" s="668" t="s">
        <v>960</v>
      </c>
      <c r="I103" s="668" t="s">
        <v>1522</v>
      </c>
      <c r="J103" s="668" t="s">
        <v>503</v>
      </c>
      <c r="K103" s="668" t="s">
        <v>961</v>
      </c>
      <c r="L103" s="668">
        <v>350619</v>
      </c>
      <c r="M103" s="298">
        <v>44939</v>
      </c>
      <c r="N103" s="812">
        <v>5007684</v>
      </c>
      <c r="O103" s="812">
        <v>0</v>
      </c>
      <c r="P103" s="812">
        <v>0</v>
      </c>
      <c r="Q103" s="812">
        <v>0</v>
      </c>
      <c r="R103" s="812">
        <v>0</v>
      </c>
      <c r="S103" s="812">
        <v>5007684</v>
      </c>
      <c r="T103" s="668">
        <v>350619</v>
      </c>
      <c r="U103" s="298">
        <v>44945</v>
      </c>
      <c r="V103" s="668" t="s">
        <v>261</v>
      </c>
      <c r="W103" s="668"/>
      <c r="X103" s="668"/>
      <c r="Y103" s="298">
        <v>44945</v>
      </c>
      <c r="Z103" s="668" t="s">
        <v>258</v>
      </c>
      <c r="AA103" s="668" t="s">
        <v>650</v>
      </c>
      <c r="AB103" s="668" t="s">
        <v>506</v>
      </c>
      <c r="AC103" s="668">
        <v>80000000</v>
      </c>
    </row>
    <row r="104" spans="1:29">
      <c r="A104" s="668">
        <v>172</v>
      </c>
      <c r="B104" s="668">
        <v>35</v>
      </c>
      <c r="C104" s="668">
        <v>72494</v>
      </c>
      <c r="D104" s="668">
        <v>190</v>
      </c>
      <c r="E104" s="668" t="s">
        <v>673</v>
      </c>
      <c r="F104" s="668" t="s">
        <v>1353</v>
      </c>
      <c r="G104" s="668">
        <v>13279858</v>
      </c>
      <c r="H104" s="668" t="s">
        <v>1513</v>
      </c>
      <c r="I104" s="668" t="s">
        <v>1523</v>
      </c>
      <c r="J104" s="668" t="s">
        <v>507</v>
      </c>
      <c r="K104" s="668" t="s">
        <v>1515</v>
      </c>
      <c r="L104" s="668">
        <v>350644</v>
      </c>
      <c r="M104" s="298">
        <v>44939</v>
      </c>
      <c r="N104" s="812">
        <v>400000</v>
      </c>
      <c r="O104" s="812">
        <v>0</v>
      </c>
      <c r="P104" s="812">
        <v>0</v>
      </c>
      <c r="Q104" s="812">
        <v>0</v>
      </c>
      <c r="R104" s="812">
        <v>0</v>
      </c>
      <c r="S104" s="812">
        <v>400000</v>
      </c>
      <c r="T104" s="668">
        <v>350644</v>
      </c>
      <c r="U104" s="298">
        <v>44945</v>
      </c>
      <c r="V104" s="668" t="s">
        <v>261</v>
      </c>
      <c r="W104" s="668"/>
      <c r="X104" s="668"/>
      <c r="Y104" s="298">
        <v>44945</v>
      </c>
      <c r="Z104" s="668" t="s">
        <v>259</v>
      </c>
      <c r="AA104" s="668" t="s">
        <v>680</v>
      </c>
      <c r="AB104" s="668" t="s">
        <v>504</v>
      </c>
      <c r="AC104" s="668">
        <v>79935978</v>
      </c>
    </row>
    <row r="105" spans="1:29">
      <c r="A105" s="668">
        <v>172</v>
      </c>
      <c r="B105" s="668">
        <v>36</v>
      </c>
      <c r="C105" s="668">
        <v>75169</v>
      </c>
      <c r="D105" s="668">
        <v>190</v>
      </c>
      <c r="E105" s="668" t="s">
        <v>673</v>
      </c>
      <c r="F105" s="668" t="s">
        <v>891</v>
      </c>
      <c r="G105" s="668">
        <v>52793169</v>
      </c>
      <c r="H105" s="668" t="s">
        <v>731</v>
      </c>
      <c r="I105" s="668" t="s">
        <v>1524</v>
      </c>
      <c r="J105" s="668" t="s">
        <v>503</v>
      </c>
      <c r="K105" s="668" t="s">
        <v>854</v>
      </c>
      <c r="L105" s="668">
        <v>351002</v>
      </c>
      <c r="M105" s="298">
        <v>44939</v>
      </c>
      <c r="N105" s="812">
        <v>500000</v>
      </c>
      <c r="O105" s="812">
        <v>0</v>
      </c>
      <c r="P105" s="812">
        <v>0</v>
      </c>
      <c r="Q105" s="812">
        <v>0</v>
      </c>
      <c r="R105" s="812">
        <v>0</v>
      </c>
      <c r="S105" s="812">
        <v>500000</v>
      </c>
      <c r="T105" s="668">
        <v>351002</v>
      </c>
      <c r="U105" s="298">
        <v>44945</v>
      </c>
      <c r="V105" s="668" t="s">
        <v>261</v>
      </c>
      <c r="W105" s="668"/>
      <c r="X105" s="668"/>
      <c r="Y105" s="298">
        <v>44945</v>
      </c>
      <c r="Z105" s="668" t="s">
        <v>259</v>
      </c>
      <c r="AA105" s="668" t="s">
        <v>675</v>
      </c>
      <c r="AB105" s="668" t="s">
        <v>504</v>
      </c>
      <c r="AC105" s="668">
        <v>79985249</v>
      </c>
    </row>
    <row r="106" spans="1:29">
      <c r="A106" s="668">
        <v>172</v>
      </c>
      <c r="B106" s="668">
        <v>37</v>
      </c>
      <c r="C106" s="668">
        <v>74121</v>
      </c>
      <c r="D106" s="668">
        <v>177</v>
      </c>
      <c r="E106" s="668" t="s">
        <v>537</v>
      </c>
      <c r="F106" s="668" t="s">
        <v>810</v>
      </c>
      <c r="G106" s="668">
        <v>901554138</v>
      </c>
      <c r="H106" s="668" t="s">
        <v>930</v>
      </c>
      <c r="I106" s="668" t="s">
        <v>1525</v>
      </c>
      <c r="J106" s="668" t="s">
        <v>503</v>
      </c>
      <c r="K106" s="668" t="s">
        <v>931</v>
      </c>
      <c r="L106" s="668">
        <v>351188</v>
      </c>
      <c r="M106" s="298">
        <v>44939</v>
      </c>
      <c r="N106" s="812">
        <v>4301772</v>
      </c>
      <c r="O106" s="812">
        <v>0</v>
      </c>
      <c r="P106" s="812">
        <v>0</v>
      </c>
      <c r="Q106" s="812">
        <v>0</v>
      </c>
      <c r="R106" s="812">
        <v>0</v>
      </c>
      <c r="S106" s="812">
        <v>4301772</v>
      </c>
      <c r="T106" s="668">
        <v>351188</v>
      </c>
      <c r="U106" s="298">
        <v>44945</v>
      </c>
      <c r="V106" s="668" t="s">
        <v>261</v>
      </c>
      <c r="W106" s="668"/>
      <c r="X106" s="668"/>
      <c r="Y106" s="298">
        <v>44945</v>
      </c>
      <c r="Z106" s="668" t="s">
        <v>254</v>
      </c>
      <c r="AA106" s="668" t="s">
        <v>538</v>
      </c>
      <c r="AB106" s="668" t="s">
        <v>647</v>
      </c>
      <c r="AC106" s="668">
        <v>79880073</v>
      </c>
    </row>
    <row r="107" spans="1:29">
      <c r="A107" s="668">
        <v>172</v>
      </c>
      <c r="B107" s="668">
        <v>38</v>
      </c>
      <c r="C107" s="668">
        <v>75210</v>
      </c>
      <c r="D107" s="668">
        <v>190</v>
      </c>
      <c r="E107" s="668" t="s">
        <v>673</v>
      </c>
      <c r="F107" s="668" t="s">
        <v>718</v>
      </c>
      <c r="G107" s="668">
        <v>901571422</v>
      </c>
      <c r="H107" s="668" t="s">
        <v>1057</v>
      </c>
      <c r="I107" s="668" t="s">
        <v>1526</v>
      </c>
      <c r="J107" s="668" t="s">
        <v>503</v>
      </c>
      <c r="K107" s="668" t="s">
        <v>1058</v>
      </c>
      <c r="L107" s="668">
        <v>351246</v>
      </c>
      <c r="M107" s="298">
        <v>44939</v>
      </c>
      <c r="N107" s="812">
        <v>3784596</v>
      </c>
      <c r="O107" s="812">
        <v>0</v>
      </c>
      <c r="P107" s="812">
        <v>0</v>
      </c>
      <c r="Q107" s="812">
        <v>0</v>
      </c>
      <c r="R107" s="812">
        <v>0</v>
      </c>
      <c r="S107" s="812">
        <v>3784596</v>
      </c>
      <c r="T107" s="668">
        <v>351246</v>
      </c>
      <c r="U107" s="298">
        <v>44945</v>
      </c>
      <c r="V107" s="668" t="s">
        <v>261</v>
      </c>
      <c r="W107" s="668"/>
      <c r="X107" s="668"/>
      <c r="Y107" s="298">
        <v>44945</v>
      </c>
      <c r="Z107" s="668" t="s">
        <v>259</v>
      </c>
      <c r="AA107" s="668" t="s">
        <v>653</v>
      </c>
      <c r="AB107" s="668" t="s">
        <v>504</v>
      </c>
      <c r="AC107" s="668">
        <v>79041822</v>
      </c>
    </row>
    <row r="108" spans="1:29">
      <c r="A108" s="668">
        <v>172</v>
      </c>
      <c r="B108" s="668">
        <v>39</v>
      </c>
      <c r="C108" s="668">
        <v>75530</v>
      </c>
      <c r="D108" s="668">
        <v>169</v>
      </c>
      <c r="E108" s="668" t="s">
        <v>573</v>
      </c>
      <c r="F108" s="668" t="s">
        <v>705</v>
      </c>
      <c r="G108" s="668">
        <v>901554598</v>
      </c>
      <c r="H108" s="668" t="s">
        <v>733</v>
      </c>
      <c r="I108" s="668" t="s">
        <v>1527</v>
      </c>
      <c r="J108" s="668" t="s">
        <v>503</v>
      </c>
      <c r="K108" s="668" t="s">
        <v>975</v>
      </c>
      <c r="L108" s="668">
        <v>349711</v>
      </c>
      <c r="M108" s="298">
        <v>44939</v>
      </c>
      <c r="N108" s="812">
        <v>5913760</v>
      </c>
      <c r="O108" s="812">
        <v>0</v>
      </c>
      <c r="P108" s="812">
        <v>0</v>
      </c>
      <c r="Q108" s="812">
        <v>0</v>
      </c>
      <c r="R108" s="812">
        <v>0</v>
      </c>
      <c r="S108" s="812">
        <v>5913760</v>
      </c>
      <c r="T108" s="668">
        <v>349711</v>
      </c>
      <c r="U108" s="298">
        <v>44945</v>
      </c>
      <c r="V108" s="668" t="s">
        <v>261</v>
      </c>
      <c r="W108" s="668"/>
      <c r="X108" s="668"/>
      <c r="Y108" s="298">
        <v>44945</v>
      </c>
      <c r="Z108" s="668" t="s">
        <v>304</v>
      </c>
      <c r="AA108" s="668" t="s">
        <v>548</v>
      </c>
      <c r="AB108" s="668" t="s">
        <v>504</v>
      </c>
      <c r="AC108" s="668">
        <v>123907469</v>
      </c>
    </row>
    <row r="109" spans="1:29">
      <c r="A109" s="668">
        <v>172</v>
      </c>
      <c r="B109" s="668">
        <v>40</v>
      </c>
      <c r="C109" s="668">
        <v>75400</v>
      </c>
      <c r="D109" s="668">
        <v>189</v>
      </c>
      <c r="E109" s="668" t="s">
        <v>817</v>
      </c>
      <c r="F109" s="668" t="s">
        <v>1022</v>
      </c>
      <c r="G109" s="668">
        <v>901586718</v>
      </c>
      <c r="H109" s="668" t="s">
        <v>1096</v>
      </c>
      <c r="I109" s="668" t="s">
        <v>1528</v>
      </c>
      <c r="J109" s="668" t="s">
        <v>503</v>
      </c>
      <c r="K109" s="668" t="s">
        <v>1097</v>
      </c>
      <c r="L109" s="668">
        <v>351138</v>
      </c>
      <c r="M109" s="298">
        <v>44939</v>
      </c>
      <c r="N109" s="812">
        <v>3754252</v>
      </c>
      <c r="O109" s="812">
        <v>0</v>
      </c>
      <c r="P109" s="812">
        <v>0</v>
      </c>
      <c r="Q109" s="812">
        <v>0</v>
      </c>
      <c r="R109" s="812">
        <v>0</v>
      </c>
      <c r="S109" s="812">
        <v>3754252</v>
      </c>
      <c r="T109" s="668">
        <v>351138</v>
      </c>
      <c r="U109" s="298">
        <v>44945</v>
      </c>
      <c r="V109" s="668" t="s">
        <v>261</v>
      </c>
      <c r="W109" s="668"/>
      <c r="X109" s="668"/>
      <c r="Y109" s="298">
        <v>44945</v>
      </c>
      <c r="Z109" s="668" t="s">
        <v>258</v>
      </c>
      <c r="AA109" s="668" t="s">
        <v>650</v>
      </c>
      <c r="AB109" s="668" t="s">
        <v>506</v>
      </c>
      <c r="AC109" s="668">
        <v>79897937</v>
      </c>
    </row>
    <row r="110" spans="1:29">
      <c r="A110" s="668">
        <v>172</v>
      </c>
      <c r="B110" s="668">
        <v>41</v>
      </c>
      <c r="C110" s="668">
        <v>74338</v>
      </c>
      <c r="D110" s="668">
        <v>169</v>
      </c>
      <c r="E110" s="668" t="s">
        <v>573</v>
      </c>
      <c r="F110" s="668" t="s">
        <v>939</v>
      </c>
      <c r="G110" s="668">
        <v>1118537126</v>
      </c>
      <c r="H110" s="668" t="s">
        <v>984</v>
      </c>
      <c r="I110" s="668" t="s">
        <v>1529</v>
      </c>
      <c r="J110" s="668" t="s">
        <v>503</v>
      </c>
      <c r="K110" s="668" t="s">
        <v>985</v>
      </c>
      <c r="L110" s="668">
        <v>346772</v>
      </c>
      <c r="M110" s="298">
        <v>44939</v>
      </c>
      <c r="N110" s="812">
        <v>1100000</v>
      </c>
      <c r="O110" s="812">
        <v>0</v>
      </c>
      <c r="P110" s="812">
        <v>0</v>
      </c>
      <c r="Q110" s="812">
        <v>0</v>
      </c>
      <c r="R110" s="812">
        <v>0</v>
      </c>
      <c r="S110" s="812">
        <v>1100000</v>
      </c>
      <c r="T110" s="668">
        <v>346772</v>
      </c>
      <c r="U110" s="298">
        <v>44945</v>
      </c>
      <c r="V110" s="668" t="s">
        <v>261</v>
      </c>
      <c r="W110" s="668"/>
      <c r="X110" s="668"/>
      <c r="Y110" s="298">
        <v>44945</v>
      </c>
      <c r="Z110" s="668" t="s">
        <v>304</v>
      </c>
      <c r="AA110" s="668" t="s">
        <v>548</v>
      </c>
      <c r="AB110" s="668" t="s">
        <v>504</v>
      </c>
      <c r="AC110" s="668">
        <v>123089536</v>
      </c>
    </row>
    <row r="111" spans="1:29">
      <c r="A111" s="668">
        <v>172</v>
      </c>
      <c r="B111" s="668">
        <v>42</v>
      </c>
      <c r="C111" s="668">
        <v>75154</v>
      </c>
      <c r="D111" s="668">
        <v>190</v>
      </c>
      <c r="E111" s="668" t="s">
        <v>673</v>
      </c>
      <c r="F111" s="668" t="s">
        <v>843</v>
      </c>
      <c r="G111" s="668">
        <v>88235364</v>
      </c>
      <c r="H111" s="668" t="s">
        <v>844</v>
      </c>
      <c r="I111" s="668" t="s">
        <v>1530</v>
      </c>
      <c r="J111" s="668" t="s">
        <v>503</v>
      </c>
      <c r="K111" s="668" t="s">
        <v>845</v>
      </c>
      <c r="L111" s="668">
        <v>348963</v>
      </c>
      <c r="M111" s="298">
        <v>44939</v>
      </c>
      <c r="N111" s="812">
        <v>600000</v>
      </c>
      <c r="O111" s="812">
        <v>0</v>
      </c>
      <c r="P111" s="812">
        <v>0</v>
      </c>
      <c r="Q111" s="812">
        <v>0</v>
      </c>
      <c r="R111" s="812">
        <v>0</v>
      </c>
      <c r="S111" s="812">
        <v>600000</v>
      </c>
      <c r="T111" s="668">
        <v>348963</v>
      </c>
      <c r="U111" s="298">
        <v>44945</v>
      </c>
      <c r="V111" s="668" t="s">
        <v>261</v>
      </c>
      <c r="W111" s="668"/>
      <c r="X111" s="668"/>
      <c r="Y111" s="298">
        <v>44945</v>
      </c>
      <c r="Z111" s="668" t="s">
        <v>259</v>
      </c>
      <c r="AA111" s="668" t="s">
        <v>680</v>
      </c>
      <c r="AB111" s="668" t="s">
        <v>504</v>
      </c>
      <c r="AC111" s="668">
        <v>79949342</v>
      </c>
    </row>
    <row r="112" spans="1:29">
      <c r="A112" s="668">
        <v>172</v>
      </c>
      <c r="B112" s="668">
        <v>43</v>
      </c>
      <c r="C112" s="668">
        <v>75154</v>
      </c>
      <c r="D112" s="668">
        <v>190</v>
      </c>
      <c r="E112" s="668" t="s">
        <v>673</v>
      </c>
      <c r="F112" s="668" t="s">
        <v>843</v>
      </c>
      <c r="G112" s="668">
        <v>88269603</v>
      </c>
      <c r="H112" s="668" t="s">
        <v>1041</v>
      </c>
      <c r="I112" s="668" t="s">
        <v>1531</v>
      </c>
      <c r="J112" s="668" t="s">
        <v>503</v>
      </c>
      <c r="K112" s="668" t="s">
        <v>1042</v>
      </c>
      <c r="L112" s="668">
        <v>348967</v>
      </c>
      <c r="M112" s="298">
        <v>44939</v>
      </c>
      <c r="N112" s="812">
        <v>450000</v>
      </c>
      <c r="O112" s="812">
        <v>0</v>
      </c>
      <c r="P112" s="812">
        <v>0</v>
      </c>
      <c r="Q112" s="812">
        <v>0</v>
      </c>
      <c r="R112" s="812">
        <v>0</v>
      </c>
      <c r="S112" s="812">
        <v>450000</v>
      </c>
      <c r="T112" s="668">
        <v>348967</v>
      </c>
      <c r="U112" s="298">
        <v>44945</v>
      </c>
      <c r="V112" s="668" t="s">
        <v>261</v>
      </c>
      <c r="W112" s="668"/>
      <c r="X112" s="668"/>
      <c r="Y112" s="298">
        <v>44945</v>
      </c>
      <c r="Z112" s="668" t="s">
        <v>259</v>
      </c>
      <c r="AA112" s="668" t="s">
        <v>680</v>
      </c>
      <c r="AB112" s="668" t="s">
        <v>504</v>
      </c>
      <c r="AC112" s="668">
        <v>79949342</v>
      </c>
    </row>
    <row r="113" spans="1:29">
      <c r="A113" s="668">
        <v>172</v>
      </c>
      <c r="B113" s="668">
        <v>44</v>
      </c>
      <c r="C113" s="668">
        <v>74879</v>
      </c>
      <c r="D113" s="668">
        <v>187</v>
      </c>
      <c r="E113" s="668" t="s">
        <v>608</v>
      </c>
      <c r="F113" s="668" t="s">
        <v>1349</v>
      </c>
      <c r="G113" s="668">
        <v>901564290</v>
      </c>
      <c r="H113" s="668" t="s">
        <v>1409</v>
      </c>
      <c r="I113" s="668" t="s">
        <v>1532</v>
      </c>
      <c r="J113" s="668" t="s">
        <v>503</v>
      </c>
      <c r="K113" s="668" t="s">
        <v>1411</v>
      </c>
      <c r="L113" s="668">
        <v>349188</v>
      </c>
      <c r="M113" s="298">
        <v>44939</v>
      </c>
      <c r="N113" s="812">
        <v>4235872</v>
      </c>
      <c r="O113" s="812">
        <v>0</v>
      </c>
      <c r="P113" s="812">
        <v>0</v>
      </c>
      <c r="Q113" s="812">
        <v>0</v>
      </c>
      <c r="R113" s="812">
        <v>0</v>
      </c>
      <c r="S113" s="812">
        <v>4235872</v>
      </c>
      <c r="T113" s="668">
        <v>349188</v>
      </c>
      <c r="U113" s="298">
        <v>44945</v>
      </c>
      <c r="V113" s="668" t="s">
        <v>261</v>
      </c>
      <c r="W113" s="668"/>
      <c r="X113" s="668"/>
      <c r="Y113" s="298">
        <v>44945</v>
      </c>
      <c r="Z113" s="668" t="s">
        <v>284</v>
      </c>
      <c r="AA113" s="668" t="s">
        <v>543</v>
      </c>
      <c r="AB113" s="668" t="s">
        <v>505</v>
      </c>
      <c r="AC113" s="668">
        <v>119925432</v>
      </c>
    </row>
    <row r="114" spans="1:29">
      <c r="A114" s="668">
        <v>172</v>
      </c>
      <c r="B114" s="668">
        <v>45</v>
      </c>
      <c r="C114" s="668">
        <v>74395</v>
      </c>
      <c r="D114" s="668">
        <v>184</v>
      </c>
      <c r="E114" s="668" t="s">
        <v>521</v>
      </c>
      <c r="F114" s="668" t="s">
        <v>850</v>
      </c>
      <c r="G114" s="668">
        <v>811027197</v>
      </c>
      <c r="H114" s="668" t="s">
        <v>1067</v>
      </c>
      <c r="I114" s="668" t="s">
        <v>1533</v>
      </c>
      <c r="J114" s="668" t="s">
        <v>507</v>
      </c>
      <c r="K114" s="668" t="s">
        <v>1068</v>
      </c>
      <c r="L114" s="668">
        <v>349288</v>
      </c>
      <c r="M114" s="298">
        <v>44939</v>
      </c>
      <c r="N114" s="812">
        <v>800000</v>
      </c>
      <c r="O114" s="812">
        <v>0</v>
      </c>
      <c r="P114" s="812">
        <v>0</v>
      </c>
      <c r="Q114" s="812">
        <v>0</v>
      </c>
      <c r="R114" s="812">
        <v>0</v>
      </c>
      <c r="S114" s="812">
        <v>800000</v>
      </c>
      <c r="T114" s="668">
        <v>349288</v>
      </c>
      <c r="U114" s="298">
        <v>44945</v>
      </c>
      <c r="V114" s="668" t="s">
        <v>261</v>
      </c>
      <c r="W114" s="668"/>
      <c r="X114" s="668"/>
      <c r="Y114" s="298">
        <v>44945</v>
      </c>
      <c r="Z114" s="668" t="s">
        <v>254</v>
      </c>
      <c r="AA114" s="668" t="s">
        <v>539</v>
      </c>
      <c r="AB114" s="668" t="s">
        <v>647</v>
      </c>
      <c r="AC114" s="668">
        <v>123562188</v>
      </c>
    </row>
    <row r="115" spans="1:29">
      <c r="A115" s="668">
        <v>172</v>
      </c>
      <c r="B115" s="668">
        <v>46</v>
      </c>
      <c r="C115" s="668">
        <v>75563</v>
      </c>
      <c r="D115" s="668">
        <v>187</v>
      </c>
      <c r="E115" s="668" t="s">
        <v>545</v>
      </c>
      <c r="F115" s="668" t="s">
        <v>610</v>
      </c>
      <c r="G115" s="668">
        <v>901534833</v>
      </c>
      <c r="H115" s="668" t="s">
        <v>1037</v>
      </c>
      <c r="I115" s="668" t="s">
        <v>1534</v>
      </c>
      <c r="J115" s="668" t="s">
        <v>503</v>
      </c>
      <c r="K115" s="668" t="s">
        <v>1038</v>
      </c>
      <c r="L115" s="668">
        <v>349302</v>
      </c>
      <c r="M115" s="298">
        <v>44939</v>
      </c>
      <c r="N115" s="812">
        <v>237038</v>
      </c>
      <c r="O115" s="812">
        <v>0</v>
      </c>
      <c r="P115" s="812">
        <v>0</v>
      </c>
      <c r="Q115" s="812">
        <v>0</v>
      </c>
      <c r="R115" s="812">
        <v>0</v>
      </c>
      <c r="S115" s="812">
        <v>237038</v>
      </c>
      <c r="T115" s="668">
        <v>349302</v>
      </c>
      <c r="U115" s="298">
        <v>44945</v>
      </c>
      <c r="V115" s="668" t="s">
        <v>261</v>
      </c>
      <c r="W115" s="668"/>
      <c r="X115" s="668"/>
      <c r="Y115" s="298">
        <v>44945</v>
      </c>
      <c r="Z115" s="668" t="s">
        <v>284</v>
      </c>
      <c r="AA115" s="668" t="s">
        <v>543</v>
      </c>
      <c r="AB115" s="668" t="s">
        <v>505</v>
      </c>
      <c r="AC115" s="668">
        <v>119925432</v>
      </c>
    </row>
    <row r="116" spans="1:29">
      <c r="A116" s="668">
        <v>172</v>
      </c>
      <c r="B116" s="668">
        <v>47</v>
      </c>
      <c r="C116" s="668">
        <v>75306</v>
      </c>
      <c r="D116" s="668">
        <v>190</v>
      </c>
      <c r="E116" s="668" t="s">
        <v>673</v>
      </c>
      <c r="F116" s="668" t="s">
        <v>677</v>
      </c>
      <c r="G116" s="668">
        <v>1090527338</v>
      </c>
      <c r="H116" s="668" t="s">
        <v>1535</v>
      </c>
      <c r="I116" s="668" t="s">
        <v>1536</v>
      </c>
      <c r="J116" s="668" t="s">
        <v>503</v>
      </c>
      <c r="K116" s="668" t="s">
        <v>1537</v>
      </c>
      <c r="L116" s="668">
        <v>349416</v>
      </c>
      <c r="M116" s="298">
        <v>44939</v>
      </c>
      <c r="N116" s="812">
        <v>2100737</v>
      </c>
      <c r="O116" s="812">
        <v>0</v>
      </c>
      <c r="P116" s="812">
        <v>0</v>
      </c>
      <c r="Q116" s="812">
        <v>0</v>
      </c>
      <c r="R116" s="812">
        <v>0</v>
      </c>
      <c r="S116" s="812">
        <v>2100737</v>
      </c>
      <c r="T116" s="668">
        <v>349416</v>
      </c>
      <c r="U116" s="298">
        <v>44945</v>
      </c>
      <c r="V116" s="668" t="s">
        <v>261</v>
      </c>
      <c r="W116" s="668"/>
      <c r="X116" s="668"/>
      <c r="Y116" s="298">
        <v>44945</v>
      </c>
      <c r="Z116" s="668" t="s">
        <v>259</v>
      </c>
      <c r="AA116" s="668" t="s">
        <v>653</v>
      </c>
      <c r="AB116" s="668" t="s">
        <v>504</v>
      </c>
      <c r="AC116" s="668">
        <v>80000000</v>
      </c>
    </row>
    <row r="117" spans="1:29">
      <c r="A117" s="668">
        <v>172</v>
      </c>
      <c r="B117" s="668">
        <v>48</v>
      </c>
      <c r="C117" s="668">
        <v>78358</v>
      </c>
      <c r="D117" s="668">
        <v>190</v>
      </c>
      <c r="E117" s="668" t="s">
        <v>673</v>
      </c>
      <c r="F117" s="668" t="s">
        <v>720</v>
      </c>
      <c r="G117" s="668">
        <v>901574914</v>
      </c>
      <c r="H117" s="668" t="s">
        <v>915</v>
      </c>
      <c r="I117" s="668" t="s">
        <v>1538</v>
      </c>
      <c r="J117" s="668" t="s">
        <v>503</v>
      </c>
      <c r="K117" s="668" t="s">
        <v>916</v>
      </c>
      <c r="L117" s="668">
        <v>349568</v>
      </c>
      <c r="M117" s="298">
        <v>44939</v>
      </c>
      <c r="N117" s="812">
        <v>4858906</v>
      </c>
      <c r="O117" s="812">
        <v>0</v>
      </c>
      <c r="P117" s="812">
        <v>0</v>
      </c>
      <c r="Q117" s="812">
        <v>0</v>
      </c>
      <c r="R117" s="812">
        <v>0</v>
      </c>
      <c r="S117" s="812">
        <v>4858906</v>
      </c>
      <c r="T117" s="668">
        <v>349568</v>
      </c>
      <c r="U117" s="298">
        <v>44945</v>
      </c>
      <c r="V117" s="668" t="s">
        <v>261</v>
      </c>
      <c r="W117" s="668"/>
      <c r="X117" s="668"/>
      <c r="Y117" s="298">
        <v>44945</v>
      </c>
      <c r="Z117" s="668" t="s">
        <v>259</v>
      </c>
      <c r="AA117" s="668" t="s">
        <v>653</v>
      </c>
      <c r="AB117" s="668" t="s">
        <v>504</v>
      </c>
      <c r="AC117" s="668">
        <v>79999620</v>
      </c>
    </row>
    <row r="118" spans="1:29">
      <c r="A118" s="668">
        <v>172</v>
      </c>
      <c r="B118" s="668">
        <v>49</v>
      </c>
      <c r="C118" s="668">
        <v>75029</v>
      </c>
      <c r="D118" s="668">
        <v>190</v>
      </c>
      <c r="E118" s="668" t="s">
        <v>673</v>
      </c>
      <c r="F118" s="668" t="s">
        <v>790</v>
      </c>
      <c r="G118" s="668">
        <v>88235364</v>
      </c>
      <c r="H118" s="668" t="s">
        <v>844</v>
      </c>
      <c r="I118" s="668" t="s">
        <v>1539</v>
      </c>
      <c r="J118" s="668" t="s">
        <v>503</v>
      </c>
      <c r="K118" s="668" t="s">
        <v>845</v>
      </c>
      <c r="L118" s="668">
        <v>349622</v>
      </c>
      <c r="M118" s="298">
        <v>44939</v>
      </c>
      <c r="N118" s="812">
        <v>600000</v>
      </c>
      <c r="O118" s="812">
        <v>0</v>
      </c>
      <c r="P118" s="812">
        <v>0</v>
      </c>
      <c r="Q118" s="812">
        <v>0</v>
      </c>
      <c r="R118" s="812">
        <v>0</v>
      </c>
      <c r="S118" s="812">
        <v>600000</v>
      </c>
      <c r="T118" s="668">
        <v>349622</v>
      </c>
      <c r="U118" s="298">
        <v>44945</v>
      </c>
      <c r="V118" s="668" t="s">
        <v>261</v>
      </c>
      <c r="W118" s="668"/>
      <c r="X118" s="668"/>
      <c r="Y118" s="298">
        <v>44945</v>
      </c>
      <c r="Z118" s="668" t="s">
        <v>259</v>
      </c>
      <c r="AA118" s="668" t="s">
        <v>680</v>
      </c>
      <c r="AB118" s="668" t="s">
        <v>504</v>
      </c>
      <c r="AC118" s="668">
        <v>79955681</v>
      </c>
    </row>
    <row r="119" spans="1:29">
      <c r="A119" s="668">
        <v>172</v>
      </c>
      <c r="B119" s="668">
        <v>50</v>
      </c>
      <c r="C119" s="668">
        <v>78407</v>
      </c>
      <c r="D119" s="668">
        <v>191</v>
      </c>
      <c r="E119" s="668" t="s">
        <v>722</v>
      </c>
      <c r="F119" s="668" t="s">
        <v>724</v>
      </c>
      <c r="G119" s="668">
        <v>79299899</v>
      </c>
      <c r="H119" s="668" t="s">
        <v>734</v>
      </c>
      <c r="I119" s="668" t="s">
        <v>1540</v>
      </c>
      <c r="J119" s="668" t="s">
        <v>503</v>
      </c>
      <c r="K119" s="668" t="s">
        <v>735</v>
      </c>
      <c r="L119" s="668">
        <v>349624</v>
      </c>
      <c r="M119" s="298">
        <v>44939</v>
      </c>
      <c r="N119" s="812">
        <v>1500000</v>
      </c>
      <c r="O119" s="812">
        <v>52500</v>
      </c>
      <c r="P119" s="812">
        <v>0</v>
      </c>
      <c r="Q119" s="812">
        <v>0</v>
      </c>
      <c r="R119" s="812">
        <v>0</v>
      </c>
      <c r="S119" s="812">
        <v>1447500</v>
      </c>
      <c r="T119" s="668">
        <v>349624</v>
      </c>
      <c r="U119" s="298">
        <v>44945</v>
      </c>
      <c r="V119" s="668" t="s">
        <v>261</v>
      </c>
      <c r="W119" s="668"/>
      <c r="X119" s="668"/>
      <c r="Y119" s="298">
        <v>44945</v>
      </c>
      <c r="Z119" s="668" t="s">
        <v>725</v>
      </c>
      <c r="AA119" s="668" t="s">
        <v>653</v>
      </c>
      <c r="AB119" s="668" t="s">
        <v>504</v>
      </c>
      <c r="AC119" s="668">
        <v>80000000</v>
      </c>
    </row>
    <row r="120" spans="1:29">
      <c r="A120" s="668">
        <v>172</v>
      </c>
      <c r="B120" s="668">
        <v>51</v>
      </c>
      <c r="C120" s="668">
        <v>74482</v>
      </c>
      <c r="D120" s="668">
        <v>184</v>
      </c>
      <c r="E120" s="668" t="s">
        <v>521</v>
      </c>
      <c r="F120" s="668" t="s">
        <v>885</v>
      </c>
      <c r="G120" s="668">
        <v>860021302</v>
      </c>
      <c r="H120" s="668" t="s">
        <v>1541</v>
      </c>
      <c r="I120" s="668" t="s">
        <v>1542</v>
      </c>
      <c r="J120" s="668" t="s">
        <v>507</v>
      </c>
      <c r="K120" s="668" t="s">
        <v>1543</v>
      </c>
      <c r="L120" s="668">
        <v>342452</v>
      </c>
      <c r="M120" s="298">
        <v>44939</v>
      </c>
      <c r="N120" s="812">
        <v>17978520</v>
      </c>
      <c r="O120" s="812">
        <v>0</v>
      </c>
      <c r="P120" s="812">
        <v>0</v>
      </c>
      <c r="Q120" s="812">
        <v>0</v>
      </c>
      <c r="R120" s="812">
        <v>0</v>
      </c>
      <c r="S120" s="812">
        <v>17978520</v>
      </c>
      <c r="T120" s="668">
        <v>342452</v>
      </c>
      <c r="U120" s="298">
        <v>44945</v>
      </c>
      <c r="V120" s="668" t="s">
        <v>261</v>
      </c>
      <c r="W120" s="668"/>
      <c r="X120" s="668"/>
      <c r="Y120" s="298">
        <v>44945</v>
      </c>
      <c r="Z120" s="668" t="s">
        <v>254</v>
      </c>
      <c r="AA120" s="668" t="s">
        <v>539</v>
      </c>
      <c r="AB120" s="668" t="s">
        <v>647</v>
      </c>
      <c r="AC120" s="668">
        <v>123557020</v>
      </c>
    </row>
    <row r="121" spans="1:29">
      <c r="A121" s="668">
        <v>172</v>
      </c>
      <c r="B121" s="668">
        <v>52</v>
      </c>
      <c r="C121" s="668">
        <v>74479</v>
      </c>
      <c r="D121" s="668">
        <v>184</v>
      </c>
      <c r="E121" s="668" t="s">
        <v>521</v>
      </c>
      <c r="F121" s="668" t="s">
        <v>571</v>
      </c>
      <c r="G121" s="668">
        <v>71879130</v>
      </c>
      <c r="H121" s="668" t="s">
        <v>1544</v>
      </c>
      <c r="I121" s="668" t="s">
        <v>1545</v>
      </c>
      <c r="J121" s="668" t="s">
        <v>503</v>
      </c>
      <c r="K121" s="668" t="s">
        <v>1546</v>
      </c>
      <c r="L121" s="668">
        <v>349545</v>
      </c>
      <c r="M121" s="298">
        <v>44939</v>
      </c>
      <c r="N121" s="812">
        <v>4120000</v>
      </c>
      <c r="O121" s="812">
        <v>103000</v>
      </c>
      <c r="P121" s="812">
        <v>0</v>
      </c>
      <c r="Q121" s="812">
        <v>0</v>
      </c>
      <c r="R121" s="812">
        <v>0</v>
      </c>
      <c r="S121" s="812">
        <v>4017000</v>
      </c>
      <c r="T121" s="668">
        <v>349545</v>
      </c>
      <c r="U121" s="298">
        <v>44945</v>
      </c>
      <c r="V121" s="668" t="s">
        <v>261</v>
      </c>
      <c r="W121" s="668"/>
      <c r="X121" s="668"/>
      <c r="Y121" s="298">
        <v>44945</v>
      </c>
      <c r="Z121" s="668" t="s">
        <v>254</v>
      </c>
      <c r="AA121" s="668" t="s">
        <v>539</v>
      </c>
      <c r="AB121" s="668" t="s">
        <v>647</v>
      </c>
      <c r="AC121" s="668">
        <v>123561591</v>
      </c>
    </row>
    <row r="122" spans="1:29">
      <c r="A122" s="668">
        <v>172</v>
      </c>
      <c r="B122" s="668">
        <v>53</v>
      </c>
      <c r="C122" s="668">
        <v>74121</v>
      </c>
      <c r="D122" s="668">
        <v>177</v>
      </c>
      <c r="E122" s="668" t="s">
        <v>537</v>
      </c>
      <c r="F122" s="668" t="s">
        <v>810</v>
      </c>
      <c r="G122" s="668">
        <v>800031963</v>
      </c>
      <c r="H122" s="668" t="s">
        <v>811</v>
      </c>
      <c r="I122" s="668" t="s">
        <v>1547</v>
      </c>
      <c r="J122" s="668" t="s">
        <v>507</v>
      </c>
      <c r="K122" s="668" t="s">
        <v>549</v>
      </c>
      <c r="L122" s="668">
        <v>349724</v>
      </c>
      <c r="M122" s="298">
        <v>44939</v>
      </c>
      <c r="N122" s="812">
        <v>523600</v>
      </c>
      <c r="O122" s="812">
        <v>0</v>
      </c>
      <c r="P122" s="812">
        <v>0</v>
      </c>
      <c r="Q122" s="812">
        <v>3520</v>
      </c>
      <c r="R122" s="812">
        <v>0</v>
      </c>
      <c r="S122" s="812">
        <v>520080</v>
      </c>
      <c r="T122" s="668">
        <v>349724</v>
      </c>
      <c r="U122" s="298">
        <v>44945</v>
      </c>
      <c r="V122" s="668" t="s">
        <v>261</v>
      </c>
      <c r="W122" s="668"/>
      <c r="X122" s="668"/>
      <c r="Y122" s="298">
        <v>44945</v>
      </c>
      <c r="Z122" s="668" t="s">
        <v>254</v>
      </c>
      <c r="AA122" s="668" t="s">
        <v>538</v>
      </c>
      <c r="AB122" s="668" t="s">
        <v>647</v>
      </c>
      <c r="AC122" s="668">
        <v>79880073</v>
      </c>
    </row>
    <row r="123" spans="1:29">
      <c r="A123" s="668">
        <v>172</v>
      </c>
      <c r="B123" s="668">
        <v>54</v>
      </c>
      <c r="C123" s="668">
        <v>76627</v>
      </c>
      <c r="D123" s="668">
        <v>187</v>
      </c>
      <c r="E123" s="668" t="s">
        <v>545</v>
      </c>
      <c r="F123" s="668" t="s">
        <v>658</v>
      </c>
      <c r="G123" s="668">
        <v>901259502</v>
      </c>
      <c r="H123" s="668" t="s">
        <v>1072</v>
      </c>
      <c r="I123" s="668" t="s">
        <v>1548</v>
      </c>
      <c r="J123" s="668" t="s">
        <v>503</v>
      </c>
      <c r="K123" s="668" t="s">
        <v>1073</v>
      </c>
      <c r="L123" s="668">
        <v>349750</v>
      </c>
      <c r="M123" s="298">
        <v>44939</v>
      </c>
      <c r="N123" s="812">
        <v>1500000</v>
      </c>
      <c r="O123" s="812">
        <v>165000</v>
      </c>
      <c r="P123" s="812">
        <v>0</v>
      </c>
      <c r="Q123" s="812">
        <v>0</v>
      </c>
      <c r="R123" s="812">
        <v>0</v>
      </c>
      <c r="S123" s="812">
        <v>1335000</v>
      </c>
      <c r="T123" s="668">
        <v>349750</v>
      </c>
      <c r="U123" s="298">
        <v>44945</v>
      </c>
      <c r="V123" s="668" t="s">
        <v>261</v>
      </c>
      <c r="W123" s="668"/>
      <c r="X123" s="668"/>
      <c r="Y123" s="298">
        <v>44945</v>
      </c>
      <c r="Z123" s="668" t="s">
        <v>284</v>
      </c>
      <c r="AA123" s="668" t="s">
        <v>543</v>
      </c>
      <c r="AB123" s="668" t="s">
        <v>505</v>
      </c>
      <c r="AC123" s="668">
        <v>119540045</v>
      </c>
    </row>
    <row r="124" spans="1:29">
      <c r="A124" s="668">
        <v>172</v>
      </c>
      <c r="B124" s="668">
        <v>55</v>
      </c>
      <c r="C124" s="668">
        <v>77909</v>
      </c>
      <c r="D124" s="668">
        <v>189</v>
      </c>
      <c r="E124" s="668" t="s">
        <v>664</v>
      </c>
      <c r="F124" s="668" t="s">
        <v>666</v>
      </c>
      <c r="G124" s="668">
        <v>51695636</v>
      </c>
      <c r="H124" s="668" t="s">
        <v>667</v>
      </c>
      <c r="I124" s="668" t="s">
        <v>1549</v>
      </c>
      <c r="J124" s="668" t="s">
        <v>503</v>
      </c>
      <c r="K124" s="668" t="s">
        <v>668</v>
      </c>
      <c r="L124" s="668">
        <v>349840</v>
      </c>
      <c r="M124" s="298">
        <v>44939</v>
      </c>
      <c r="N124" s="812">
        <v>500000</v>
      </c>
      <c r="O124" s="812">
        <v>0</v>
      </c>
      <c r="P124" s="812">
        <v>0</v>
      </c>
      <c r="Q124" s="812">
        <v>0</v>
      </c>
      <c r="R124" s="812">
        <v>0</v>
      </c>
      <c r="S124" s="812">
        <v>500000</v>
      </c>
      <c r="T124" s="668">
        <v>349840</v>
      </c>
      <c r="U124" s="298">
        <v>44945</v>
      </c>
      <c r="V124" s="668" t="s">
        <v>261</v>
      </c>
      <c r="W124" s="668"/>
      <c r="X124" s="668"/>
      <c r="Y124" s="298">
        <v>44945</v>
      </c>
      <c r="Z124" s="668" t="s">
        <v>258</v>
      </c>
      <c r="AA124" s="668" t="s">
        <v>661</v>
      </c>
      <c r="AB124" s="668" t="s">
        <v>506</v>
      </c>
      <c r="AC124" s="668">
        <v>79961924</v>
      </c>
    </row>
    <row r="125" spans="1:29">
      <c r="A125" s="668">
        <v>172</v>
      </c>
      <c r="B125" s="668">
        <v>56</v>
      </c>
      <c r="C125" s="668">
        <v>76627</v>
      </c>
      <c r="D125" s="668">
        <v>187</v>
      </c>
      <c r="E125" s="668" t="s">
        <v>545</v>
      </c>
      <c r="F125" s="668" t="s">
        <v>658</v>
      </c>
      <c r="G125" s="668">
        <v>18010361</v>
      </c>
      <c r="H125" s="668" t="s">
        <v>1550</v>
      </c>
      <c r="I125" s="668" t="s">
        <v>1551</v>
      </c>
      <c r="J125" s="668" t="s">
        <v>503</v>
      </c>
      <c r="K125" s="668" t="s">
        <v>1552</v>
      </c>
      <c r="L125" s="668">
        <v>349841</v>
      </c>
      <c r="M125" s="298">
        <v>44939</v>
      </c>
      <c r="N125" s="812">
        <v>127000</v>
      </c>
      <c r="O125" s="812">
        <v>0</v>
      </c>
      <c r="P125" s="812">
        <v>0</v>
      </c>
      <c r="Q125" s="812">
        <v>0</v>
      </c>
      <c r="R125" s="812">
        <v>0</v>
      </c>
      <c r="S125" s="812">
        <v>127000</v>
      </c>
      <c r="T125" s="668">
        <v>349841</v>
      </c>
      <c r="U125" s="298">
        <v>44945</v>
      </c>
      <c r="V125" s="668" t="s">
        <v>261</v>
      </c>
      <c r="W125" s="668"/>
      <c r="X125" s="668"/>
      <c r="Y125" s="298">
        <v>44945</v>
      </c>
      <c r="Z125" s="668" t="s">
        <v>284</v>
      </c>
      <c r="AA125" s="668" t="s">
        <v>543</v>
      </c>
      <c r="AB125" s="668" t="s">
        <v>505</v>
      </c>
      <c r="AC125" s="668">
        <v>119540045</v>
      </c>
    </row>
    <row r="126" spans="1:29">
      <c r="A126" s="668">
        <v>172</v>
      </c>
      <c r="B126" s="668">
        <v>57</v>
      </c>
      <c r="C126" s="668">
        <v>77909</v>
      </c>
      <c r="D126" s="668">
        <v>189</v>
      </c>
      <c r="E126" s="668" t="s">
        <v>664</v>
      </c>
      <c r="F126" s="668" t="s">
        <v>666</v>
      </c>
      <c r="G126" s="668">
        <v>24414776</v>
      </c>
      <c r="H126" s="668" t="s">
        <v>994</v>
      </c>
      <c r="I126" s="668" t="s">
        <v>1553</v>
      </c>
      <c r="J126" s="668" t="s">
        <v>503</v>
      </c>
      <c r="K126" s="668" t="s">
        <v>912</v>
      </c>
      <c r="L126" s="668">
        <v>349844</v>
      </c>
      <c r="M126" s="298">
        <v>44939</v>
      </c>
      <c r="N126" s="812">
        <v>660000</v>
      </c>
      <c r="O126" s="812">
        <v>0</v>
      </c>
      <c r="P126" s="812">
        <v>0</v>
      </c>
      <c r="Q126" s="812">
        <v>0</v>
      </c>
      <c r="R126" s="812">
        <v>0</v>
      </c>
      <c r="S126" s="812">
        <v>660000</v>
      </c>
      <c r="T126" s="668">
        <v>349844</v>
      </c>
      <c r="U126" s="298">
        <v>44945</v>
      </c>
      <c r="V126" s="668" t="s">
        <v>261</v>
      </c>
      <c r="W126" s="668"/>
      <c r="X126" s="668"/>
      <c r="Y126" s="298">
        <v>44945</v>
      </c>
      <c r="Z126" s="668" t="s">
        <v>258</v>
      </c>
      <c r="AA126" s="668" t="s">
        <v>661</v>
      </c>
      <c r="AB126" s="668" t="s">
        <v>506</v>
      </c>
      <c r="AC126" s="668">
        <v>79961924</v>
      </c>
    </row>
    <row r="127" spans="1:29">
      <c r="A127" s="668">
        <v>172</v>
      </c>
      <c r="B127" s="668">
        <v>58</v>
      </c>
      <c r="C127" s="668">
        <v>77909</v>
      </c>
      <c r="D127" s="668">
        <v>189</v>
      </c>
      <c r="E127" s="668" t="s">
        <v>664</v>
      </c>
      <c r="F127" s="668" t="s">
        <v>666</v>
      </c>
      <c r="G127" s="668">
        <v>901579270</v>
      </c>
      <c r="H127" s="668" t="s">
        <v>672</v>
      </c>
      <c r="I127" s="668" t="s">
        <v>1554</v>
      </c>
      <c r="J127" s="668" t="s">
        <v>503</v>
      </c>
      <c r="K127" s="668" t="s">
        <v>861</v>
      </c>
      <c r="L127" s="668">
        <v>349848</v>
      </c>
      <c r="M127" s="298">
        <v>44939</v>
      </c>
      <c r="N127" s="812">
        <v>3664596</v>
      </c>
      <c r="O127" s="812">
        <v>0</v>
      </c>
      <c r="P127" s="812">
        <v>0</v>
      </c>
      <c r="Q127" s="812">
        <v>0</v>
      </c>
      <c r="R127" s="812">
        <v>0</v>
      </c>
      <c r="S127" s="812">
        <v>3664596</v>
      </c>
      <c r="T127" s="668">
        <v>349848</v>
      </c>
      <c r="U127" s="298">
        <v>44945</v>
      </c>
      <c r="V127" s="668" t="s">
        <v>261</v>
      </c>
      <c r="W127" s="668"/>
      <c r="X127" s="668"/>
      <c r="Y127" s="298">
        <v>44945</v>
      </c>
      <c r="Z127" s="668" t="s">
        <v>258</v>
      </c>
      <c r="AA127" s="668" t="s">
        <v>661</v>
      </c>
      <c r="AB127" s="668" t="s">
        <v>506</v>
      </c>
      <c r="AC127" s="668">
        <v>79961924</v>
      </c>
    </row>
    <row r="128" spans="1:29">
      <c r="A128" s="668">
        <v>172</v>
      </c>
      <c r="B128" s="668">
        <v>59</v>
      </c>
      <c r="C128" s="668">
        <v>73451</v>
      </c>
      <c r="D128" s="668">
        <v>188</v>
      </c>
      <c r="E128" s="668" t="s">
        <v>714</v>
      </c>
      <c r="F128" s="668" t="s">
        <v>716</v>
      </c>
      <c r="G128" s="668">
        <v>900045398</v>
      </c>
      <c r="H128" s="668" t="s">
        <v>1555</v>
      </c>
      <c r="I128" s="668" t="s">
        <v>1556</v>
      </c>
      <c r="J128" s="668" t="s">
        <v>507</v>
      </c>
      <c r="K128" s="668" t="s">
        <v>1557</v>
      </c>
      <c r="L128" s="668">
        <v>349923</v>
      </c>
      <c r="M128" s="298">
        <v>44939</v>
      </c>
      <c r="N128" s="812">
        <v>2750000.16</v>
      </c>
      <c r="O128" s="812">
        <v>0</v>
      </c>
      <c r="P128" s="812">
        <v>0</v>
      </c>
      <c r="Q128" s="812">
        <v>0</v>
      </c>
      <c r="R128" s="812">
        <v>0</v>
      </c>
      <c r="S128" s="812">
        <v>2750000.16</v>
      </c>
      <c r="T128" s="668">
        <v>349923</v>
      </c>
      <c r="U128" s="298">
        <v>44945</v>
      </c>
      <c r="V128" s="668" t="s">
        <v>261</v>
      </c>
      <c r="W128" s="668"/>
      <c r="X128" s="668"/>
      <c r="Y128" s="298">
        <v>44945</v>
      </c>
      <c r="Z128" s="668" t="s">
        <v>256</v>
      </c>
      <c r="AA128" s="668" t="s">
        <v>650</v>
      </c>
      <c r="AB128" s="668" t="s">
        <v>504</v>
      </c>
      <c r="AC128" s="668">
        <v>79939464</v>
      </c>
    </row>
    <row r="129" spans="1:29">
      <c r="A129" s="668">
        <v>172</v>
      </c>
      <c r="B129" s="668">
        <v>60</v>
      </c>
      <c r="C129" s="668">
        <v>74874</v>
      </c>
      <c r="D129" s="668">
        <v>189</v>
      </c>
      <c r="E129" s="668" t="s">
        <v>664</v>
      </c>
      <c r="F129" s="668" t="s">
        <v>665</v>
      </c>
      <c r="G129" s="668">
        <v>901578549</v>
      </c>
      <c r="H129" s="668" t="s">
        <v>670</v>
      </c>
      <c r="I129" s="668" t="s">
        <v>1558</v>
      </c>
      <c r="J129" s="668" t="s">
        <v>503</v>
      </c>
      <c r="K129" s="668" t="s">
        <v>859</v>
      </c>
      <c r="L129" s="668">
        <v>349960</v>
      </c>
      <c r="M129" s="298">
        <v>44939</v>
      </c>
      <c r="N129" s="812">
        <v>5243888</v>
      </c>
      <c r="O129" s="812">
        <v>0</v>
      </c>
      <c r="P129" s="812">
        <v>0</v>
      </c>
      <c r="Q129" s="812">
        <v>0</v>
      </c>
      <c r="R129" s="812">
        <v>0</v>
      </c>
      <c r="S129" s="812">
        <v>5243888</v>
      </c>
      <c r="T129" s="668">
        <v>349960</v>
      </c>
      <c r="U129" s="298">
        <v>44945</v>
      </c>
      <c r="V129" s="668" t="s">
        <v>261</v>
      </c>
      <c r="W129" s="668"/>
      <c r="X129" s="668"/>
      <c r="Y129" s="298">
        <v>44945</v>
      </c>
      <c r="Z129" s="668" t="s">
        <v>258</v>
      </c>
      <c r="AA129" s="668" t="s">
        <v>661</v>
      </c>
      <c r="AB129" s="668" t="s">
        <v>506</v>
      </c>
      <c r="AC129" s="668">
        <v>77224710</v>
      </c>
    </row>
    <row r="130" spans="1:29">
      <c r="A130" s="668">
        <v>172</v>
      </c>
      <c r="B130" s="668">
        <v>61</v>
      </c>
      <c r="C130" s="668">
        <v>79207</v>
      </c>
      <c r="D130" s="668">
        <v>192</v>
      </c>
      <c r="E130" s="668" t="s">
        <v>681</v>
      </c>
      <c r="F130" s="668" t="s">
        <v>897</v>
      </c>
      <c r="G130" s="668">
        <v>901565556</v>
      </c>
      <c r="H130" s="668" t="s">
        <v>1426</v>
      </c>
      <c r="I130" s="668" t="s">
        <v>1559</v>
      </c>
      <c r="J130" s="668" t="s">
        <v>503</v>
      </c>
      <c r="K130" s="668" t="s">
        <v>1428</v>
      </c>
      <c r="L130" s="668">
        <v>347871</v>
      </c>
      <c r="M130" s="298">
        <v>44939</v>
      </c>
      <c r="N130" s="812">
        <v>3742836</v>
      </c>
      <c r="O130" s="812">
        <v>0</v>
      </c>
      <c r="P130" s="812">
        <v>0</v>
      </c>
      <c r="Q130" s="812">
        <v>0</v>
      </c>
      <c r="R130" s="812">
        <v>0</v>
      </c>
      <c r="S130" s="812">
        <v>3742836</v>
      </c>
      <c r="T130" s="668">
        <v>347871</v>
      </c>
      <c r="U130" s="298">
        <v>44945</v>
      </c>
      <c r="V130" s="668" t="s">
        <v>261</v>
      </c>
      <c r="W130" s="668"/>
      <c r="X130" s="668"/>
      <c r="Y130" s="298">
        <v>44945</v>
      </c>
      <c r="Z130" s="668" t="s">
        <v>260</v>
      </c>
      <c r="AA130" s="668" t="s">
        <v>662</v>
      </c>
      <c r="AB130" s="668" t="s">
        <v>505</v>
      </c>
      <c r="AC130" s="668">
        <v>80000000</v>
      </c>
    </row>
    <row r="131" spans="1:29">
      <c r="A131" s="668">
        <v>172</v>
      </c>
      <c r="B131" s="668">
        <v>62</v>
      </c>
      <c r="C131" s="668">
        <v>78059</v>
      </c>
      <c r="D131" s="668">
        <v>190</v>
      </c>
      <c r="E131" s="668" t="s">
        <v>673</v>
      </c>
      <c r="F131" s="668" t="s">
        <v>676</v>
      </c>
      <c r="G131" s="668">
        <v>1090409356</v>
      </c>
      <c r="H131" s="668" t="s">
        <v>732</v>
      </c>
      <c r="I131" s="668" t="s">
        <v>1560</v>
      </c>
      <c r="J131" s="668" t="s">
        <v>503</v>
      </c>
      <c r="K131" s="668" t="s">
        <v>866</v>
      </c>
      <c r="L131" s="668">
        <v>348955</v>
      </c>
      <c r="M131" s="298">
        <v>44939</v>
      </c>
      <c r="N131" s="812">
        <v>500000</v>
      </c>
      <c r="O131" s="812">
        <v>0</v>
      </c>
      <c r="P131" s="812">
        <v>0</v>
      </c>
      <c r="Q131" s="812">
        <v>0</v>
      </c>
      <c r="R131" s="812">
        <v>0</v>
      </c>
      <c r="S131" s="812">
        <v>500000</v>
      </c>
      <c r="T131" s="668">
        <v>348955</v>
      </c>
      <c r="U131" s="298">
        <v>44945</v>
      </c>
      <c r="V131" s="668" t="s">
        <v>261</v>
      </c>
      <c r="W131" s="668"/>
      <c r="X131" s="668"/>
      <c r="Y131" s="298">
        <v>44945</v>
      </c>
      <c r="Z131" s="668" t="s">
        <v>259</v>
      </c>
      <c r="AA131" s="668" t="s">
        <v>675</v>
      </c>
      <c r="AB131" s="668" t="s">
        <v>504</v>
      </c>
      <c r="AC131" s="668">
        <v>79951810</v>
      </c>
    </row>
    <row r="132" spans="1:29">
      <c r="A132" s="668">
        <v>172</v>
      </c>
      <c r="B132" s="668">
        <v>63</v>
      </c>
      <c r="C132" s="668">
        <v>79777</v>
      </c>
      <c r="D132" s="668">
        <v>191</v>
      </c>
      <c r="E132" s="668" t="s">
        <v>805</v>
      </c>
      <c r="F132" s="668" t="s">
        <v>1106</v>
      </c>
      <c r="G132" s="668">
        <v>1121832796</v>
      </c>
      <c r="H132" s="668" t="s">
        <v>1516</v>
      </c>
      <c r="I132" s="668" t="s">
        <v>1561</v>
      </c>
      <c r="J132" s="668" t="s">
        <v>503</v>
      </c>
      <c r="K132" s="668" t="s">
        <v>1518</v>
      </c>
      <c r="L132" s="668">
        <v>348971</v>
      </c>
      <c r="M132" s="298">
        <v>44939</v>
      </c>
      <c r="N132" s="812">
        <v>2000000</v>
      </c>
      <c r="O132" s="812">
        <v>0</v>
      </c>
      <c r="P132" s="812">
        <v>0</v>
      </c>
      <c r="Q132" s="812">
        <v>0</v>
      </c>
      <c r="R132" s="812">
        <v>0</v>
      </c>
      <c r="S132" s="812">
        <v>2000000</v>
      </c>
      <c r="T132" s="668">
        <v>348971</v>
      </c>
      <c r="U132" s="298">
        <v>44945</v>
      </c>
      <c r="V132" s="668" t="s">
        <v>261</v>
      </c>
      <c r="W132" s="668"/>
      <c r="X132" s="668"/>
      <c r="Y132" s="298">
        <v>44945</v>
      </c>
      <c r="Z132" s="668" t="s">
        <v>725</v>
      </c>
      <c r="AA132" s="668" t="s">
        <v>680</v>
      </c>
      <c r="AB132" s="668" t="s">
        <v>504</v>
      </c>
      <c r="AC132" s="668">
        <v>80000000</v>
      </c>
    </row>
    <row r="133" spans="1:29">
      <c r="A133" s="668">
        <v>172</v>
      </c>
      <c r="B133" s="668">
        <v>64</v>
      </c>
      <c r="C133" s="668">
        <v>78257</v>
      </c>
      <c r="D133" s="668">
        <v>191</v>
      </c>
      <c r="E133" s="668" t="s">
        <v>805</v>
      </c>
      <c r="F133" s="668" t="s">
        <v>949</v>
      </c>
      <c r="G133" s="668">
        <v>1122118626</v>
      </c>
      <c r="H133" s="668" t="s">
        <v>797</v>
      </c>
      <c r="I133" s="668" t="s">
        <v>1562</v>
      </c>
      <c r="J133" s="668" t="s">
        <v>503</v>
      </c>
      <c r="K133" s="668" t="s">
        <v>736</v>
      </c>
      <c r="L133" s="668">
        <v>349306</v>
      </c>
      <c r="M133" s="298">
        <v>44939</v>
      </c>
      <c r="N133" s="812">
        <v>400000</v>
      </c>
      <c r="O133" s="812">
        <v>0</v>
      </c>
      <c r="P133" s="812">
        <v>0</v>
      </c>
      <c r="Q133" s="812">
        <v>0</v>
      </c>
      <c r="R133" s="812">
        <v>0</v>
      </c>
      <c r="S133" s="812">
        <v>400000</v>
      </c>
      <c r="T133" s="668">
        <v>349306</v>
      </c>
      <c r="U133" s="298">
        <v>44945</v>
      </c>
      <c r="V133" s="668" t="s">
        <v>261</v>
      </c>
      <c r="W133" s="668"/>
      <c r="X133" s="668"/>
      <c r="Y133" s="298">
        <v>44945</v>
      </c>
      <c r="Z133" s="668" t="s">
        <v>725</v>
      </c>
      <c r="AA133" s="668" t="s">
        <v>662</v>
      </c>
      <c r="AB133" s="668" t="s">
        <v>504</v>
      </c>
      <c r="AC133" s="668">
        <v>80000000</v>
      </c>
    </row>
    <row r="134" spans="1:29">
      <c r="A134" s="668">
        <v>172</v>
      </c>
      <c r="B134" s="668">
        <v>65</v>
      </c>
      <c r="C134" s="668">
        <v>78400</v>
      </c>
      <c r="D134" s="668">
        <v>191</v>
      </c>
      <c r="E134" s="668" t="s">
        <v>805</v>
      </c>
      <c r="F134" s="668" t="s">
        <v>813</v>
      </c>
      <c r="G134" s="668">
        <v>1122118626</v>
      </c>
      <c r="H134" s="668" t="s">
        <v>797</v>
      </c>
      <c r="I134" s="668" t="s">
        <v>1563</v>
      </c>
      <c r="J134" s="668" t="s">
        <v>503</v>
      </c>
      <c r="K134" s="668" t="s">
        <v>736</v>
      </c>
      <c r="L134" s="668">
        <v>349307</v>
      </c>
      <c r="M134" s="298">
        <v>44939</v>
      </c>
      <c r="N134" s="812">
        <v>400000</v>
      </c>
      <c r="O134" s="812">
        <v>0</v>
      </c>
      <c r="P134" s="812">
        <v>0</v>
      </c>
      <c r="Q134" s="812">
        <v>0</v>
      </c>
      <c r="R134" s="812">
        <v>0</v>
      </c>
      <c r="S134" s="812">
        <v>400000</v>
      </c>
      <c r="T134" s="668">
        <v>349307</v>
      </c>
      <c r="U134" s="298">
        <v>44945</v>
      </c>
      <c r="V134" s="668" t="s">
        <v>261</v>
      </c>
      <c r="W134" s="668"/>
      <c r="X134" s="668"/>
      <c r="Y134" s="298">
        <v>44945</v>
      </c>
      <c r="Z134" s="668" t="s">
        <v>725</v>
      </c>
      <c r="AA134" s="668" t="s">
        <v>662</v>
      </c>
      <c r="AB134" s="668" t="s">
        <v>504</v>
      </c>
      <c r="AC134" s="668">
        <v>80000000</v>
      </c>
    </row>
    <row r="135" spans="1:29">
      <c r="A135" s="668">
        <v>172</v>
      </c>
      <c r="B135" s="668">
        <v>66</v>
      </c>
      <c r="C135" s="668">
        <v>74904</v>
      </c>
      <c r="D135" s="668">
        <v>189</v>
      </c>
      <c r="E135" s="668" t="s">
        <v>664</v>
      </c>
      <c r="F135" s="668" t="s">
        <v>840</v>
      </c>
      <c r="G135" s="668">
        <v>1088011872</v>
      </c>
      <c r="H135" s="668" t="s">
        <v>1461</v>
      </c>
      <c r="I135" s="668" t="s">
        <v>1564</v>
      </c>
      <c r="J135" s="668" t="s">
        <v>503</v>
      </c>
      <c r="K135" s="668" t="s">
        <v>1463</v>
      </c>
      <c r="L135" s="668">
        <v>349344</v>
      </c>
      <c r="M135" s="298">
        <v>44939</v>
      </c>
      <c r="N135" s="812">
        <v>1740000</v>
      </c>
      <c r="O135" s="812">
        <v>0</v>
      </c>
      <c r="P135" s="812">
        <v>0</v>
      </c>
      <c r="Q135" s="812">
        <v>0</v>
      </c>
      <c r="R135" s="812">
        <v>0</v>
      </c>
      <c r="S135" s="812">
        <v>1740000</v>
      </c>
      <c r="T135" s="668">
        <v>349344</v>
      </c>
      <c r="U135" s="298">
        <v>44945</v>
      </c>
      <c r="V135" s="668" t="s">
        <v>261</v>
      </c>
      <c r="W135" s="668"/>
      <c r="X135" s="668"/>
      <c r="Y135" s="298">
        <v>44945</v>
      </c>
      <c r="Z135" s="668" t="s">
        <v>258</v>
      </c>
      <c r="AA135" s="668" t="s">
        <v>661</v>
      </c>
      <c r="AB135" s="668" t="s">
        <v>506</v>
      </c>
      <c r="AC135" s="668">
        <v>79999977</v>
      </c>
    </row>
    <row r="136" spans="1:29">
      <c r="A136" s="668">
        <v>172</v>
      </c>
      <c r="B136" s="668">
        <v>67</v>
      </c>
      <c r="C136" s="668">
        <v>79223</v>
      </c>
      <c r="D136" s="668">
        <v>190</v>
      </c>
      <c r="E136" s="668" t="s">
        <v>673</v>
      </c>
      <c r="F136" s="668" t="s">
        <v>889</v>
      </c>
      <c r="G136" s="668">
        <v>830125152</v>
      </c>
      <c r="H136" s="668" t="s">
        <v>1565</v>
      </c>
      <c r="I136" s="668" t="s">
        <v>1566</v>
      </c>
      <c r="J136" s="668" t="s">
        <v>503</v>
      </c>
      <c r="K136" s="668" t="s">
        <v>1567</v>
      </c>
      <c r="L136" s="668">
        <v>349794</v>
      </c>
      <c r="M136" s="298">
        <v>44939</v>
      </c>
      <c r="N136" s="812">
        <v>2223648.2799999998</v>
      </c>
      <c r="O136" s="812">
        <v>46715.3</v>
      </c>
      <c r="P136" s="812">
        <v>0</v>
      </c>
      <c r="Q136" s="812">
        <v>20629.48</v>
      </c>
      <c r="R136" s="812">
        <v>0</v>
      </c>
      <c r="S136" s="812">
        <v>2156303.5</v>
      </c>
      <c r="T136" s="668">
        <v>349794</v>
      </c>
      <c r="U136" s="298">
        <v>44945</v>
      </c>
      <c r="V136" s="668" t="s">
        <v>261</v>
      </c>
      <c r="W136" s="668"/>
      <c r="X136" s="668"/>
      <c r="Y136" s="298">
        <v>44945</v>
      </c>
      <c r="Z136" s="668" t="s">
        <v>259</v>
      </c>
      <c r="AA136" s="668" t="s">
        <v>675</v>
      </c>
      <c r="AB136" s="668" t="s">
        <v>504</v>
      </c>
      <c r="AC136" s="668">
        <v>78133236</v>
      </c>
    </row>
    <row r="137" spans="1:29">
      <c r="A137" s="668">
        <v>172</v>
      </c>
      <c r="B137" s="668">
        <v>68</v>
      </c>
      <c r="C137" s="668">
        <v>73901</v>
      </c>
      <c r="D137" s="668">
        <v>187</v>
      </c>
      <c r="E137" s="668" t="s">
        <v>608</v>
      </c>
      <c r="F137" s="668" t="s">
        <v>713</v>
      </c>
      <c r="G137" s="668">
        <v>1123628690</v>
      </c>
      <c r="H137" s="668" t="s">
        <v>546</v>
      </c>
      <c r="I137" s="668" t="s">
        <v>1568</v>
      </c>
      <c r="J137" s="668" t="s">
        <v>503</v>
      </c>
      <c r="K137" s="668" t="s">
        <v>547</v>
      </c>
      <c r="L137" s="668">
        <v>350029</v>
      </c>
      <c r="M137" s="298">
        <v>44939</v>
      </c>
      <c r="N137" s="812">
        <v>600000</v>
      </c>
      <c r="O137" s="812">
        <v>0</v>
      </c>
      <c r="P137" s="812">
        <v>0</v>
      </c>
      <c r="Q137" s="812">
        <v>0</v>
      </c>
      <c r="R137" s="812">
        <v>0</v>
      </c>
      <c r="S137" s="812">
        <v>600000</v>
      </c>
      <c r="T137" s="668">
        <v>350029</v>
      </c>
      <c r="U137" s="298">
        <v>44945</v>
      </c>
      <c r="V137" s="668" t="s">
        <v>261</v>
      </c>
      <c r="W137" s="668"/>
      <c r="X137" s="668"/>
      <c r="Y137" s="298">
        <v>44945</v>
      </c>
      <c r="Z137" s="668" t="s">
        <v>284</v>
      </c>
      <c r="AA137" s="668" t="s">
        <v>543</v>
      </c>
      <c r="AB137" s="668" t="s">
        <v>505</v>
      </c>
      <c r="AC137" s="668">
        <v>119710567</v>
      </c>
    </row>
    <row r="138" spans="1:29">
      <c r="A138" s="668">
        <v>172</v>
      </c>
      <c r="B138" s="668">
        <v>69</v>
      </c>
      <c r="C138" s="668">
        <v>75457</v>
      </c>
      <c r="D138" s="668">
        <v>171</v>
      </c>
      <c r="E138" s="668" t="s">
        <v>619</v>
      </c>
      <c r="F138" s="668" t="s">
        <v>621</v>
      </c>
      <c r="G138" s="668">
        <v>1028003169</v>
      </c>
      <c r="H138" s="668" t="s">
        <v>635</v>
      </c>
      <c r="I138" s="668" t="s">
        <v>1569</v>
      </c>
      <c r="J138" s="668" t="s">
        <v>503</v>
      </c>
      <c r="K138" s="668" t="s">
        <v>636</v>
      </c>
      <c r="L138" s="668">
        <v>350030</v>
      </c>
      <c r="M138" s="298">
        <v>44939</v>
      </c>
      <c r="N138" s="812">
        <v>600000</v>
      </c>
      <c r="O138" s="812">
        <v>0</v>
      </c>
      <c r="P138" s="812">
        <v>0</v>
      </c>
      <c r="Q138" s="812">
        <v>0</v>
      </c>
      <c r="R138" s="812">
        <v>0</v>
      </c>
      <c r="S138" s="812">
        <v>600000</v>
      </c>
      <c r="T138" s="668">
        <v>350030</v>
      </c>
      <c r="U138" s="298">
        <v>44945</v>
      </c>
      <c r="V138" s="668" t="s">
        <v>261</v>
      </c>
      <c r="W138" s="668"/>
      <c r="X138" s="668"/>
      <c r="Y138" s="298">
        <v>44945</v>
      </c>
      <c r="Z138" s="668" t="s">
        <v>254</v>
      </c>
      <c r="AA138" s="668" t="s">
        <v>650</v>
      </c>
      <c r="AB138" s="668" t="s">
        <v>647</v>
      </c>
      <c r="AC138" s="668">
        <v>123999974</v>
      </c>
    </row>
    <row r="139" spans="1:29">
      <c r="A139" s="668">
        <v>172</v>
      </c>
      <c r="B139" s="668">
        <v>70</v>
      </c>
      <c r="C139" s="668">
        <v>71473</v>
      </c>
      <c r="D139" s="668">
        <v>190</v>
      </c>
      <c r="E139" s="668" t="s">
        <v>673</v>
      </c>
      <c r="F139" s="668" t="s">
        <v>1024</v>
      </c>
      <c r="G139" s="668">
        <v>1098710833</v>
      </c>
      <c r="H139" s="668" t="s">
        <v>1570</v>
      </c>
      <c r="I139" s="668" t="s">
        <v>1571</v>
      </c>
      <c r="J139" s="668" t="s">
        <v>503</v>
      </c>
      <c r="K139" s="668" t="s">
        <v>1572</v>
      </c>
      <c r="L139" s="668">
        <v>345482</v>
      </c>
      <c r="M139" s="298">
        <v>44939</v>
      </c>
      <c r="N139" s="812">
        <v>3042155</v>
      </c>
      <c r="O139" s="812">
        <v>0</v>
      </c>
      <c r="P139" s="812">
        <v>0</v>
      </c>
      <c r="Q139" s="812">
        <v>0</v>
      </c>
      <c r="R139" s="812">
        <v>0</v>
      </c>
      <c r="S139" s="812">
        <v>3042155</v>
      </c>
      <c r="T139" s="668">
        <v>345482</v>
      </c>
      <c r="U139" s="298">
        <v>44945</v>
      </c>
      <c r="V139" s="668" t="s">
        <v>261</v>
      </c>
      <c r="W139" s="668"/>
      <c r="X139" s="668"/>
      <c r="Y139" s="298">
        <v>44945</v>
      </c>
      <c r="Z139" s="668" t="s">
        <v>259</v>
      </c>
      <c r="AA139" s="668" t="s">
        <v>675</v>
      </c>
      <c r="AB139" s="668" t="s">
        <v>504</v>
      </c>
      <c r="AC139" s="668">
        <v>79991762</v>
      </c>
    </row>
    <row r="140" spans="1:29">
      <c r="A140" s="668">
        <v>172</v>
      </c>
      <c r="B140" s="668">
        <v>71</v>
      </c>
      <c r="C140" s="668">
        <v>74372</v>
      </c>
      <c r="D140" s="668">
        <v>178</v>
      </c>
      <c r="E140" s="668" t="s">
        <v>550</v>
      </c>
      <c r="F140" s="668" t="s">
        <v>565</v>
      </c>
      <c r="G140" s="668">
        <v>43466236</v>
      </c>
      <c r="H140" s="668" t="s">
        <v>657</v>
      </c>
      <c r="I140" s="668" t="s">
        <v>1573</v>
      </c>
      <c r="J140" s="668" t="s">
        <v>503</v>
      </c>
      <c r="K140" s="668" t="s">
        <v>846</v>
      </c>
      <c r="L140" s="668">
        <v>349458</v>
      </c>
      <c r="M140" s="298">
        <v>44939</v>
      </c>
      <c r="N140" s="812">
        <v>600000</v>
      </c>
      <c r="O140" s="812">
        <v>0</v>
      </c>
      <c r="P140" s="812">
        <v>0</v>
      </c>
      <c r="Q140" s="812">
        <v>0</v>
      </c>
      <c r="R140" s="812">
        <v>0</v>
      </c>
      <c r="S140" s="812">
        <v>600000</v>
      </c>
      <c r="T140" s="668">
        <v>349458</v>
      </c>
      <c r="U140" s="298">
        <v>44945</v>
      </c>
      <c r="V140" s="668" t="s">
        <v>261</v>
      </c>
      <c r="W140" s="668"/>
      <c r="X140" s="668"/>
      <c r="Y140" s="298">
        <v>44945</v>
      </c>
      <c r="Z140" s="668" t="s">
        <v>254</v>
      </c>
      <c r="AA140" s="668" t="s">
        <v>538</v>
      </c>
      <c r="AB140" s="668" t="s">
        <v>647</v>
      </c>
      <c r="AC140" s="668">
        <v>98077119</v>
      </c>
    </row>
    <row r="141" spans="1:29">
      <c r="A141" s="668">
        <v>172</v>
      </c>
      <c r="B141" s="668">
        <v>72</v>
      </c>
      <c r="C141" s="668">
        <v>78376</v>
      </c>
      <c r="D141" s="668">
        <v>191</v>
      </c>
      <c r="E141" s="668" t="s">
        <v>722</v>
      </c>
      <c r="F141" s="668" t="s">
        <v>727</v>
      </c>
      <c r="G141" s="668">
        <v>1122118626</v>
      </c>
      <c r="H141" s="668" t="s">
        <v>797</v>
      </c>
      <c r="I141" s="668" t="s">
        <v>1574</v>
      </c>
      <c r="J141" s="668" t="s">
        <v>503</v>
      </c>
      <c r="K141" s="668" t="s">
        <v>736</v>
      </c>
      <c r="L141" s="668">
        <v>349615</v>
      </c>
      <c r="M141" s="298">
        <v>44939</v>
      </c>
      <c r="N141" s="812">
        <v>450000</v>
      </c>
      <c r="O141" s="812">
        <v>0</v>
      </c>
      <c r="P141" s="812">
        <v>0</v>
      </c>
      <c r="Q141" s="812">
        <v>0</v>
      </c>
      <c r="R141" s="812">
        <v>0</v>
      </c>
      <c r="S141" s="812">
        <v>450000</v>
      </c>
      <c r="T141" s="668">
        <v>349615</v>
      </c>
      <c r="U141" s="298">
        <v>44945</v>
      </c>
      <c r="V141" s="668" t="s">
        <v>261</v>
      </c>
      <c r="W141" s="668"/>
      <c r="X141" s="668"/>
      <c r="Y141" s="298">
        <v>44945</v>
      </c>
      <c r="Z141" s="668" t="s">
        <v>725</v>
      </c>
      <c r="AA141" s="668" t="s">
        <v>653</v>
      </c>
      <c r="AB141" s="668" t="s">
        <v>504</v>
      </c>
      <c r="AC141" s="668">
        <v>80000000</v>
      </c>
    </row>
    <row r="142" spans="1:29">
      <c r="A142" s="668">
        <v>172</v>
      </c>
      <c r="B142" s="668">
        <v>73</v>
      </c>
      <c r="C142" s="668">
        <v>76937</v>
      </c>
      <c r="D142" s="668">
        <v>188</v>
      </c>
      <c r="E142" s="668" t="s">
        <v>582</v>
      </c>
      <c r="F142" s="668" t="s">
        <v>1020</v>
      </c>
      <c r="G142" s="668">
        <v>901561420</v>
      </c>
      <c r="H142" s="668" t="s">
        <v>1044</v>
      </c>
      <c r="I142" s="668" t="s">
        <v>1575</v>
      </c>
      <c r="J142" s="668" t="s">
        <v>503</v>
      </c>
      <c r="K142" s="668" t="s">
        <v>1045</v>
      </c>
      <c r="L142" s="668">
        <v>349808</v>
      </c>
      <c r="M142" s="298">
        <v>44939</v>
      </c>
      <c r="N142" s="812">
        <v>6238060</v>
      </c>
      <c r="O142" s="812">
        <v>0</v>
      </c>
      <c r="P142" s="812">
        <v>0</v>
      </c>
      <c r="Q142" s="812">
        <v>0</v>
      </c>
      <c r="R142" s="812">
        <v>0</v>
      </c>
      <c r="S142" s="812">
        <v>6238060</v>
      </c>
      <c r="T142" s="668">
        <v>349808</v>
      </c>
      <c r="U142" s="298">
        <v>44945</v>
      </c>
      <c r="V142" s="668" t="s">
        <v>261</v>
      </c>
      <c r="W142" s="668"/>
      <c r="X142" s="668"/>
      <c r="Y142" s="298">
        <v>44945</v>
      </c>
      <c r="Z142" s="668" t="s">
        <v>256</v>
      </c>
      <c r="AA142" s="668" t="s">
        <v>541</v>
      </c>
      <c r="AB142" s="668" t="s">
        <v>504</v>
      </c>
      <c r="AC142" s="668">
        <v>79005578</v>
      </c>
    </row>
    <row r="143" spans="1:29">
      <c r="A143" s="668">
        <v>172</v>
      </c>
      <c r="B143" s="668">
        <v>74</v>
      </c>
      <c r="C143" s="668">
        <v>75210</v>
      </c>
      <c r="D143" s="668">
        <v>190</v>
      </c>
      <c r="E143" s="668" t="s">
        <v>673</v>
      </c>
      <c r="F143" s="668" t="s">
        <v>718</v>
      </c>
      <c r="G143" s="668">
        <v>60355949</v>
      </c>
      <c r="H143" s="668" t="s">
        <v>913</v>
      </c>
      <c r="I143" s="668" t="s">
        <v>1576</v>
      </c>
      <c r="J143" s="668" t="s">
        <v>503</v>
      </c>
      <c r="K143" s="668" t="s">
        <v>914</v>
      </c>
      <c r="L143" s="668">
        <v>350101</v>
      </c>
      <c r="M143" s="298">
        <v>44939</v>
      </c>
      <c r="N143" s="812">
        <v>600000</v>
      </c>
      <c r="O143" s="812">
        <v>0</v>
      </c>
      <c r="P143" s="812">
        <v>0</v>
      </c>
      <c r="Q143" s="812">
        <v>0</v>
      </c>
      <c r="R143" s="812">
        <v>0</v>
      </c>
      <c r="S143" s="812">
        <v>600000</v>
      </c>
      <c r="T143" s="668">
        <v>350101</v>
      </c>
      <c r="U143" s="298">
        <v>44945</v>
      </c>
      <c r="V143" s="668" t="s">
        <v>261</v>
      </c>
      <c r="W143" s="668"/>
      <c r="X143" s="668"/>
      <c r="Y143" s="298">
        <v>44945</v>
      </c>
      <c r="Z143" s="668" t="s">
        <v>259</v>
      </c>
      <c r="AA143" s="668" t="s">
        <v>653</v>
      </c>
      <c r="AB143" s="668" t="s">
        <v>504</v>
      </c>
      <c r="AC143" s="668">
        <v>79041822</v>
      </c>
    </row>
    <row r="144" spans="1:29">
      <c r="A144" s="668">
        <v>172</v>
      </c>
      <c r="B144" s="668">
        <v>75</v>
      </c>
      <c r="C144" s="668">
        <v>75029</v>
      </c>
      <c r="D144" s="668">
        <v>190</v>
      </c>
      <c r="E144" s="668" t="s">
        <v>673</v>
      </c>
      <c r="F144" s="668" t="s">
        <v>790</v>
      </c>
      <c r="G144" s="668">
        <v>901576261</v>
      </c>
      <c r="H144" s="668" t="s">
        <v>978</v>
      </c>
      <c r="I144" s="668" t="s">
        <v>1577</v>
      </c>
      <c r="J144" s="668" t="s">
        <v>503</v>
      </c>
      <c r="K144" s="668" t="s">
        <v>979</v>
      </c>
      <c r="L144" s="668">
        <v>350158</v>
      </c>
      <c r="M144" s="298">
        <v>44939</v>
      </c>
      <c r="N144" s="812">
        <v>3622836</v>
      </c>
      <c r="O144" s="812">
        <v>0</v>
      </c>
      <c r="P144" s="812">
        <v>0</v>
      </c>
      <c r="Q144" s="812">
        <v>0</v>
      </c>
      <c r="R144" s="812">
        <v>0</v>
      </c>
      <c r="S144" s="812">
        <v>3622836</v>
      </c>
      <c r="T144" s="668">
        <v>350158</v>
      </c>
      <c r="U144" s="298">
        <v>44945</v>
      </c>
      <c r="V144" s="668" t="s">
        <v>261</v>
      </c>
      <c r="W144" s="668"/>
      <c r="X144" s="668"/>
      <c r="Y144" s="298">
        <v>44945</v>
      </c>
      <c r="Z144" s="668" t="s">
        <v>259</v>
      </c>
      <c r="AA144" s="668" t="s">
        <v>680</v>
      </c>
      <c r="AB144" s="668" t="s">
        <v>504</v>
      </c>
      <c r="AC144" s="668">
        <v>79955681</v>
      </c>
    </row>
    <row r="145" spans="1:29">
      <c r="A145" s="668">
        <v>172</v>
      </c>
      <c r="B145" s="668">
        <v>76</v>
      </c>
      <c r="C145" s="668">
        <v>74226</v>
      </c>
      <c r="D145" s="668">
        <v>176</v>
      </c>
      <c r="E145" s="668" t="s">
        <v>572</v>
      </c>
      <c r="F145" s="668" t="s">
        <v>1345</v>
      </c>
      <c r="G145" s="668">
        <v>901498759</v>
      </c>
      <c r="H145" s="668" t="s">
        <v>1368</v>
      </c>
      <c r="I145" s="668" t="s">
        <v>1578</v>
      </c>
      <c r="J145" s="668" t="s">
        <v>503</v>
      </c>
      <c r="K145" s="668" t="s">
        <v>1370</v>
      </c>
      <c r="L145" s="668">
        <v>350239</v>
      </c>
      <c r="M145" s="298">
        <v>44939</v>
      </c>
      <c r="N145" s="812">
        <v>1242392</v>
      </c>
      <c r="O145" s="812">
        <v>0</v>
      </c>
      <c r="P145" s="812">
        <v>0</v>
      </c>
      <c r="Q145" s="812">
        <v>0</v>
      </c>
      <c r="R145" s="812">
        <v>0</v>
      </c>
      <c r="S145" s="812">
        <v>1242392</v>
      </c>
      <c r="T145" s="668">
        <v>350239</v>
      </c>
      <c r="U145" s="298">
        <v>44945</v>
      </c>
      <c r="V145" s="668" t="s">
        <v>261</v>
      </c>
      <c r="W145" s="668"/>
      <c r="X145" s="668"/>
      <c r="Y145" s="298">
        <v>44945</v>
      </c>
      <c r="Z145" s="668" t="s">
        <v>255</v>
      </c>
      <c r="AA145" s="668" t="s">
        <v>542</v>
      </c>
      <c r="AB145" s="668" t="s">
        <v>506</v>
      </c>
      <c r="AC145" s="668">
        <v>84000000</v>
      </c>
    </row>
    <row r="146" spans="1:29">
      <c r="A146" s="668">
        <v>172</v>
      </c>
      <c r="B146" s="668">
        <v>77</v>
      </c>
      <c r="C146" s="668">
        <v>74462</v>
      </c>
      <c r="D146" s="668">
        <v>185</v>
      </c>
      <c r="E146" s="668" t="s">
        <v>566</v>
      </c>
      <c r="F146" s="668" t="s">
        <v>803</v>
      </c>
      <c r="G146" s="668">
        <v>901555067</v>
      </c>
      <c r="H146" s="668" t="s">
        <v>1579</v>
      </c>
      <c r="I146" s="668" t="s">
        <v>1580</v>
      </c>
      <c r="J146" s="668" t="s">
        <v>503</v>
      </c>
      <c r="K146" s="668" t="s">
        <v>1581</v>
      </c>
      <c r="L146" s="668">
        <v>350337</v>
      </c>
      <c r="M146" s="298">
        <v>44939</v>
      </c>
      <c r="N146" s="812">
        <v>3990932</v>
      </c>
      <c r="O146" s="812">
        <v>0</v>
      </c>
      <c r="P146" s="812">
        <v>0</v>
      </c>
      <c r="Q146" s="812">
        <v>0</v>
      </c>
      <c r="R146" s="812">
        <v>0</v>
      </c>
      <c r="S146" s="812">
        <v>3990932</v>
      </c>
      <c r="T146" s="668">
        <v>350337</v>
      </c>
      <c r="U146" s="298">
        <v>44945</v>
      </c>
      <c r="V146" s="668" t="s">
        <v>261</v>
      </c>
      <c r="W146" s="668"/>
      <c r="X146" s="668"/>
      <c r="Y146" s="298">
        <v>44945</v>
      </c>
      <c r="Z146" s="668" t="s">
        <v>254</v>
      </c>
      <c r="AA146" s="668" t="s">
        <v>544</v>
      </c>
      <c r="AB146" s="668" t="s">
        <v>647</v>
      </c>
      <c r="AC146" s="668">
        <v>79968044</v>
      </c>
    </row>
    <row r="147" spans="1:29">
      <c r="A147" s="668">
        <v>172</v>
      </c>
      <c r="B147" s="668">
        <v>78</v>
      </c>
      <c r="C147" s="668">
        <v>73268</v>
      </c>
      <c r="D147" s="668">
        <v>188</v>
      </c>
      <c r="E147" s="668" t="s">
        <v>582</v>
      </c>
      <c r="F147" s="668" t="s">
        <v>663</v>
      </c>
      <c r="G147" s="668">
        <v>901532373</v>
      </c>
      <c r="H147" s="668" t="s">
        <v>1059</v>
      </c>
      <c r="I147" s="668" t="s">
        <v>1582</v>
      </c>
      <c r="J147" s="668" t="s">
        <v>503</v>
      </c>
      <c r="K147" s="668" t="s">
        <v>1060</v>
      </c>
      <c r="L147" s="668">
        <v>350346</v>
      </c>
      <c r="M147" s="298">
        <v>44939</v>
      </c>
      <c r="N147" s="812">
        <v>2360103</v>
      </c>
      <c r="O147" s="812">
        <v>0</v>
      </c>
      <c r="P147" s="812">
        <v>0</v>
      </c>
      <c r="Q147" s="812">
        <v>0</v>
      </c>
      <c r="R147" s="812">
        <v>0</v>
      </c>
      <c r="S147" s="812">
        <v>2360103</v>
      </c>
      <c r="T147" s="668">
        <v>350346</v>
      </c>
      <c r="U147" s="298">
        <v>44945</v>
      </c>
      <c r="V147" s="668" t="s">
        <v>261</v>
      </c>
      <c r="W147" s="668"/>
      <c r="X147" s="668"/>
      <c r="Y147" s="298">
        <v>44945</v>
      </c>
      <c r="Z147" s="668" t="s">
        <v>256</v>
      </c>
      <c r="AA147" s="668" t="s">
        <v>541</v>
      </c>
      <c r="AB147" s="668" t="s">
        <v>504</v>
      </c>
      <c r="AC147" s="668">
        <v>79292099</v>
      </c>
    </row>
    <row r="148" spans="1:29">
      <c r="A148" s="668">
        <v>172</v>
      </c>
      <c r="B148" s="668">
        <v>79</v>
      </c>
      <c r="C148" s="668">
        <v>74484</v>
      </c>
      <c r="D148" s="668">
        <v>185</v>
      </c>
      <c r="E148" s="668" t="s">
        <v>702</v>
      </c>
      <c r="F148" s="668" t="s">
        <v>703</v>
      </c>
      <c r="G148" s="668">
        <v>1039690196</v>
      </c>
      <c r="H148" s="668" t="s">
        <v>463</v>
      </c>
      <c r="I148" s="668" t="s">
        <v>1583</v>
      </c>
      <c r="J148" s="668" t="s">
        <v>503</v>
      </c>
      <c r="K148" s="668" t="s">
        <v>464</v>
      </c>
      <c r="L148" s="668">
        <v>346721</v>
      </c>
      <c r="M148" s="298">
        <v>44939</v>
      </c>
      <c r="N148" s="812">
        <v>600000</v>
      </c>
      <c r="O148" s="812">
        <v>0</v>
      </c>
      <c r="P148" s="812">
        <v>0</v>
      </c>
      <c r="Q148" s="812">
        <v>0</v>
      </c>
      <c r="R148" s="812">
        <v>0</v>
      </c>
      <c r="S148" s="812">
        <v>600000</v>
      </c>
      <c r="T148" s="668">
        <v>346721</v>
      </c>
      <c r="U148" s="298">
        <v>44945</v>
      </c>
      <c r="V148" s="668" t="s">
        <v>261</v>
      </c>
      <c r="W148" s="668"/>
      <c r="X148" s="668"/>
      <c r="Y148" s="298">
        <v>44945</v>
      </c>
      <c r="Z148" s="668" t="s">
        <v>254</v>
      </c>
      <c r="AA148" s="668" t="s">
        <v>650</v>
      </c>
      <c r="AB148" s="668" t="s">
        <v>647</v>
      </c>
      <c r="AC148" s="668">
        <v>66776960</v>
      </c>
    </row>
    <row r="149" spans="1:29">
      <c r="A149" s="668">
        <v>172</v>
      </c>
      <c r="B149" s="668">
        <v>80</v>
      </c>
      <c r="C149" s="668">
        <v>75154</v>
      </c>
      <c r="D149" s="668">
        <v>190</v>
      </c>
      <c r="E149" s="668" t="s">
        <v>673</v>
      </c>
      <c r="F149" s="668" t="s">
        <v>843</v>
      </c>
      <c r="G149" s="668">
        <v>1005237421</v>
      </c>
      <c r="H149" s="668" t="s">
        <v>1584</v>
      </c>
      <c r="I149" s="668" t="s">
        <v>1585</v>
      </c>
      <c r="J149" s="668" t="s">
        <v>503</v>
      </c>
      <c r="K149" s="668" t="s">
        <v>1586</v>
      </c>
      <c r="L149" s="668">
        <v>349231</v>
      </c>
      <c r="M149" s="298">
        <v>44939</v>
      </c>
      <c r="N149" s="812">
        <v>6875000</v>
      </c>
      <c r="O149" s="812">
        <v>240625</v>
      </c>
      <c r="P149" s="812">
        <v>0</v>
      </c>
      <c r="Q149" s="812">
        <v>0</v>
      </c>
      <c r="R149" s="812">
        <v>0</v>
      </c>
      <c r="S149" s="812">
        <v>6634375</v>
      </c>
      <c r="T149" s="668">
        <v>349231</v>
      </c>
      <c r="U149" s="298">
        <v>44945</v>
      </c>
      <c r="V149" s="668" t="s">
        <v>261</v>
      </c>
      <c r="W149" s="668"/>
      <c r="X149" s="668"/>
      <c r="Y149" s="298">
        <v>44945</v>
      </c>
      <c r="Z149" s="668" t="s">
        <v>259</v>
      </c>
      <c r="AA149" s="668" t="s">
        <v>680</v>
      </c>
      <c r="AB149" s="668" t="s">
        <v>504</v>
      </c>
      <c r="AC149" s="668">
        <v>79949342</v>
      </c>
    </row>
    <row r="150" spans="1:29">
      <c r="A150" s="668">
        <v>172</v>
      </c>
      <c r="B150" s="668">
        <v>81</v>
      </c>
      <c r="C150" s="668">
        <v>74121</v>
      </c>
      <c r="D150" s="668">
        <v>177</v>
      </c>
      <c r="E150" s="668" t="s">
        <v>537</v>
      </c>
      <c r="F150" s="668" t="s">
        <v>810</v>
      </c>
      <c r="G150" s="668">
        <v>1001015207</v>
      </c>
      <c r="H150" s="668" t="s">
        <v>976</v>
      </c>
      <c r="I150" s="668" t="s">
        <v>1587</v>
      </c>
      <c r="J150" s="668" t="s">
        <v>503</v>
      </c>
      <c r="K150" s="668" t="s">
        <v>977</v>
      </c>
      <c r="L150" s="668">
        <v>349723</v>
      </c>
      <c r="M150" s="298">
        <v>44939</v>
      </c>
      <c r="N150" s="812">
        <v>623235</v>
      </c>
      <c r="O150" s="812">
        <v>0</v>
      </c>
      <c r="P150" s="812">
        <v>0</v>
      </c>
      <c r="Q150" s="812">
        <v>0</v>
      </c>
      <c r="R150" s="812">
        <v>0</v>
      </c>
      <c r="S150" s="812">
        <v>623235</v>
      </c>
      <c r="T150" s="668">
        <v>349723</v>
      </c>
      <c r="U150" s="298">
        <v>44945</v>
      </c>
      <c r="V150" s="668" t="s">
        <v>261</v>
      </c>
      <c r="W150" s="668"/>
      <c r="X150" s="668"/>
      <c r="Y150" s="298">
        <v>44945</v>
      </c>
      <c r="Z150" s="668" t="s">
        <v>254</v>
      </c>
      <c r="AA150" s="668" t="s">
        <v>538</v>
      </c>
      <c r="AB150" s="668" t="s">
        <v>647</v>
      </c>
      <c r="AC150" s="668">
        <v>79880073</v>
      </c>
    </row>
    <row r="151" spans="1:29">
      <c r="A151" s="668">
        <v>172</v>
      </c>
      <c r="B151" s="668">
        <v>82</v>
      </c>
      <c r="C151" s="668">
        <v>74360</v>
      </c>
      <c r="D151" s="668">
        <v>182</v>
      </c>
      <c r="E151" s="668" t="s">
        <v>1337</v>
      </c>
      <c r="F151" s="668" t="s">
        <v>1341</v>
      </c>
      <c r="G151" s="668">
        <v>900382415</v>
      </c>
      <c r="H151" s="668" t="s">
        <v>1588</v>
      </c>
      <c r="I151" s="668" t="s">
        <v>1589</v>
      </c>
      <c r="J151" s="668" t="s">
        <v>503</v>
      </c>
      <c r="K151" s="668" t="s">
        <v>1590</v>
      </c>
      <c r="L151" s="668">
        <v>349809</v>
      </c>
      <c r="M151" s="298">
        <v>44939</v>
      </c>
      <c r="N151" s="812">
        <v>30259573</v>
      </c>
      <c r="O151" s="812">
        <v>1271410.6299999999</v>
      </c>
      <c r="P151" s="812">
        <v>0</v>
      </c>
      <c r="Q151" s="812">
        <v>101712.85</v>
      </c>
      <c r="R151" s="812">
        <v>0</v>
      </c>
      <c r="S151" s="812">
        <v>28886449.52</v>
      </c>
      <c r="T151" s="668">
        <v>349809</v>
      </c>
      <c r="U151" s="298">
        <v>44945</v>
      </c>
      <c r="V151" s="668" t="s">
        <v>261</v>
      </c>
      <c r="W151" s="668"/>
      <c r="X151" s="668"/>
      <c r="Y151" s="298">
        <v>44945</v>
      </c>
      <c r="Z151" s="668" t="s">
        <v>257</v>
      </c>
      <c r="AA151" s="668" t="s">
        <v>1362</v>
      </c>
      <c r="AB151" s="668" t="s">
        <v>506</v>
      </c>
      <c r="AC151" s="668">
        <v>79996000</v>
      </c>
    </row>
    <row r="152" spans="1:29">
      <c r="A152" s="668">
        <v>172</v>
      </c>
      <c r="B152" s="668">
        <v>83</v>
      </c>
      <c r="C152" s="668">
        <v>76937</v>
      </c>
      <c r="D152" s="668">
        <v>188</v>
      </c>
      <c r="E152" s="668" t="s">
        <v>582</v>
      </c>
      <c r="F152" s="668" t="s">
        <v>1020</v>
      </c>
      <c r="G152" s="668">
        <v>75081451</v>
      </c>
      <c r="H152" s="668" t="s">
        <v>1591</v>
      </c>
      <c r="I152" s="668" t="s">
        <v>1592</v>
      </c>
      <c r="J152" s="668" t="s">
        <v>503</v>
      </c>
      <c r="K152" s="668" t="s">
        <v>1593</v>
      </c>
      <c r="L152" s="668">
        <v>349816</v>
      </c>
      <c r="M152" s="298">
        <v>44939</v>
      </c>
      <c r="N152" s="812">
        <v>1200000</v>
      </c>
      <c r="O152" s="812">
        <v>30000</v>
      </c>
      <c r="P152" s="812">
        <v>0</v>
      </c>
      <c r="Q152" s="812">
        <v>0</v>
      </c>
      <c r="R152" s="812">
        <v>0</v>
      </c>
      <c r="S152" s="812">
        <v>1170000</v>
      </c>
      <c r="T152" s="668">
        <v>349816</v>
      </c>
      <c r="U152" s="298">
        <v>44945</v>
      </c>
      <c r="V152" s="668" t="s">
        <v>261</v>
      </c>
      <c r="W152" s="668"/>
      <c r="X152" s="668"/>
      <c r="Y152" s="298">
        <v>44945</v>
      </c>
      <c r="Z152" s="668" t="s">
        <v>256</v>
      </c>
      <c r="AA152" s="668" t="s">
        <v>541</v>
      </c>
      <c r="AB152" s="668" t="s">
        <v>504</v>
      </c>
      <c r="AC152" s="668">
        <v>79005578</v>
      </c>
    </row>
    <row r="153" spans="1:29">
      <c r="A153" s="668">
        <v>172</v>
      </c>
      <c r="B153" s="668">
        <v>84</v>
      </c>
      <c r="C153" s="668">
        <v>76640</v>
      </c>
      <c r="D153" s="668">
        <v>188</v>
      </c>
      <c r="E153" s="668" t="s">
        <v>582</v>
      </c>
      <c r="F153" s="668" t="s">
        <v>612</v>
      </c>
      <c r="G153" s="668">
        <v>901555287</v>
      </c>
      <c r="H153" s="668" t="s">
        <v>906</v>
      </c>
      <c r="I153" s="668" t="s">
        <v>1594</v>
      </c>
      <c r="J153" s="668" t="s">
        <v>503</v>
      </c>
      <c r="K153" s="668" t="s">
        <v>907</v>
      </c>
      <c r="L153" s="668">
        <v>349915</v>
      </c>
      <c r="M153" s="298">
        <v>44939</v>
      </c>
      <c r="N153" s="812">
        <v>1238158</v>
      </c>
      <c r="O153" s="812">
        <v>0</v>
      </c>
      <c r="P153" s="812">
        <v>0</v>
      </c>
      <c r="Q153" s="812">
        <v>0</v>
      </c>
      <c r="R153" s="812">
        <v>0</v>
      </c>
      <c r="S153" s="812">
        <v>1238158</v>
      </c>
      <c r="T153" s="668">
        <v>349915</v>
      </c>
      <c r="U153" s="298">
        <v>44945</v>
      </c>
      <c r="V153" s="668" t="s">
        <v>261</v>
      </c>
      <c r="W153" s="668"/>
      <c r="X153" s="668"/>
      <c r="Y153" s="298">
        <v>44945</v>
      </c>
      <c r="Z153" s="668" t="s">
        <v>256</v>
      </c>
      <c r="AA153" s="668" t="s">
        <v>541</v>
      </c>
      <c r="AB153" s="668" t="s">
        <v>504</v>
      </c>
      <c r="AC153" s="668">
        <v>72682080</v>
      </c>
    </row>
    <row r="154" spans="1:29">
      <c r="A154" s="668">
        <v>172</v>
      </c>
      <c r="B154" s="668">
        <v>85</v>
      </c>
      <c r="C154" s="668">
        <v>74395</v>
      </c>
      <c r="D154" s="668">
        <v>184</v>
      </c>
      <c r="E154" s="668" t="s">
        <v>521</v>
      </c>
      <c r="F154" s="668" t="s">
        <v>850</v>
      </c>
      <c r="G154" s="668">
        <v>43757950</v>
      </c>
      <c r="H154" s="668" t="s">
        <v>1074</v>
      </c>
      <c r="I154" s="668" t="s">
        <v>1595</v>
      </c>
      <c r="J154" s="668" t="s">
        <v>503</v>
      </c>
      <c r="K154" s="668" t="s">
        <v>1075</v>
      </c>
      <c r="L154" s="668">
        <v>349999</v>
      </c>
      <c r="M154" s="298">
        <v>44939</v>
      </c>
      <c r="N154" s="812">
        <v>650000</v>
      </c>
      <c r="O154" s="812">
        <v>0</v>
      </c>
      <c r="P154" s="812">
        <v>0</v>
      </c>
      <c r="Q154" s="812">
        <v>0</v>
      </c>
      <c r="R154" s="812">
        <v>0</v>
      </c>
      <c r="S154" s="812">
        <v>650000</v>
      </c>
      <c r="T154" s="668">
        <v>349999</v>
      </c>
      <c r="U154" s="298">
        <v>44945</v>
      </c>
      <c r="V154" s="668" t="s">
        <v>261</v>
      </c>
      <c r="W154" s="668"/>
      <c r="X154" s="668"/>
      <c r="Y154" s="298">
        <v>44945</v>
      </c>
      <c r="Z154" s="668" t="s">
        <v>254</v>
      </c>
      <c r="AA154" s="668" t="s">
        <v>539</v>
      </c>
      <c r="AB154" s="668" t="s">
        <v>647</v>
      </c>
      <c r="AC154" s="668">
        <v>123562188</v>
      </c>
    </row>
    <row r="155" spans="1:29">
      <c r="A155" s="668">
        <v>172</v>
      </c>
      <c r="B155" s="668">
        <v>86</v>
      </c>
      <c r="C155" s="668">
        <v>75385</v>
      </c>
      <c r="D155" s="668">
        <v>189</v>
      </c>
      <c r="E155" s="668" t="s">
        <v>664</v>
      </c>
      <c r="F155" s="668" t="s">
        <v>669</v>
      </c>
      <c r="G155" s="668">
        <v>51858109</v>
      </c>
      <c r="H155" s="668" t="s">
        <v>967</v>
      </c>
      <c r="I155" s="668" t="s">
        <v>1596</v>
      </c>
      <c r="J155" s="668" t="s">
        <v>503</v>
      </c>
      <c r="K155" s="668" t="s">
        <v>968</v>
      </c>
      <c r="L155" s="668">
        <v>350244</v>
      </c>
      <c r="M155" s="298">
        <v>44939</v>
      </c>
      <c r="N155" s="812">
        <v>600000</v>
      </c>
      <c r="O155" s="812">
        <v>0</v>
      </c>
      <c r="P155" s="812">
        <v>0</v>
      </c>
      <c r="Q155" s="812">
        <v>0</v>
      </c>
      <c r="R155" s="812">
        <v>0</v>
      </c>
      <c r="S155" s="812">
        <v>600000</v>
      </c>
      <c r="T155" s="668">
        <v>350244</v>
      </c>
      <c r="U155" s="298">
        <v>44945</v>
      </c>
      <c r="V155" s="668" t="s">
        <v>261</v>
      </c>
      <c r="W155" s="668"/>
      <c r="X155" s="668"/>
      <c r="Y155" s="298">
        <v>44945</v>
      </c>
      <c r="Z155" s="668" t="s">
        <v>258</v>
      </c>
      <c r="AA155" s="668" t="s">
        <v>661</v>
      </c>
      <c r="AB155" s="668" t="s">
        <v>506</v>
      </c>
      <c r="AC155" s="668">
        <v>79944594</v>
      </c>
    </row>
    <row r="156" spans="1:29">
      <c r="A156" s="668">
        <v>172</v>
      </c>
      <c r="B156" s="668">
        <v>87</v>
      </c>
      <c r="C156" s="668">
        <v>75385</v>
      </c>
      <c r="D156" s="668">
        <v>189</v>
      </c>
      <c r="E156" s="668" t="s">
        <v>664</v>
      </c>
      <c r="F156" s="668" t="s">
        <v>669</v>
      </c>
      <c r="G156" s="668">
        <v>42138667</v>
      </c>
      <c r="H156" s="668" t="s">
        <v>1063</v>
      </c>
      <c r="I156" s="668" t="s">
        <v>1597</v>
      </c>
      <c r="J156" s="668" t="s">
        <v>503</v>
      </c>
      <c r="K156" s="668" t="s">
        <v>1064</v>
      </c>
      <c r="L156" s="668">
        <v>350257</v>
      </c>
      <c r="M156" s="298">
        <v>44939</v>
      </c>
      <c r="N156" s="812">
        <v>300000</v>
      </c>
      <c r="O156" s="812">
        <v>0</v>
      </c>
      <c r="P156" s="812">
        <v>0</v>
      </c>
      <c r="Q156" s="812">
        <v>0</v>
      </c>
      <c r="R156" s="812">
        <v>0</v>
      </c>
      <c r="S156" s="812">
        <v>300000</v>
      </c>
      <c r="T156" s="668">
        <v>350257</v>
      </c>
      <c r="U156" s="298">
        <v>44945</v>
      </c>
      <c r="V156" s="668" t="s">
        <v>261</v>
      </c>
      <c r="W156" s="668"/>
      <c r="X156" s="668"/>
      <c r="Y156" s="298">
        <v>44945</v>
      </c>
      <c r="Z156" s="668" t="s">
        <v>258</v>
      </c>
      <c r="AA156" s="668" t="s">
        <v>661</v>
      </c>
      <c r="AB156" s="668" t="s">
        <v>506</v>
      </c>
      <c r="AC156" s="668">
        <v>79944594</v>
      </c>
    </row>
    <row r="157" spans="1:29">
      <c r="A157" s="668">
        <v>172</v>
      </c>
      <c r="B157" s="668">
        <v>88</v>
      </c>
      <c r="C157" s="668">
        <v>75385</v>
      </c>
      <c r="D157" s="668">
        <v>189</v>
      </c>
      <c r="E157" s="668" t="s">
        <v>664</v>
      </c>
      <c r="F157" s="668" t="s">
        <v>669</v>
      </c>
      <c r="G157" s="668">
        <v>901580385</v>
      </c>
      <c r="H157" s="668" t="s">
        <v>995</v>
      </c>
      <c r="I157" s="668" t="s">
        <v>1598</v>
      </c>
      <c r="J157" s="668" t="s">
        <v>503</v>
      </c>
      <c r="K157" s="668" t="s">
        <v>996</v>
      </c>
      <c r="L157" s="668">
        <v>350287</v>
      </c>
      <c r="M157" s="298">
        <v>44939</v>
      </c>
      <c r="N157" s="812">
        <v>3302047</v>
      </c>
      <c r="O157" s="812">
        <v>0</v>
      </c>
      <c r="P157" s="812">
        <v>0</v>
      </c>
      <c r="Q157" s="812">
        <v>0</v>
      </c>
      <c r="R157" s="812">
        <v>0</v>
      </c>
      <c r="S157" s="812">
        <v>3302047</v>
      </c>
      <c r="T157" s="668">
        <v>350287</v>
      </c>
      <c r="U157" s="298">
        <v>44945</v>
      </c>
      <c r="V157" s="668" t="s">
        <v>261</v>
      </c>
      <c r="W157" s="668"/>
      <c r="X157" s="668"/>
      <c r="Y157" s="298">
        <v>44945</v>
      </c>
      <c r="Z157" s="668" t="s">
        <v>258</v>
      </c>
      <c r="AA157" s="668" t="s">
        <v>661</v>
      </c>
      <c r="AB157" s="668" t="s">
        <v>506</v>
      </c>
      <c r="AC157" s="668">
        <v>79944594</v>
      </c>
    </row>
    <row r="158" spans="1:29">
      <c r="A158" s="668">
        <v>172</v>
      </c>
      <c r="B158" s="668">
        <v>89</v>
      </c>
      <c r="C158" s="668">
        <v>75210</v>
      </c>
      <c r="D158" s="668">
        <v>190</v>
      </c>
      <c r="E158" s="668" t="s">
        <v>673</v>
      </c>
      <c r="F158" s="668" t="s">
        <v>718</v>
      </c>
      <c r="G158" s="668">
        <v>901476539</v>
      </c>
      <c r="H158" s="668" t="s">
        <v>1599</v>
      </c>
      <c r="I158" s="668" t="s">
        <v>1600</v>
      </c>
      <c r="J158" s="668" t="s">
        <v>503</v>
      </c>
      <c r="K158" s="668" t="s">
        <v>1601</v>
      </c>
      <c r="L158" s="668">
        <v>347837</v>
      </c>
      <c r="M158" s="298">
        <v>44942</v>
      </c>
      <c r="N158" s="812">
        <v>3570000</v>
      </c>
      <c r="O158" s="812">
        <v>120000</v>
      </c>
      <c r="P158" s="812">
        <v>0</v>
      </c>
      <c r="Q158" s="812">
        <v>0</v>
      </c>
      <c r="R158" s="812">
        <v>0</v>
      </c>
      <c r="S158" s="812">
        <v>3450000</v>
      </c>
      <c r="T158" s="668">
        <v>347837</v>
      </c>
      <c r="U158" s="298">
        <v>44946</v>
      </c>
      <c r="V158" s="668" t="s">
        <v>261</v>
      </c>
      <c r="W158" s="668"/>
      <c r="X158" s="668"/>
      <c r="Y158" s="298">
        <v>44946</v>
      </c>
      <c r="Z158" s="668" t="s">
        <v>259</v>
      </c>
      <c r="AA158" s="668" t="s">
        <v>653</v>
      </c>
      <c r="AB158" s="668" t="s">
        <v>504</v>
      </c>
      <c r="AC158" s="668">
        <v>79041822</v>
      </c>
    </row>
    <row r="159" spans="1:29">
      <c r="A159" s="668">
        <v>172</v>
      </c>
      <c r="B159" s="668">
        <v>90</v>
      </c>
      <c r="C159" s="668">
        <v>74476</v>
      </c>
      <c r="D159" s="668">
        <v>185</v>
      </c>
      <c r="E159" s="668" t="s">
        <v>566</v>
      </c>
      <c r="F159" s="668" t="s">
        <v>937</v>
      </c>
      <c r="G159" s="668">
        <v>1039690196</v>
      </c>
      <c r="H159" s="668" t="s">
        <v>463</v>
      </c>
      <c r="I159" s="668" t="s">
        <v>1602</v>
      </c>
      <c r="J159" s="668" t="s">
        <v>503</v>
      </c>
      <c r="K159" s="668" t="s">
        <v>464</v>
      </c>
      <c r="L159" s="668">
        <v>349330</v>
      </c>
      <c r="M159" s="298">
        <v>44942</v>
      </c>
      <c r="N159" s="812">
        <v>500000</v>
      </c>
      <c r="O159" s="812">
        <v>0</v>
      </c>
      <c r="P159" s="812">
        <v>0</v>
      </c>
      <c r="Q159" s="812">
        <v>0</v>
      </c>
      <c r="R159" s="812">
        <v>0</v>
      </c>
      <c r="S159" s="812">
        <v>500000</v>
      </c>
      <c r="T159" s="668">
        <v>349330</v>
      </c>
      <c r="U159" s="298">
        <v>44946</v>
      </c>
      <c r="V159" s="668" t="s">
        <v>261</v>
      </c>
      <c r="W159" s="668"/>
      <c r="X159" s="668"/>
      <c r="Y159" s="298">
        <v>44946</v>
      </c>
      <c r="Z159" s="668" t="s">
        <v>254</v>
      </c>
      <c r="AA159" s="668" t="s">
        <v>544</v>
      </c>
      <c r="AB159" s="668" t="s">
        <v>647</v>
      </c>
      <c r="AC159" s="668">
        <v>79954029</v>
      </c>
    </row>
    <row r="160" spans="1:29">
      <c r="A160" s="668">
        <v>172</v>
      </c>
      <c r="B160" s="668">
        <v>91</v>
      </c>
      <c r="C160" s="668">
        <v>74476</v>
      </c>
      <c r="D160" s="668">
        <v>185</v>
      </c>
      <c r="E160" s="668" t="s">
        <v>566</v>
      </c>
      <c r="F160" s="668" t="s">
        <v>937</v>
      </c>
      <c r="G160" s="668">
        <v>1039690196</v>
      </c>
      <c r="H160" s="668" t="s">
        <v>463</v>
      </c>
      <c r="I160" s="668" t="s">
        <v>1603</v>
      </c>
      <c r="J160" s="668" t="s">
        <v>503</v>
      </c>
      <c r="K160" s="668" t="s">
        <v>464</v>
      </c>
      <c r="L160" s="668">
        <v>349332</v>
      </c>
      <c r="M160" s="298">
        <v>44942</v>
      </c>
      <c r="N160" s="812">
        <v>500000</v>
      </c>
      <c r="O160" s="812">
        <v>0</v>
      </c>
      <c r="P160" s="812">
        <v>0</v>
      </c>
      <c r="Q160" s="812">
        <v>0</v>
      </c>
      <c r="R160" s="812">
        <v>0</v>
      </c>
      <c r="S160" s="812">
        <v>500000</v>
      </c>
      <c r="T160" s="668">
        <v>349332</v>
      </c>
      <c r="U160" s="298">
        <v>44946</v>
      </c>
      <c r="V160" s="668" t="s">
        <v>261</v>
      </c>
      <c r="W160" s="668"/>
      <c r="X160" s="668"/>
      <c r="Y160" s="298">
        <v>44946</v>
      </c>
      <c r="Z160" s="668" t="s">
        <v>254</v>
      </c>
      <c r="AA160" s="668" t="s">
        <v>544</v>
      </c>
      <c r="AB160" s="668" t="s">
        <v>647</v>
      </c>
      <c r="AC160" s="668">
        <v>79954029</v>
      </c>
    </row>
    <row r="161" spans="1:29">
      <c r="A161" s="668">
        <v>172</v>
      </c>
      <c r="B161" s="668">
        <v>92</v>
      </c>
      <c r="C161" s="668">
        <v>74645</v>
      </c>
      <c r="D161" s="668">
        <v>171</v>
      </c>
      <c r="E161" s="668" t="s">
        <v>619</v>
      </c>
      <c r="F161" s="668" t="s">
        <v>654</v>
      </c>
      <c r="G161" s="668">
        <v>901374811</v>
      </c>
      <c r="H161" s="668" t="s">
        <v>1604</v>
      </c>
      <c r="I161" s="668" t="s">
        <v>1605</v>
      </c>
      <c r="J161" s="668" t="s">
        <v>507</v>
      </c>
      <c r="K161" s="668" t="s">
        <v>1606</v>
      </c>
      <c r="L161" s="668">
        <v>349342</v>
      </c>
      <c r="M161" s="298">
        <v>44942</v>
      </c>
      <c r="N161" s="812">
        <v>830400</v>
      </c>
      <c r="O161" s="812">
        <v>0</v>
      </c>
      <c r="P161" s="812">
        <v>0</v>
      </c>
      <c r="Q161" s="812">
        <v>0</v>
      </c>
      <c r="R161" s="812">
        <v>0</v>
      </c>
      <c r="S161" s="812">
        <v>830400</v>
      </c>
      <c r="T161" s="668">
        <v>349342</v>
      </c>
      <c r="U161" s="298">
        <v>44944</v>
      </c>
      <c r="V161" s="668" t="s">
        <v>261</v>
      </c>
      <c r="W161" s="668"/>
      <c r="X161" s="668"/>
      <c r="Y161" s="298">
        <v>44944</v>
      </c>
      <c r="Z161" s="668" t="s">
        <v>254</v>
      </c>
      <c r="AA161" s="668" t="s">
        <v>650</v>
      </c>
      <c r="AB161" s="668" t="s">
        <v>647</v>
      </c>
      <c r="AC161" s="668">
        <v>116150004</v>
      </c>
    </row>
    <row r="162" spans="1:29">
      <c r="A162" s="668">
        <v>172</v>
      </c>
      <c r="B162" s="668">
        <v>93</v>
      </c>
      <c r="C162" s="668">
        <v>78137</v>
      </c>
      <c r="D162" s="668">
        <v>171</v>
      </c>
      <c r="E162" s="668" t="s">
        <v>1085</v>
      </c>
      <c r="F162" s="668" t="s">
        <v>1086</v>
      </c>
      <c r="G162" s="668">
        <v>901559034</v>
      </c>
      <c r="H162" s="668" t="s">
        <v>1087</v>
      </c>
      <c r="I162" s="668" t="s">
        <v>1607</v>
      </c>
      <c r="J162" s="668" t="s">
        <v>503</v>
      </c>
      <c r="K162" s="668" t="s">
        <v>1050</v>
      </c>
      <c r="L162" s="668">
        <v>350010</v>
      </c>
      <c r="M162" s="298">
        <v>44942</v>
      </c>
      <c r="N162" s="812">
        <v>1360672</v>
      </c>
      <c r="O162" s="812">
        <v>0</v>
      </c>
      <c r="P162" s="812">
        <v>0</v>
      </c>
      <c r="Q162" s="812">
        <v>0</v>
      </c>
      <c r="R162" s="812">
        <v>0</v>
      </c>
      <c r="S162" s="812">
        <v>1360672</v>
      </c>
      <c r="T162" s="668">
        <v>350010</v>
      </c>
      <c r="U162" s="298">
        <v>44946</v>
      </c>
      <c r="V162" s="668" t="s">
        <v>261</v>
      </c>
      <c r="W162" s="668"/>
      <c r="X162" s="668"/>
      <c r="Y162" s="298">
        <v>44946</v>
      </c>
      <c r="Z162" s="668" t="s">
        <v>254</v>
      </c>
      <c r="AA162" s="668" t="s">
        <v>650</v>
      </c>
      <c r="AB162" s="668" t="s">
        <v>647</v>
      </c>
      <c r="AC162" s="668">
        <v>123994170</v>
      </c>
    </row>
    <row r="163" spans="1:29">
      <c r="A163" s="668">
        <v>172</v>
      </c>
      <c r="B163" s="668">
        <v>94</v>
      </c>
      <c r="C163" s="668">
        <v>74645</v>
      </c>
      <c r="D163" s="668">
        <v>171</v>
      </c>
      <c r="E163" s="668" t="s">
        <v>619</v>
      </c>
      <c r="F163" s="668" t="s">
        <v>654</v>
      </c>
      <c r="G163" s="668">
        <v>70529496</v>
      </c>
      <c r="H163" s="668" t="s">
        <v>928</v>
      </c>
      <c r="I163" s="668" t="s">
        <v>1608</v>
      </c>
      <c r="J163" s="668" t="s">
        <v>503</v>
      </c>
      <c r="K163" s="668" t="s">
        <v>929</v>
      </c>
      <c r="L163" s="668">
        <v>350444</v>
      </c>
      <c r="M163" s="298">
        <v>44942</v>
      </c>
      <c r="N163" s="812">
        <v>600000</v>
      </c>
      <c r="O163" s="812">
        <v>0</v>
      </c>
      <c r="P163" s="812">
        <v>0</v>
      </c>
      <c r="Q163" s="812">
        <v>0</v>
      </c>
      <c r="R163" s="812">
        <v>0</v>
      </c>
      <c r="S163" s="812">
        <v>600000</v>
      </c>
      <c r="T163" s="668">
        <v>350444</v>
      </c>
      <c r="U163" s="298">
        <v>44946</v>
      </c>
      <c r="V163" s="668" t="s">
        <v>261</v>
      </c>
      <c r="W163" s="668"/>
      <c r="X163" s="668"/>
      <c r="Y163" s="298">
        <v>44946</v>
      </c>
      <c r="Z163" s="668" t="s">
        <v>254</v>
      </c>
      <c r="AA163" s="668" t="s">
        <v>650</v>
      </c>
      <c r="AB163" s="668" t="s">
        <v>647</v>
      </c>
      <c r="AC163" s="668">
        <v>116150004</v>
      </c>
    </row>
    <row r="164" spans="1:29">
      <c r="A164" s="668">
        <v>172</v>
      </c>
      <c r="B164" s="668">
        <v>95</v>
      </c>
      <c r="C164" s="668">
        <v>74414</v>
      </c>
      <c r="D164" s="668">
        <v>184</v>
      </c>
      <c r="E164" s="668" t="s">
        <v>521</v>
      </c>
      <c r="F164" s="668" t="s">
        <v>1343</v>
      </c>
      <c r="G164" s="668">
        <v>1040364555</v>
      </c>
      <c r="H164" s="668" t="s">
        <v>1609</v>
      </c>
      <c r="I164" s="668" t="s">
        <v>1610</v>
      </c>
      <c r="J164" s="668" t="s">
        <v>503</v>
      </c>
      <c r="K164" s="668" t="s">
        <v>1611</v>
      </c>
      <c r="L164" s="668">
        <v>350606</v>
      </c>
      <c r="M164" s="298">
        <v>44942</v>
      </c>
      <c r="N164" s="812">
        <v>1400000</v>
      </c>
      <c r="O164" s="812">
        <v>0</v>
      </c>
      <c r="P164" s="812">
        <v>0</v>
      </c>
      <c r="Q164" s="812">
        <v>0</v>
      </c>
      <c r="R164" s="812">
        <v>0</v>
      </c>
      <c r="S164" s="812">
        <v>1400000</v>
      </c>
      <c r="T164" s="668">
        <v>350606</v>
      </c>
      <c r="U164" s="298">
        <v>44946</v>
      </c>
      <c r="V164" s="668" t="s">
        <v>261</v>
      </c>
      <c r="W164" s="668"/>
      <c r="X164" s="668"/>
      <c r="Y164" s="298">
        <v>44946</v>
      </c>
      <c r="Z164" s="668" t="s">
        <v>254</v>
      </c>
      <c r="AA164" s="668" t="s">
        <v>539</v>
      </c>
      <c r="AB164" s="668" t="s">
        <v>647</v>
      </c>
      <c r="AC164" s="668">
        <v>123108652</v>
      </c>
    </row>
    <row r="165" spans="1:29">
      <c r="A165" s="668">
        <v>172</v>
      </c>
      <c r="B165" s="668">
        <v>96</v>
      </c>
      <c r="C165" s="668">
        <v>74646</v>
      </c>
      <c r="D165" s="668">
        <v>171</v>
      </c>
      <c r="E165" s="668" t="s">
        <v>619</v>
      </c>
      <c r="F165" s="668" t="s">
        <v>851</v>
      </c>
      <c r="G165" s="668">
        <v>901577804</v>
      </c>
      <c r="H165" s="668" t="s">
        <v>852</v>
      </c>
      <c r="I165" s="668" t="s">
        <v>1612</v>
      </c>
      <c r="J165" s="668" t="s">
        <v>503</v>
      </c>
      <c r="K165" s="668" t="s">
        <v>853</v>
      </c>
      <c r="L165" s="668">
        <v>351067</v>
      </c>
      <c r="M165" s="298">
        <v>44942</v>
      </c>
      <c r="N165" s="812">
        <v>9067365</v>
      </c>
      <c r="O165" s="812">
        <v>0</v>
      </c>
      <c r="P165" s="812">
        <v>0</v>
      </c>
      <c r="Q165" s="812">
        <v>0</v>
      </c>
      <c r="R165" s="812">
        <v>0</v>
      </c>
      <c r="S165" s="812">
        <v>9067365</v>
      </c>
      <c r="T165" s="668">
        <v>351067</v>
      </c>
      <c r="U165" s="298">
        <v>44946</v>
      </c>
      <c r="V165" s="668" t="s">
        <v>261</v>
      </c>
      <c r="W165" s="668"/>
      <c r="X165" s="668"/>
      <c r="Y165" s="298">
        <v>44946</v>
      </c>
      <c r="Z165" s="668" t="s">
        <v>254</v>
      </c>
      <c r="AA165" s="668" t="s">
        <v>650</v>
      </c>
      <c r="AB165" s="668" t="s">
        <v>647</v>
      </c>
      <c r="AC165" s="668">
        <v>123919072</v>
      </c>
    </row>
    <row r="166" spans="1:29">
      <c r="A166" s="668">
        <v>172</v>
      </c>
      <c r="B166" s="668">
        <v>97</v>
      </c>
      <c r="C166" s="668">
        <v>77931</v>
      </c>
      <c r="D166" s="668">
        <v>191</v>
      </c>
      <c r="E166" s="668" t="s">
        <v>722</v>
      </c>
      <c r="F166" s="668" t="s">
        <v>1026</v>
      </c>
      <c r="G166" s="668">
        <v>901579822</v>
      </c>
      <c r="H166" s="668" t="s">
        <v>1046</v>
      </c>
      <c r="I166" s="668" t="s">
        <v>1613</v>
      </c>
      <c r="J166" s="668" t="s">
        <v>503</v>
      </c>
      <c r="K166" s="668" t="s">
        <v>1047</v>
      </c>
      <c r="L166" s="668">
        <v>351346</v>
      </c>
      <c r="M166" s="298">
        <v>44942</v>
      </c>
      <c r="N166" s="812">
        <v>2495224</v>
      </c>
      <c r="O166" s="812">
        <v>0</v>
      </c>
      <c r="P166" s="812">
        <v>0</v>
      </c>
      <c r="Q166" s="812">
        <v>0</v>
      </c>
      <c r="R166" s="812">
        <v>0</v>
      </c>
      <c r="S166" s="812">
        <v>2495224</v>
      </c>
      <c r="T166" s="668">
        <v>351346</v>
      </c>
      <c r="U166" s="298">
        <v>44946</v>
      </c>
      <c r="V166" s="668" t="s">
        <v>261</v>
      </c>
      <c r="W166" s="668"/>
      <c r="X166" s="668"/>
      <c r="Y166" s="298">
        <v>44946</v>
      </c>
      <c r="Z166" s="668" t="s">
        <v>725</v>
      </c>
      <c r="AA166" s="668" t="s">
        <v>680</v>
      </c>
      <c r="AB166" s="668" t="s">
        <v>504</v>
      </c>
      <c r="AC166" s="668">
        <v>79952557</v>
      </c>
    </row>
    <row r="167" spans="1:29">
      <c r="A167" s="668">
        <v>172</v>
      </c>
      <c r="B167" s="668">
        <v>98</v>
      </c>
      <c r="C167" s="668">
        <v>72790</v>
      </c>
      <c r="D167" s="668">
        <v>185</v>
      </c>
      <c r="E167" s="668" t="s">
        <v>566</v>
      </c>
      <c r="F167" s="668" t="s">
        <v>1122</v>
      </c>
      <c r="G167" s="668">
        <v>1039690196</v>
      </c>
      <c r="H167" s="668" t="s">
        <v>463</v>
      </c>
      <c r="I167" s="668" t="s">
        <v>1614</v>
      </c>
      <c r="J167" s="668" t="s">
        <v>503</v>
      </c>
      <c r="K167" s="668" t="s">
        <v>464</v>
      </c>
      <c r="L167" s="668">
        <v>349938</v>
      </c>
      <c r="M167" s="298">
        <v>44942</v>
      </c>
      <c r="N167" s="812">
        <v>500000</v>
      </c>
      <c r="O167" s="812">
        <v>0</v>
      </c>
      <c r="P167" s="812">
        <v>0</v>
      </c>
      <c r="Q167" s="812">
        <v>0</v>
      </c>
      <c r="R167" s="812">
        <v>0</v>
      </c>
      <c r="S167" s="812">
        <v>500000</v>
      </c>
      <c r="T167" s="668">
        <v>349938</v>
      </c>
      <c r="U167" s="298">
        <v>44946</v>
      </c>
      <c r="V167" s="668" t="s">
        <v>261</v>
      </c>
      <c r="W167" s="668"/>
      <c r="X167" s="668"/>
      <c r="Y167" s="298">
        <v>44946</v>
      </c>
      <c r="Z167" s="668" t="s">
        <v>254</v>
      </c>
      <c r="AA167" s="668" t="s">
        <v>544</v>
      </c>
      <c r="AB167" s="668" t="s">
        <v>647</v>
      </c>
      <c r="AC167" s="668">
        <v>79949554</v>
      </c>
    </row>
    <row r="168" spans="1:29">
      <c r="A168" s="668">
        <v>172</v>
      </c>
      <c r="B168" s="668">
        <v>99</v>
      </c>
      <c r="C168" s="668">
        <v>74655</v>
      </c>
      <c r="D168" s="668">
        <v>171</v>
      </c>
      <c r="E168" s="668" t="s">
        <v>616</v>
      </c>
      <c r="F168" s="668" t="s">
        <v>814</v>
      </c>
      <c r="G168" s="668">
        <v>901556169</v>
      </c>
      <c r="H168" s="668" t="s">
        <v>815</v>
      </c>
      <c r="I168" s="668" t="s">
        <v>1615</v>
      </c>
      <c r="J168" s="668" t="s">
        <v>503</v>
      </c>
      <c r="K168" s="668" t="s">
        <v>816</v>
      </c>
      <c r="L168" s="668">
        <v>350762</v>
      </c>
      <c r="M168" s="298">
        <v>44942</v>
      </c>
      <c r="N168" s="812">
        <v>7892036</v>
      </c>
      <c r="O168" s="812">
        <v>0</v>
      </c>
      <c r="P168" s="812">
        <v>0</v>
      </c>
      <c r="Q168" s="812">
        <v>0</v>
      </c>
      <c r="R168" s="812">
        <v>0</v>
      </c>
      <c r="S168" s="812">
        <v>7892036</v>
      </c>
      <c r="T168" s="668">
        <v>350762</v>
      </c>
      <c r="U168" s="298">
        <v>44946</v>
      </c>
      <c r="V168" s="668" t="s">
        <v>261</v>
      </c>
      <c r="W168" s="668"/>
      <c r="X168" s="668"/>
      <c r="Y168" s="298">
        <v>44946</v>
      </c>
      <c r="Z168" s="668" t="s">
        <v>254</v>
      </c>
      <c r="AA168" s="668" t="s">
        <v>544</v>
      </c>
      <c r="AB168" s="668" t="s">
        <v>647</v>
      </c>
      <c r="AC168" s="668">
        <v>122223675</v>
      </c>
    </row>
    <row r="169" spans="1:29">
      <c r="A169" s="668">
        <v>172</v>
      </c>
      <c r="B169" s="668">
        <v>100</v>
      </c>
      <c r="C169" s="668">
        <v>71536</v>
      </c>
      <c r="D169" s="668">
        <v>190</v>
      </c>
      <c r="E169" s="668" t="s">
        <v>673</v>
      </c>
      <c r="F169" s="668" t="s">
        <v>674</v>
      </c>
      <c r="G169" s="668">
        <v>52793169</v>
      </c>
      <c r="H169" s="668" t="s">
        <v>731</v>
      </c>
      <c r="I169" s="668" t="s">
        <v>1616</v>
      </c>
      <c r="J169" s="668" t="s">
        <v>503</v>
      </c>
      <c r="K169" s="668" t="s">
        <v>854</v>
      </c>
      <c r="L169" s="668">
        <v>350965</v>
      </c>
      <c r="M169" s="298">
        <v>44942</v>
      </c>
      <c r="N169" s="812">
        <v>1100000</v>
      </c>
      <c r="O169" s="812">
        <v>0</v>
      </c>
      <c r="P169" s="812">
        <v>0</v>
      </c>
      <c r="Q169" s="812">
        <v>0</v>
      </c>
      <c r="R169" s="812">
        <v>0</v>
      </c>
      <c r="S169" s="812">
        <v>1100000</v>
      </c>
      <c r="T169" s="668">
        <v>350965</v>
      </c>
      <c r="U169" s="298">
        <v>44946</v>
      </c>
      <c r="V169" s="668" t="s">
        <v>261</v>
      </c>
      <c r="W169" s="668"/>
      <c r="X169" s="668"/>
      <c r="Y169" s="298">
        <v>44946</v>
      </c>
      <c r="Z169" s="668" t="s">
        <v>259</v>
      </c>
      <c r="AA169" s="668" t="s">
        <v>675</v>
      </c>
      <c r="AB169" s="668" t="s">
        <v>504</v>
      </c>
      <c r="AC169" s="668">
        <v>79950468</v>
      </c>
    </row>
    <row r="170" spans="1:29">
      <c r="A170" s="668">
        <v>172</v>
      </c>
      <c r="B170" s="668">
        <v>101</v>
      </c>
      <c r="C170" s="668">
        <v>74443</v>
      </c>
      <c r="D170" s="668">
        <v>185</v>
      </c>
      <c r="E170" s="668" t="s">
        <v>566</v>
      </c>
      <c r="F170" s="668" t="s">
        <v>1120</v>
      </c>
      <c r="G170" s="668">
        <v>1039690196</v>
      </c>
      <c r="H170" s="668" t="s">
        <v>463</v>
      </c>
      <c r="I170" s="668" t="s">
        <v>1617</v>
      </c>
      <c r="J170" s="668" t="s">
        <v>503</v>
      </c>
      <c r="K170" s="668" t="s">
        <v>464</v>
      </c>
      <c r="L170" s="668">
        <v>351332</v>
      </c>
      <c r="M170" s="298">
        <v>44942</v>
      </c>
      <c r="N170" s="812">
        <v>500000</v>
      </c>
      <c r="O170" s="812">
        <v>0</v>
      </c>
      <c r="P170" s="812">
        <v>0</v>
      </c>
      <c r="Q170" s="812">
        <v>0</v>
      </c>
      <c r="R170" s="812">
        <v>0</v>
      </c>
      <c r="S170" s="812">
        <v>500000</v>
      </c>
      <c r="T170" s="668">
        <v>351332</v>
      </c>
      <c r="U170" s="298">
        <v>44946</v>
      </c>
      <c r="V170" s="668" t="s">
        <v>261</v>
      </c>
      <c r="W170" s="668"/>
      <c r="X170" s="668"/>
      <c r="Y170" s="298">
        <v>44946</v>
      </c>
      <c r="Z170" s="668" t="s">
        <v>254</v>
      </c>
      <c r="AA170" s="668" t="s">
        <v>544</v>
      </c>
      <c r="AB170" s="668" t="s">
        <v>647</v>
      </c>
      <c r="AC170" s="668">
        <v>79950599</v>
      </c>
    </row>
    <row r="171" spans="1:29">
      <c r="A171" s="668">
        <v>172</v>
      </c>
      <c r="B171" s="668">
        <v>102</v>
      </c>
      <c r="C171" s="668">
        <v>74476</v>
      </c>
      <c r="D171" s="668">
        <v>185</v>
      </c>
      <c r="E171" s="668" t="s">
        <v>566</v>
      </c>
      <c r="F171" s="668" t="s">
        <v>937</v>
      </c>
      <c r="G171" s="668">
        <v>901555518</v>
      </c>
      <c r="H171" s="668" t="s">
        <v>1002</v>
      </c>
      <c r="I171" s="668" t="s">
        <v>1618</v>
      </c>
      <c r="J171" s="668" t="s">
        <v>503</v>
      </c>
      <c r="K171" s="668" t="s">
        <v>1003</v>
      </c>
      <c r="L171" s="668">
        <v>351416</v>
      </c>
      <c r="M171" s="298">
        <v>44942</v>
      </c>
      <c r="N171" s="812">
        <v>5244332</v>
      </c>
      <c r="O171" s="812">
        <v>0</v>
      </c>
      <c r="P171" s="812">
        <v>0</v>
      </c>
      <c r="Q171" s="812">
        <v>0</v>
      </c>
      <c r="R171" s="812">
        <v>0</v>
      </c>
      <c r="S171" s="812">
        <v>5244332</v>
      </c>
      <c r="T171" s="668">
        <v>351416</v>
      </c>
      <c r="U171" s="298">
        <v>44946</v>
      </c>
      <c r="V171" s="668" t="s">
        <v>261</v>
      </c>
      <c r="W171" s="668"/>
      <c r="X171" s="668"/>
      <c r="Y171" s="298">
        <v>44946</v>
      </c>
      <c r="Z171" s="668" t="s">
        <v>254</v>
      </c>
      <c r="AA171" s="668" t="s">
        <v>544</v>
      </c>
      <c r="AB171" s="668" t="s">
        <v>647</v>
      </c>
      <c r="AC171" s="668">
        <v>79954029</v>
      </c>
    </row>
    <row r="172" spans="1:29">
      <c r="A172" s="668">
        <v>172</v>
      </c>
      <c r="B172" s="668">
        <v>103</v>
      </c>
      <c r="C172" s="668">
        <v>74670</v>
      </c>
      <c r="D172" s="668">
        <v>171</v>
      </c>
      <c r="E172" s="668" t="s">
        <v>616</v>
      </c>
      <c r="F172" s="668" t="s">
        <v>618</v>
      </c>
      <c r="G172" s="668">
        <v>73198180</v>
      </c>
      <c r="H172" s="668" t="s">
        <v>1123</v>
      </c>
      <c r="I172" s="668" t="s">
        <v>1619</v>
      </c>
      <c r="J172" s="668" t="s">
        <v>503</v>
      </c>
      <c r="K172" s="668" t="s">
        <v>1124</v>
      </c>
      <c r="L172" s="668">
        <v>351479</v>
      </c>
      <c r="M172" s="298">
        <v>44942</v>
      </c>
      <c r="N172" s="812">
        <v>2000000</v>
      </c>
      <c r="O172" s="812">
        <v>70000</v>
      </c>
      <c r="P172" s="812">
        <v>0</v>
      </c>
      <c r="Q172" s="812">
        <v>0</v>
      </c>
      <c r="R172" s="812">
        <v>0</v>
      </c>
      <c r="S172" s="812">
        <v>1930000</v>
      </c>
      <c r="T172" s="668">
        <v>351479</v>
      </c>
      <c r="U172" s="298">
        <v>44946</v>
      </c>
      <c r="V172" s="668" t="s">
        <v>261</v>
      </c>
      <c r="W172" s="668"/>
      <c r="X172" s="668"/>
      <c r="Y172" s="298">
        <v>44946</v>
      </c>
      <c r="Z172" s="668" t="s">
        <v>254</v>
      </c>
      <c r="AA172" s="668" t="s">
        <v>544</v>
      </c>
      <c r="AB172" s="668" t="s">
        <v>647</v>
      </c>
      <c r="AC172" s="668">
        <v>123559536</v>
      </c>
    </row>
    <row r="173" spans="1:29">
      <c r="A173" s="668">
        <v>172</v>
      </c>
      <c r="B173" s="668">
        <v>104</v>
      </c>
      <c r="C173" s="668">
        <v>74670</v>
      </c>
      <c r="D173" s="668">
        <v>171</v>
      </c>
      <c r="E173" s="668" t="s">
        <v>616</v>
      </c>
      <c r="F173" s="668" t="s">
        <v>618</v>
      </c>
      <c r="G173" s="668">
        <v>901556999</v>
      </c>
      <c r="H173" s="668" t="s">
        <v>800</v>
      </c>
      <c r="I173" s="668" t="s">
        <v>1620</v>
      </c>
      <c r="J173" s="668" t="s">
        <v>503</v>
      </c>
      <c r="K173" s="668" t="s">
        <v>921</v>
      </c>
      <c r="L173" s="668">
        <v>351484</v>
      </c>
      <c r="M173" s="298">
        <v>44942</v>
      </c>
      <c r="N173" s="812">
        <v>8948158</v>
      </c>
      <c r="O173" s="812">
        <v>0</v>
      </c>
      <c r="P173" s="812">
        <v>0</v>
      </c>
      <c r="Q173" s="812">
        <v>0</v>
      </c>
      <c r="R173" s="812">
        <v>0</v>
      </c>
      <c r="S173" s="812">
        <v>8948158</v>
      </c>
      <c r="T173" s="668">
        <v>351484</v>
      </c>
      <c r="U173" s="298">
        <v>44946</v>
      </c>
      <c r="V173" s="668" t="s">
        <v>261</v>
      </c>
      <c r="W173" s="668"/>
      <c r="X173" s="668"/>
      <c r="Y173" s="298">
        <v>44946</v>
      </c>
      <c r="Z173" s="668" t="s">
        <v>254</v>
      </c>
      <c r="AA173" s="668" t="s">
        <v>544</v>
      </c>
      <c r="AB173" s="668" t="s">
        <v>647</v>
      </c>
      <c r="AC173" s="668">
        <v>123559536</v>
      </c>
    </row>
    <row r="174" spans="1:29">
      <c r="A174" s="668">
        <v>172</v>
      </c>
      <c r="B174" s="668">
        <v>105</v>
      </c>
      <c r="C174" s="668">
        <v>72790</v>
      </c>
      <c r="D174" s="668">
        <v>185</v>
      </c>
      <c r="E174" s="668" t="s">
        <v>566</v>
      </c>
      <c r="F174" s="668" t="s">
        <v>1122</v>
      </c>
      <c r="G174" s="668">
        <v>1039690196</v>
      </c>
      <c r="H174" s="668" t="s">
        <v>463</v>
      </c>
      <c r="I174" s="668" t="s">
        <v>1621</v>
      </c>
      <c r="J174" s="668" t="s">
        <v>503</v>
      </c>
      <c r="K174" s="668" t="s">
        <v>464</v>
      </c>
      <c r="L174" s="668">
        <v>351528</v>
      </c>
      <c r="M174" s="298">
        <v>44942</v>
      </c>
      <c r="N174" s="812">
        <v>500000</v>
      </c>
      <c r="O174" s="812">
        <v>0</v>
      </c>
      <c r="P174" s="812">
        <v>0</v>
      </c>
      <c r="Q174" s="812">
        <v>0</v>
      </c>
      <c r="R174" s="812">
        <v>0</v>
      </c>
      <c r="S174" s="812">
        <v>500000</v>
      </c>
      <c r="T174" s="668">
        <v>351528</v>
      </c>
      <c r="U174" s="298">
        <v>44946</v>
      </c>
      <c r="V174" s="668" t="s">
        <v>261</v>
      </c>
      <c r="W174" s="668"/>
      <c r="X174" s="668"/>
      <c r="Y174" s="298">
        <v>44946</v>
      </c>
      <c r="Z174" s="668" t="s">
        <v>254</v>
      </c>
      <c r="AA174" s="668" t="s">
        <v>544</v>
      </c>
      <c r="AB174" s="668" t="s">
        <v>647</v>
      </c>
      <c r="AC174" s="668">
        <v>79949554</v>
      </c>
    </row>
    <row r="175" spans="1:29">
      <c r="A175" s="668">
        <v>172</v>
      </c>
      <c r="B175" s="668">
        <v>106</v>
      </c>
      <c r="C175" s="668">
        <v>74696</v>
      </c>
      <c r="D175" s="668">
        <v>171</v>
      </c>
      <c r="E175" s="668" t="s">
        <v>616</v>
      </c>
      <c r="F175" s="668" t="s">
        <v>943</v>
      </c>
      <c r="G175" s="668">
        <v>901555282</v>
      </c>
      <c r="H175" s="668" t="s">
        <v>990</v>
      </c>
      <c r="I175" s="668" t="s">
        <v>1622</v>
      </c>
      <c r="J175" s="668" t="s">
        <v>503</v>
      </c>
      <c r="K175" s="668" t="s">
        <v>991</v>
      </c>
      <c r="L175" s="668">
        <v>351529</v>
      </c>
      <c r="M175" s="298">
        <v>44942</v>
      </c>
      <c r="N175" s="812">
        <v>5210488</v>
      </c>
      <c r="O175" s="812">
        <v>0</v>
      </c>
      <c r="P175" s="812">
        <v>0</v>
      </c>
      <c r="Q175" s="812">
        <v>0</v>
      </c>
      <c r="R175" s="812">
        <v>0</v>
      </c>
      <c r="S175" s="812">
        <v>5210488</v>
      </c>
      <c r="T175" s="668">
        <v>351529</v>
      </c>
      <c r="U175" s="298">
        <v>44946</v>
      </c>
      <c r="V175" s="668" t="s">
        <v>261</v>
      </c>
      <c r="W175" s="668"/>
      <c r="X175" s="668"/>
      <c r="Y175" s="298">
        <v>44946</v>
      </c>
      <c r="Z175" s="668" t="s">
        <v>254</v>
      </c>
      <c r="AA175" s="668" t="s">
        <v>544</v>
      </c>
      <c r="AB175" s="668" t="s">
        <v>647</v>
      </c>
      <c r="AC175" s="668">
        <v>123559536</v>
      </c>
    </row>
    <row r="176" spans="1:29">
      <c r="A176" s="668">
        <v>172</v>
      </c>
      <c r="B176" s="668">
        <v>107</v>
      </c>
      <c r="C176" s="668">
        <v>79846</v>
      </c>
      <c r="D176" s="668">
        <v>191</v>
      </c>
      <c r="E176" s="668" t="s">
        <v>805</v>
      </c>
      <c r="F176" s="668" t="s">
        <v>1071</v>
      </c>
      <c r="G176" s="668">
        <v>1121860494</v>
      </c>
      <c r="H176" s="668" t="s">
        <v>1623</v>
      </c>
      <c r="I176" s="668" t="s">
        <v>1624</v>
      </c>
      <c r="J176" s="668" t="s">
        <v>503</v>
      </c>
      <c r="K176" s="668" t="s">
        <v>1625</v>
      </c>
      <c r="L176" s="668">
        <v>346621</v>
      </c>
      <c r="M176" s="298">
        <v>44942</v>
      </c>
      <c r="N176" s="812">
        <v>1831015</v>
      </c>
      <c r="O176" s="812">
        <v>64085.53</v>
      </c>
      <c r="P176" s="812">
        <v>0</v>
      </c>
      <c r="Q176" s="812">
        <v>0</v>
      </c>
      <c r="R176" s="812">
        <v>0</v>
      </c>
      <c r="S176" s="812">
        <v>1766929.47</v>
      </c>
      <c r="T176" s="668">
        <v>346621</v>
      </c>
      <c r="U176" s="298">
        <v>44946</v>
      </c>
      <c r="V176" s="668" t="s">
        <v>261</v>
      </c>
      <c r="W176" s="668"/>
      <c r="X176" s="668"/>
      <c r="Y176" s="298">
        <v>44946</v>
      </c>
      <c r="Z176" s="668" t="s">
        <v>725</v>
      </c>
      <c r="AA176" s="668" t="s">
        <v>680</v>
      </c>
      <c r="AB176" s="668" t="s">
        <v>504</v>
      </c>
      <c r="AC176" s="668">
        <v>80000000</v>
      </c>
    </row>
    <row r="177" spans="1:29">
      <c r="A177" s="668">
        <v>172</v>
      </c>
      <c r="B177" s="668">
        <v>108</v>
      </c>
      <c r="C177" s="668">
        <v>78376</v>
      </c>
      <c r="D177" s="668">
        <v>191</v>
      </c>
      <c r="E177" s="668" t="s">
        <v>722</v>
      </c>
      <c r="F177" s="668" t="s">
        <v>727</v>
      </c>
      <c r="G177" s="668">
        <v>1092363681</v>
      </c>
      <c r="H177" s="668" t="s">
        <v>1061</v>
      </c>
      <c r="I177" s="668" t="s">
        <v>1626</v>
      </c>
      <c r="J177" s="668" t="s">
        <v>503</v>
      </c>
      <c r="K177" s="668" t="s">
        <v>1062</v>
      </c>
      <c r="L177" s="668">
        <v>347833</v>
      </c>
      <c r="M177" s="298">
        <v>44942</v>
      </c>
      <c r="N177" s="812">
        <v>1250000</v>
      </c>
      <c r="O177" s="812">
        <v>0</v>
      </c>
      <c r="P177" s="812">
        <v>0</v>
      </c>
      <c r="Q177" s="812">
        <v>0</v>
      </c>
      <c r="R177" s="812">
        <v>0</v>
      </c>
      <c r="S177" s="812">
        <v>1250000</v>
      </c>
      <c r="T177" s="668">
        <v>347833</v>
      </c>
      <c r="U177" s="298">
        <v>44946</v>
      </c>
      <c r="V177" s="668" t="s">
        <v>261</v>
      </c>
      <c r="W177" s="668"/>
      <c r="X177" s="668"/>
      <c r="Y177" s="298">
        <v>44946</v>
      </c>
      <c r="Z177" s="668" t="s">
        <v>725</v>
      </c>
      <c r="AA177" s="668" t="s">
        <v>653</v>
      </c>
      <c r="AB177" s="668" t="s">
        <v>504</v>
      </c>
      <c r="AC177" s="668">
        <v>80000000</v>
      </c>
    </row>
    <row r="178" spans="1:29">
      <c r="A178" s="668">
        <v>172</v>
      </c>
      <c r="B178" s="668">
        <v>109</v>
      </c>
      <c r="C178" s="668">
        <v>74734</v>
      </c>
      <c r="D178" s="668">
        <v>177</v>
      </c>
      <c r="E178" s="668" t="s">
        <v>537</v>
      </c>
      <c r="F178" s="668" t="s">
        <v>1334</v>
      </c>
      <c r="G178" s="668">
        <v>46379467</v>
      </c>
      <c r="H178" s="668" t="s">
        <v>1627</v>
      </c>
      <c r="I178" s="668" t="s">
        <v>1628</v>
      </c>
      <c r="J178" s="668" t="s">
        <v>503</v>
      </c>
      <c r="K178" s="668" t="s">
        <v>1077</v>
      </c>
      <c r="L178" s="668">
        <v>350488</v>
      </c>
      <c r="M178" s="298">
        <v>44942</v>
      </c>
      <c r="N178" s="812">
        <v>600000</v>
      </c>
      <c r="O178" s="812">
        <v>0</v>
      </c>
      <c r="P178" s="812">
        <v>0</v>
      </c>
      <c r="Q178" s="812">
        <v>0</v>
      </c>
      <c r="R178" s="812">
        <v>0</v>
      </c>
      <c r="S178" s="812">
        <v>600000</v>
      </c>
      <c r="T178" s="668">
        <v>350488</v>
      </c>
      <c r="U178" s="298">
        <v>44946</v>
      </c>
      <c r="V178" s="668" t="s">
        <v>261</v>
      </c>
      <c r="W178" s="668"/>
      <c r="X178" s="668"/>
      <c r="Y178" s="298">
        <v>44946</v>
      </c>
      <c r="Z178" s="668" t="s">
        <v>254</v>
      </c>
      <c r="AA178" s="668" t="s">
        <v>538</v>
      </c>
      <c r="AB178" s="668" t="s">
        <v>647</v>
      </c>
      <c r="AC178" s="668">
        <v>79535192</v>
      </c>
    </row>
    <row r="179" spans="1:29">
      <c r="A179" s="668">
        <v>172</v>
      </c>
      <c r="B179" s="668">
        <v>110</v>
      </c>
      <c r="C179" s="668">
        <v>74734</v>
      </c>
      <c r="D179" s="668">
        <v>177</v>
      </c>
      <c r="E179" s="668" t="s">
        <v>537</v>
      </c>
      <c r="F179" s="668" t="s">
        <v>1334</v>
      </c>
      <c r="G179" s="668">
        <v>901500092</v>
      </c>
      <c r="H179" s="668" t="s">
        <v>1629</v>
      </c>
      <c r="I179" s="668" t="s">
        <v>1630</v>
      </c>
      <c r="J179" s="668" t="s">
        <v>503</v>
      </c>
      <c r="K179" s="668" t="s">
        <v>1631</v>
      </c>
      <c r="L179" s="668">
        <v>350530</v>
      </c>
      <c r="M179" s="298">
        <v>44942</v>
      </c>
      <c r="N179" s="812">
        <v>4900000</v>
      </c>
      <c r="O179" s="812">
        <v>82352.94</v>
      </c>
      <c r="P179" s="812">
        <v>0</v>
      </c>
      <c r="Q179" s="812">
        <v>41176.47</v>
      </c>
      <c r="R179" s="812">
        <v>0</v>
      </c>
      <c r="S179" s="812">
        <v>4776470.59</v>
      </c>
      <c r="T179" s="668">
        <v>350530</v>
      </c>
      <c r="U179" s="298">
        <v>44946</v>
      </c>
      <c r="V179" s="668" t="s">
        <v>261</v>
      </c>
      <c r="W179" s="668"/>
      <c r="X179" s="668"/>
      <c r="Y179" s="298">
        <v>44946</v>
      </c>
      <c r="Z179" s="668" t="s">
        <v>254</v>
      </c>
      <c r="AA179" s="668" t="s">
        <v>538</v>
      </c>
      <c r="AB179" s="668" t="s">
        <v>647</v>
      </c>
      <c r="AC179" s="668">
        <v>79535192</v>
      </c>
    </row>
    <row r="180" spans="1:29">
      <c r="A180" s="668">
        <v>172</v>
      </c>
      <c r="B180" s="668">
        <v>111</v>
      </c>
      <c r="C180" s="668">
        <v>74462</v>
      </c>
      <c r="D180" s="668">
        <v>185</v>
      </c>
      <c r="E180" s="668" t="s">
        <v>566</v>
      </c>
      <c r="F180" s="668" t="s">
        <v>803</v>
      </c>
      <c r="G180" s="668">
        <v>901555067</v>
      </c>
      <c r="H180" s="668" t="s">
        <v>1579</v>
      </c>
      <c r="I180" s="668" t="s">
        <v>1632</v>
      </c>
      <c r="J180" s="668" t="s">
        <v>503</v>
      </c>
      <c r="K180" s="668" t="s">
        <v>1581</v>
      </c>
      <c r="L180" s="668">
        <v>350531</v>
      </c>
      <c r="M180" s="298">
        <v>44942</v>
      </c>
      <c r="N180" s="812">
        <v>1348610</v>
      </c>
      <c r="O180" s="812">
        <v>0</v>
      </c>
      <c r="P180" s="812">
        <v>0</v>
      </c>
      <c r="Q180" s="812">
        <v>0</v>
      </c>
      <c r="R180" s="812">
        <v>0</v>
      </c>
      <c r="S180" s="812">
        <v>1348610</v>
      </c>
      <c r="T180" s="668">
        <v>350531</v>
      </c>
      <c r="U180" s="298">
        <v>44946</v>
      </c>
      <c r="V180" s="668" t="s">
        <v>261</v>
      </c>
      <c r="W180" s="668"/>
      <c r="X180" s="668"/>
      <c r="Y180" s="298">
        <v>44946</v>
      </c>
      <c r="Z180" s="668" t="s">
        <v>254</v>
      </c>
      <c r="AA180" s="668" t="s">
        <v>544</v>
      </c>
      <c r="AB180" s="668" t="s">
        <v>647</v>
      </c>
      <c r="AC180" s="668">
        <v>79968044</v>
      </c>
    </row>
    <row r="181" spans="1:29">
      <c r="A181" s="668">
        <v>172</v>
      </c>
      <c r="B181" s="668">
        <v>112</v>
      </c>
      <c r="C181" s="668">
        <v>74670</v>
      </c>
      <c r="D181" s="668">
        <v>171</v>
      </c>
      <c r="E181" s="668" t="s">
        <v>616</v>
      </c>
      <c r="F181" s="668" t="s">
        <v>618</v>
      </c>
      <c r="G181" s="668">
        <v>22167005</v>
      </c>
      <c r="H181" s="668" t="s">
        <v>919</v>
      </c>
      <c r="I181" s="668" t="s">
        <v>1633</v>
      </c>
      <c r="J181" s="668" t="s">
        <v>503</v>
      </c>
      <c r="K181" s="668" t="s">
        <v>920</v>
      </c>
      <c r="L181" s="668">
        <v>350567</v>
      </c>
      <c r="M181" s="298">
        <v>44942</v>
      </c>
      <c r="N181" s="812">
        <v>350000</v>
      </c>
      <c r="O181" s="812">
        <v>0</v>
      </c>
      <c r="P181" s="812">
        <v>0</v>
      </c>
      <c r="Q181" s="812">
        <v>0</v>
      </c>
      <c r="R181" s="812">
        <v>0</v>
      </c>
      <c r="S181" s="812">
        <v>350000</v>
      </c>
      <c r="T181" s="668">
        <v>350567</v>
      </c>
      <c r="U181" s="298">
        <v>44946</v>
      </c>
      <c r="V181" s="668" t="s">
        <v>261</v>
      </c>
      <c r="W181" s="668"/>
      <c r="X181" s="668"/>
      <c r="Y181" s="298">
        <v>44946</v>
      </c>
      <c r="Z181" s="668" t="s">
        <v>254</v>
      </c>
      <c r="AA181" s="668" t="s">
        <v>544</v>
      </c>
      <c r="AB181" s="668" t="s">
        <v>647</v>
      </c>
      <c r="AC181" s="668">
        <v>123559536</v>
      </c>
    </row>
    <row r="182" spans="1:29">
      <c r="A182" s="668">
        <v>172</v>
      </c>
      <c r="B182" s="668">
        <v>113</v>
      </c>
      <c r="C182" s="668">
        <v>74462</v>
      </c>
      <c r="D182" s="668">
        <v>185</v>
      </c>
      <c r="E182" s="668" t="s">
        <v>566</v>
      </c>
      <c r="F182" s="668" t="s">
        <v>803</v>
      </c>
      <c r="G182" s="668">
        <v>1039690196</v>
      </c>
      <c r="H182" s="668" t="s">
        <v>463</v>
      </c>
      <c r="I182" s="668" t="s">
        <v>1634</v>
      </c>
      <c r="J182" s="668" t="s">
        <v>503</v>
      </c>
      <c r="K182" s="668" t="s">
        <v>464</v>
      </c>
      <c r="L182" s="668">
        <v>350735</v>
      </c>
      <c r="M182" s="298">
        <v>44942</v>
      </c>
      <c r="N182" s="812">
        <v>500000</v>
      </c>
      <c r="O182" s="812">
        <v>0</v>
      </c>
      <c r="P182" s="812">
        <v>0</v>
      </c>
      <c r="Q182" s="812">
        <v>0</v>
      </c>
      <c r="R182" s="812">
        <v>0</v>
      </c>
      <c r="S182" s="812">
        <v>500000</v>
      </c>
      <c r="T182" s="668">
        <v>350735</v>
      </c>
      <c r="U182" s="298">
        <v>44946</v>
      </c>
      <c r="V182" s="668" t="s">
        <v>261</v>
      </c>
      <c r="W182" s="668"/>
      <c r="X182" s="668"/>
      <c r="Y182" s="298">
        <v>44946</v>
      </c>
      <c r="Z182" s="668" t="s">
        <v>254</v>
      </c>
      <c r="AA182" s="668" t="s">
        <v>544</v>
      </c>
      <c r="AB182" s="668" t="s">
        <v>647</v>
      </c>
      <c r="AC182" s="668">
        <v>79968044</v>
      </c>
    </row>
    <row r="183" spans="1:29">
      <c r="A183" s="668">
        <v>172</v>
      </c>
      <c r="B183" s="668">
        <v>114</v>
      </c>
      <c r="C183" s="668">
        <v>74462</v>
      </c>
      <c r="D183" s="668">
        <v>185</v>
      </c>
      <c r="E183" s="668" t="s">
        <v>566</v>
      </c>
      <c r="F183" s="668" t="s">
        <v>803</v>
      </c>
      <c r="G183" s="668">
        <v>1039690196</v>
      </c>
      <c r="H183" s="668" t="s">
        <v>463</v>
      </c>
      <c r="I183" s="668" t="s">
        <v>1635</v>
      </c>
      <c r="J183" s="668" t="s">
        <v>503</v>
      </c>
      <c r="K183" s="668" t="s">
        <v>464</v>
      </c>
      <c r="L183" s="668">
        <v>350738</v>
      </c>
      <c r="M183" s="298">
        <v>44942</v>
      </c>
      <c r="N183" s="812">
        <v>500000</v>
      </c>
      <c r="O183" s="812">
        <v>0</v>
      </c>
      <c r="P183" s="812">
        <v>0</v>
      </c>
      <c r="Q183" s="812">
        <v>0</v>
      </c>
      <c r="R183" s="812">
        <v>0</v>
      </c>
      <c r="S183" s="812">
        <v>500000</v>
      </c>
      <c r="T183" s="668">
        <v>350738</v>
      </c>
      <c r="U183" s="298">
        <v>44946</v>
      </c>
      <c r="V183" s="668" t="s">
        <v>261</v>
      </c>
      <c r="W183" s="668"/>
      <c r="X183" s="668"/>
      <c r="Y183" s="298">
        <v>44946</v>
      </c>
      <c r="Z183" s="668" t="s">
        <v>254</v>
      </c>
      <c r="AA183" s="668" t="s">
        <v>544</v>
      </c>
      <c r="AB183" s="668" t="s">
        <v>647</v>
      </c>
      <c r="AC183" s="668">
        <v>79968044</v>
      </c>
    </row>
    <row r="184" spans="1:29">
      <c r="A184" s="668">
        <v>172</v>
      </c>
      <c r="B184" s="668">
        <v>115</v>
      </c>
      <c r="C184" s="668">
        <v>78876</v>
      </c>
      <c r="D184" s="668">
        <v>191</v>
      </c>
      <c r="E184" s="668" t="s">
        <v>805</v>
      </c>
      <c r="F184" s="668" t="s">
        <v>862</v>
      </c>
      <c r="G184" s="668">
        <v>901352633</v>
      </c>
      <c r="H184" s="668" t="s">
        <v>1636</v>
      </c>
      <c r="I184" s="668" t="s">
        <v>1637</v>
      </c>
      <c r="J184" s="668" t="s">
        <v>503</v>
      </c>
      <c r="K184" s="668" t="s">
        <v>1638</v>
      </c>
      <c r="L184" s="668">
        <v>351525</v>
      </c>
      <c r="M184" s="298">
        <v>44942</v>
      </c>
      <c r="N184" s="812">
        <v>8462786.0199999996</v>
      </c>
      <c r="O184" s="812">
        <v>211569.65</v>
      </c>
      <c r="P184" s="812">
        <v>0</v>
      </c>
      <c r="Q184" s="812">
        <v>0</v>
      </c>
      <c r="R184" s="812">
        <v>0</v>
      </c>
      <c r="S184" s="812">
        <v>8251216.3700000001</v>
      </c>
      <c r="T184" s="668">
        <v>351525</v>
      </c>
      <c r="U184" s="298">
        <v>44946</v>
      </c>
      <c r="V184" s="668" t="s">
        <v>261</v>
      </c>
      <c r="W184" s="668"/>
      <c r="X184" s="668"/>
      <c r="Y184" s="298">
        <v>44946</v>
      </c>
      <c r="Z184" s="668" t="s">
        <v>725</v>
      </c>
      <c r="AA184" s="668" t="s">
        <v>680</v>
      </c>
      <c r="AB184" s="668" t="s">
        <v>504</v>
      </c>
      <c r="AC184" s="668">
        <v>80000000</v>
      </c>
    </row>
    <row r="185" spans="1:29">
      <c r="A185" s="668">
        <v>172</v>
      </c>
      <c r="B185" s="668">
        <v>116</v>
      </c>
      <c r="C185" s="668">
        <v>74404</v>
      </c>
      <c r="D185" s="668">
        <v>185</v>
      </c>
      <c r="E185" s="668" t="s">
        <v>566</v>
      </c>
      <c r="F185" s="668" t="s">
        <v>1119</v>
      </c>
      <c r="G185" s="668">
        <v>1039690196</v>
      </c>
      <c r="H185" s="668" t="s">
        <v>463</v>
      </c>
      <c r="I185" s="668" t="s">
        <v>1639</v>
      </c>
      <c r="J185" s="668" t="s">
        <v>503</v>
      </c>
      <c r="K185" s="668" t="s">
        <v>464</v>
      </c>
      <c r="L185" s="668">
        <v>351389</v>
      </c>
      <c r="M185" s="298">
        <v>44942</v>
      </c>
      <c r="N185" s="812">
        <v>500000</v>
      </c>
      <c r="O185" s="812">
        <v>0</v>
      </c>
      <c r="P185" s="812">
        <v>0</v>
      </c>
      <c r="Q185" s="812">
        <v>0</v>
      </c>
      <c r="R185" s="812">
        <v>0</v>
      </c>
      <c r="S185" s="812">
        <v>500000</v>
      </c>
      <c r="T185" s="668">
        <v>351389</v>
      </c>
      <c r="U185" s="298">
        <v>44946</v>
      </c>
      <c r="V185" s="668" t="s">
        <v>261</v>
      </c>
      <c r="W185" s="668"/>
      <c r="X185" s="668"/>
      <c r="Y185" s="298">
        <v>44946</v>
      </c>
      <c r="Z185" s="668" t="s">
        <v>254</v>
      </c>
      <c r="AA185" s="668" t="s">
        <v>544</v>
      </c>
      <c r="AB185" s="668" t="s">
        <v>647</v>
      </c>
      <c r="AC185" s="668">
        <v>79954537</v>
      </c>
    </row>
    <row r="186" spans="1:29">
      <c r="A186" s="668">
        <v>172</v>
      </c>
      <c r="B186" s="668">
        <v>117</v>
      </c>
      <c r="C186" s="668">
        <v>74404</v>
      </c>
      <c r="D186" s="668">
        <v>185</v>
      </c>
      <c r="E186" s="668" t="s">
        <v>566</v>
      </c>
      <c r="F186" s="668" t="s">
        <v>1119</v>
      </c>
      <c r="G186" s="668">
        <v>1039690196</v>
      </c>
      <c r="H186" s="668" t="s">
        <v>463</v>
      </c>
      <c r="I186" s="668" t="s">
        <v>1640</v>
      </c>
      <c r="J186" s="668" t="s">
        <v>503</v>
      </c>
      <c r="K186" s="668" t="s">
        <v>464</v>
      </c>
      <c r="L186" s="668">
        <v>351394</v>
      </c>
      <c r="M186" s="298">
        <v>44942</v>
      </c>
      <c r="N186" s="812">
        <v>500000</v>
      </c>
      <c r="O186" s="812">
        <v>0</v>
      </c>
      <c r="P186" s="812">
        <v>0</v>
      </c>
      <c r="Q186" s="812">
        <v>0</v>
      </c>
      <c r="R186" s="812">
        <v>0</v>
      </c>
      <c r="S186" s="812">
        <v>500000</v>
      </c>
      <c r="T186" s="668">
        <v>351394</v>
      </c>
      <c r="U186" s="298">
        <v>44946</v>
      </c>
      <c r="V186" s="668" t="s">
        <v>261</v>
      </c>
      <c r="W186" s="668"/>
      <c r="X186" s="668"/>
      <c r="Y186" s="298">
        <v>44946</v>
      </c>
      <c r="Z186" s="668" t="s">
        <v>254</v>
      </c>
      <c r="AA186" s="668" t="s">
        <v>544</v>
      </c>
      <c r="AB186" s="668" t="s">
        <v>647</v>
      </c>
      <c r="AC186" s="668">
        <v>79954537</v>
      </c>
    </row>
    <row r="187" spans="1:29">
      <c r="A187" s="668">
        <v>172</v>
      </c>
      <c r="B187" s="668">
        <v>118</v>
      </c>
      <c r="C187" s="668">
        <v>74413</v>
      </c>
      <c r="D187" s="668">
        <v>185</v>
      </c>
      <c r="E187" s="668" t="s">
        <v>566</v>
      </c>
      <c r="F187" s="668" t="s">
        <v>1018</v>
      </c>
      <c r="G187" s="668">
        <v>901555413</v>
      </c>
      <c r="H187" s="668" t="s">
        <v>1094</v>
      </c>
      <c r="I187" s="668" t="s">
        <v>1641</v>
      </c>
      <c r="J187" s="668" t="s">
        <v>503</v>
      </c>
      <c r="K187" s="668" t="s">
        <v>1095</v>
      </c>
      <c r="L187" s="668">
        <v>351496</v>
      </c>
      <c r="M187" s="298">
        <v>44942</v>
      </c>
      <c r="N187" s="812">
        <v>1247612</v>
      </c>
      <c r="O187" s="812">
        <v>0</v>
      </c>
      <c r="P187" s="812">
        <v>0</v>
      </c>
      <c r="Q187" s="812">
        <v>0</v>
      </c>
      <c r="R187" s="812">
        <v>0</v>
      </c>
      <c r="S187" s="812">
        <v>1247612</v>
      </c>
      <c r="T187" s="668">
        <v>351496</v>
      </c>
      <c r="U187" s="298">
        <v>44946</v>
      </c>
      <c r="V187" s="668" t="s">
        <v>261</v>
      </c>
      <c r="W187" s="668"/>
      <c r="X187" s="668"/>
      <c r="Y187" s="298">
        <v>44946</v>
      </c>
      <c r="Z187" s="668" t="s">
        <v>254</v>
      </c>
      <c r="AA187" s="668" t="s">
        <v>544</v>
      </c>
      <c r="AB187" s="668" t="s">
        <v>647</v>
      </c>
      <c r="AC187" s="668">
        <v>79948314</v>
      </c>
    </row>
    <row r="188" spans="1:29">
      <c r="A188" s="668">
        <v>172</v>
      </c>
      <c r="B188" s="668">
        <v>119</v>
      </c>
      <c r="C188" s="668">
        <v>74413</v>
      </c>
      <c r="D188" s="668">
        <v>185</v>
      </c>
      <c r="E188" s="668" t="s">
        <v>566</v>
      </c>
      <c r="F188" s="668" t="s">
        <v>1018</v>
      </c>
      <c r="G188" s="668">
        <v>901555413</v>
      </c>
      <c r="H188" s="668" t="s">
        <v>1094</v>
      </c>
      <c r="I188" s="668" t="s">
        <v>1642</v>
      </c>
      <c r="J188" s="668" t="s">
        <v>503</v>
      </c>
      <c r="K188" s="668" t="s">
        <v>1095</v>
      </c>
      <c r="L188" s="668">
        <v>351498</v>
      </c>
      <c r="M188" s="298">
        <v>44942</v>
      </c>
      <c r="N188" s="812">
        <v>1247612</v>
      </c>
      <c r="O188" s="812">
        <v>0</v>
      </c>
      <c r="P188" s="812">
        <v>0</v>
      </c>
      <c r="Q188" s="812">
        <v>0</v>
      </c>
      <c r="R188" s="812">
        <v>0</v>
      </c>
      <c r="S188" s="812">
        <v>1247612</v>
      </c>
      <c r="T188" s="668">
        <v>351498</v>
      </c>
      <c r="U188" s="298">
        <v>44946</v>
      </c>
      <c r="V188" s="668" t="s">
        <v>261</v>
      </c>
      <c r="W188" s="668"/>
      <c r="X188" s="668"/>
      <c r="Y188" s="298">
        <v>44946</v>
      </c>
      <c r="Z188" s="668" t="s">
        <v>254</v>
      </c>
      <c r="AA188" s="668" t="s">
        <v>544</v>
      </c>
      <c r="AB188" s="668" t="s">
        <v>647</v>
      </c>
      <c r="AC188" s="668">
        <v>79948314</v>
      </c>
    </row>
    <row r="189" spans="1:29">
      <c r="A189" s="668">
        <v>172</v>
      </c>
      <c r="B189" s="668">
        <v>120</v>
      </c>
      <c r="C189" s="668">
        <v>74413</v>
      </c>
      <c r="D189" s="668">
        <v>185</v>
      </c>
      <c r="E189" s="668" t="s">
        <v>566</v>
      </c>
      <c r="F189" s="668" t="s">
        <v>1018</v>
      </c>
      <c r="G189" s="668">
        <v>901555413</v>
      </c>
      <c r="H189" s="668" t="s">
        <v>1094</v>
      </c>
      <c r="I189" s="668" t="s">
        <v>1643</v>
      </c>
      <c r="J189" s="668" t="s">
        <v>503</v>
      </c>
      <c r="K189" s="668" t="s">
        <v>1095</v>
      </c>
      <c r="L189" s="668">
        <v>351502</v>
      </c>
      <c r="M189" s="298">
        <v>44942</v>
      </c>
      <c r="N189" s="812">
        <v>4990448</v>
      </c>
      <c r="O189" s="812">
        <v>0</v>
      </c>
      <c r="P189" s="812">
        <v>0</v>
      </c>
      <c r="Q189" s="812">
        <v>0</v>
      </c>
      <c r="R189" s="812">
        <v>0</v>
      </c>
      <c r="S189" s="812">
        <v>4990448</v>
      </c>
      <c r="T189" s="668">
        <v>351502</v>
      </c>
      <c r="U189" s="298">
        <v>44946</v>
      </c>
      <c r="V189" s="668" t="s">
        <v>261</v>
      </c>
      <c r="W189" s="668"/>
      <c r="X189" s="668"/>
      <c r="Y189" s="298">
        <v>44946</v>
      </c>
      <c r="Z189" s="668" t="s">
        <v>254</v>
      </c>
      <c r="AA189" s="668" t="s">
        <v>544</v>
      </c>
      <c r="AB189" s="668" t="s">
        <v>647</v>
      </c>
      <c r="AC189" s="668">
        <v>79948314</v>
      </c>
    </row>
    <row r="190" spans="1:29">
      <c r="A190" s="668">
        <v>172</v>
      </c>
      <c r="B190" s="668">
        <v>121</v>
      </c>
      <c r="C190" s="668">
        <v>74413</v>
      </c>
      <c r="D190" s="668">
        <v>185</v>
      </c>
      <c r="E190" s="668" t="s">
        <v>566</v>
      </c>
      <c r="F190" s="668" t="s">
        <v>1018</v>
      </c>
      <c r="G190" s="668">
        <v>901555413</v>
      </c>
      <c r="H190" s="668" t="s">
        <v>1094</v>
      </c>
      <c r="I190" s="668" t="s">
        <v>1644</v>
      </c>
      <c r="J190" s="668" t="s">
        <v>503</v>
      </c>
      <c r="K190" s="668" t="s">
        <v>1095</v>
      </c>
      <c r="L190" s="668">
        <v>351505</v>
      </c>
      <c r="M190" s="298">
        <v>44942</v>
      </c>
      <c r="N190" s="812">
        <v>6014936</v>
      </c>
      <c r="O190" s="812">
        <v>0</v>
      </c>
      <c r="P190" s="812">
        <v>0</v>
      </c>
      <c r="Q190" s="812">
        <v>0</v>
      </c>
      <c r="R190" s="812">
        <v>0</v>
      </c>
      <c r="S190" s="812">
        <v>6014936</v>
      </c>
      <c r="T190" s="668">
        <v>351505</v>
      </c>
      <c r="U190" s="298">
        <v>44946</v>
      </c>
      <c r="V190" s="668" t="s">
        <v>261</v>
      </c>
      <c r="W190" s="668"/>
      <c r="X190" s="668"/>
      <c r="Y190" s="298">
        <v>44946</v>
      </c>
      <c r="Z190" s="668" t="s">
        <v>254</v>
      </c>
      <c r="AA190" s="668" t="s">
        <v>544</v>
      </c>
      <c r="AB190" s="668" t="s">
        <v>647</v>
      </c>
      <c r="AC190" s="668">
        <v>79948314</v>
      </c>
    </row>
    <row r="191" spans="1:29">
      <c r="A191" s="668">
        <v>172</v>
      </c>
      <c r="B191" s="668">
        <v>122</v>
      </c>
      <c r="C191" s="668">
        <v>74412</v>
      </c>
      <c r="D191" s="668">
        <v>169</v>
      </c>
      <c r="E191" s="668" t="s">
        <v>573</v>
      </c>
      <c r="F191" s="668" t="s">
        <v>607</v>
      </c>
      <c r="G191" s="668">
        <v>1118541079</v>
      </c>
      <c r="H191" s="668" t="s">
        <v>1113</v>
      </c>
      <c r="I191" s="668" t="s">
        <v>1645</v>
      </c>
      <c r="J191" s="668" t="s">
        <v>503</v>
      </c>
      <c r="K191" s="668" t="s">
        <v>1114</v>
      </c>
      <c r="L191" s="668">
        <v>351530</v>
      </c>
      <c r="M191" s="298">
        <v>44942</v>
      </c>
      <c r="N191" s="812">
        <v>600000</v>
      </c>
      <c r="O191" s="812">
        <v>0</v>
      </c>
      <c r="P191" s="812">
        <v>0</v>
      </c>
      <c r="Q191" s="812">
        <v>0</v>
      </c>
      <c r="R191" s="812">
        <v>0</v>
      </c>
      <c r="S191" s="812">
        <v>600000</v>
      </c>
      <c r="T191" s="668">
        <v>351530</v>
      </c>
      <c r="U191" s="298">
        <v>44946</v>
      </c>
      <c r="V191" s="668" t="s">
        <v>261</v>
      </c>
      <c r="W191" s="668"/>
      <c r="X191" s="668"/>
      <c r="Y191" s="298">
        <v>44946</v>
      </c>
      <c r="Z191" s="668" t="s">
        <v>304</v>
      </c>
      <c r="AA191" s="668" t="s">
        <v>548</v>
      </c>
      <c r="AB191" s="668" t="s">
        <v>504</v>
      </c>
      <c r="AC191" s="668">
        <v>119417574</v>
      </c>
    </row>
    <row r="192" spans="1:29">
      <c r="A192" s="668">
        <v>172</v>
      </c>
      <c r="B192" s="668">
        <v>123</v>
      </c>
      <c r="C192" s="668">
        <v>74404</v>
      </c>
      <c r="D192" s="668">
        <v>185</v>
      </c>
      <c r="E192" s="668" t="s">
        <v>566</v>
      </c>
      <c r="F192" s="668" t="s">
        <v>1119</v>
      </c>
      <c r="G192" s="668">
        <v>1039690196</v>
      </c>
      <c r="H192" s="668" t="s">
        <v>463</v>
      </c>
      <c r="I192" s="668" t="s">
        <v>1646</v>
      </c>
      <c r="J192" s="668" t="s">
        <v>503</v>
      </c>
      <c r="K192" s="668" t="s">
        <v>464</v>
      </c>
      <c r="L192" s="668">
        <v>351531</v>
      </c>
      <c r="M192" s="298">
        <v>44942</v>
      </c>
      <c r="N192" s="812">
        <v>500000</v>
      </c>
      <c r="O192" s="812">
        <v>0</v>
      </c>
      <c r="P192" s="812">
        <v>0</v>
      </c>
      <c r="Q192" s="812">
        <v>0</v>
      </c>
      <c r="R192" s="812">
        <v>0</v>
      </c>
      <c r="S192" s="812">
        <v>500000</v>
      </c>
      <c r="T192" s="668">
        <v>351531</v>
      </c>
      <c r="U192" s="298">
        <v>44946</v>
      </c>
      <c r="V192" s="668" t="s">
        <v>261</v>
      </c>
      <c r="W192" s="668"/>
      <c r="X192" s="668"/>
      <c r="Y192" s="298">
        <v>44946</v>
      </c>
      <c r="Z192" s="668" t="s">
        <v>254</v>
      </c>
      <c r="AA192" s="668" t="s">
        <v>544</v>
      </c>
      <c r="AB192" s="668" t="s">
        <v>647</v>
      </c>
      <c r="AC192" s="668">
        <v>79954537</v>
      </c>
    </row>
    <row r="193" spans="1:29">
      <c r="A193" s="668">
        <v>172</v>
      </c>
      <c r="B193" s="668">
        <v>124</v>
      </c>
      <c r="C193" s="668">
        <v>79223</v>
      </c>
      <c r="D193" s="668">
        <v>190</v>
      </c>
      <c r="E193" s="668" t="s">
        <v>673</v>
      </c>
      <c r="F193" s="668" t="s">
        <v>889</v>
      </c>
      <c r="G193" s="668">
        <v>901574607</v>
      </c>
      <c r="H193" s="668" t="s">
        <v>922</v>
      </c>
      <c r="I193" s="668" t="s">
        <v>1647</v>
      </c>
      <c r="J193" s="668" t="s">
        <v>503</v>
      </c>
      <c r="K193" s="668" t="s">
        <v>923</v>
      </c>
      <c r="L193" s="668">
        <v>351553</v>
      </c>
      <c r="M193" s="298">
        <v>44942</v>
      </c>
      <c r="N193" s="812">
        <v>2149260</v>
      </c>
      <c r="O193" s="812">
        <v>0</v>
      </c>
      <c r="P193" s="812">
        <v>0</v>
      </c>
      <c r="Q193" s="812">
        <v>0</v>
      </c>
      <c r="R193" s="812">
        <v>0</v>
      </c>
      <c r="S193" s="812">
        <v>2149260</v>
      </c>
      <c r="T193" s="668">
        <v>351553</v>
      </c>
      <c r="U193" s="298">
        <v>44946</v>
      </c>
      <c r="V193" s="668" t="s">
        <v>261</v>
      </c>
      <c r="W193" s="668"/>
      <c r="X193" s="668"/>
      <c r="Y193" s="298">
        <v>44946</v>
      </c>
      <c r="Z193" s="668" t="s">
        <v>259</v>
      </c>
      <c r="AA193" s="668" t="s">
        <v>675</v>
      </c>
      <c r="AB193" s="668" t="s">
        <v>504</v>
      </c>
      <c r="AC193" s="668">
        <v>78133236</v>
      </c>
    </row>
    <row r="194" spans="1:29">
      <c r="A194" s="668">
        <v>172</v>
      </c>
      <c r="B194" s="668">
        <v>125</v>
      </c>
      <c r="C194" s="668">
        <v>74338</v>
      </c>
      <c r="D194" s="668">
        <v>169</v>
      </c>
      <c r="E194" s="668" t="s">
        <v>573</v>
      </c>
      <c r="F194" s="668" t="s">
        <v>939</v>
      </c>
      <c r="G194" s="668">
        <v>901557489</v>
      </c>
      <c r="H194" s="668" t="s">
        <v>973</v>
      </c>
      <c r="I194" s="668" t="s">
        <v>1648</v>
      </c>
      <c r="J194" s="668" t="s">
        <v>503</v>
      </c>
      <c r="K194" s="668" t="s">
        <v>974</v>
      </c>
      <c r="L194" s="668">
        <v>351556</v>
      </c>
      <c r="M194" s="298">
        <v>44942</v>
      </c>
      <c r="N194" s="812">
        <v>1177100</v>
      </c>
      <c r="O194" s="812">
        <v>0</v>
      </c>
      <c r="P194" s="812">
        <v>0</v>
      </c>
      <c r="Q194" s="812">
        <v>0</v>
      </c>
      <c r="R194" s="812">
        <v>0</v>
      </c>
      <c r="S194" s="812">
        <v>1177100</v>
      </c>
      <c r="T194" s="668">
        <v>351556</v>
      </c>
      <c r="U194" s="298">
        <v>44946</v>
      </c>
      <c r="V194" s="668" t="s">
        <v>261</v>
      </c>
      <c r="W194" s="668"/>
      <c r="X194" s="668"/>
      <c r="Y194" s="298">
        <v>44946</v>
      </c>
      <c r="Z194" s="668" t="s">
        <v>304</v>
      </c>
      <c r="AA194" s="668" t="s">
        <v>548</v>
      </c>
      <c r="AB194" s="668" t="s">
        <v>504</v>
      </c>
      <c r="AC194" s="668">
        <v>123089536</v>
      </c>
    </row>
    <row r="195" spans="1:29">
      <c r="A195" s="668">
        <v>172</v>
      </c>
      <c r="B195" s="668">
        <v>126</v>
      </c>
      <c r="C195" s="668">
        <v>74369</v>
      </c>
      <c r="D195" s="668">
        <v>175</v>
      </c>
      <c r="E195" s="668" t="s">
        <v>492</v>
      </c>
      <c r="F195" s="668" t="s">
        <v>1347</v>
      </c>
      <c r="G195" s="668">
        <v>1108764856</v>
      </c>
      <c r="H195" s="668" t="s">
        <v>1649</v>
      </c>
      <c r="I195" s="668" t="s">
        <v>1650</v>
      </c>
      <c r="J195" s="668" t="s">
        <v>503</v>
      </c>
      <c r="K195" s="668" t="s">
        <v>1651</v>
      </c>
      <c r="L195" s="668">
        <v>346777</v>
      </c>
      <c r="M195" s="298">
        <v>44942</v>
      </c>
      <c r="N195" s="812">
        <v>700000</v>
      </c>
      <c r="O195" s="812">
        <v>0</v>
      </c>
      <c r="P195" s="812">
        <v>0</v>
      </c>
      <c r="Q195" s="812">
        <v>0</v>
      </c>
      <c r="R195" s="812">
        <v>0</v>
      </c>
      <c r="S195" s="812">
        <v>700000</v>
      </c>
      <c r="T195" s="668">
        <v>346777</v>
      </c>
      <c r="U195" s="298">
        <v>44946</v>
      </c>
      <c r="V195" s="668" t="s">
        <v>261</v>
      </c>
      <c r="W195" s="668"/>
      <c r="X195" s="668"/>
      <c r="Y195" s="298">
        <v>44946</v>
      </c>
      <c r="Z195" s="668" t="s">
        <v>493</v>
      </c>
      <c r="AA195" s="668" t="s">
        <v>540</v>
      </c>
      <c r="AB195" s="668" t="s">
        <v>505</v>
      </c>
      <c r="AC195" s="668">
        <v>123984828</v>
      </c>
    </row>
    <row r="196" spans="1:29">
      <c r="A196" s="668">
        <v>172</v>
      </c>
      <c r="B196" s="668">
        <v>127</v>
      </c>
      <c r="C196" s="668">
        <v>72972</v>
      </c>
      <c r="D196" s="668">
        <v>188</v>
      </c>
      <c r="E196" s="668" t="s">
        <v>582</v>
      </c>
      <c r="F196" s="668" t="s">
        <v>614</v>
      </c>
      <c r="G196" s="668">
        <v>901554188</v>
      </c>
      <c r="H196" s="668" t="s">
        <v>794</v>
      </c>
      <c r="I196" s="668" t="s">
        <v>1652</v>
      </c>
      <c r="J196" s="668" t="s">
        <v>503</v>
      </c>
      <c r="K196" s="668" t="s">
        <v>860</v>
      </c>
      <c r="L196" s="668">
        <v>348977</v>
      </c>
      <c r="M196" s="298">
        <v>44942</v>
      </c>
      <c r="N196" s="812">
        <v>3602116</v>
      </c>
      <c r="O196" s="812">
        <v>0</v>
      </c>
      <c r="P196" s="812">
        <v>0</v>
      </c>
      <c r="Q196" s="812">
        <v>0</v>
      </c>
      <c r="R196" s="812">
        <v>0</v>
      </c>
      <c r="S196" s="812">
        <v>3602116</v>
      </c>
      <c r="T196" s="668">
        <v>348977</v>
      </c>
      <c r="U196" s="298">
        <v>44946</v>
      </c>
      <c r="V196" s="668" t="s">
        <v>261</v>
      </c>
      <c r="W196" s="668"/>
      <c r="X196" s="668"/>
      <c r="Y196" s="298">
        <v>44946</v>
      </c>
      <c r="Z196" s="668" t="s">
        <v>256</v>
      </c>
      <c r="AA196" s="668" t="s">
        <v>541</v>
      </c>
      <c r="AB196" s="668" t="s">
        <v>504</v>
      </c>
      <c r="AC196" s="668">
        <v>79560797</v>
      </c>
    </row>
    <row r="197" spans="1:29">
      <c r="A197" s="668">
        <v>172</v>
      </c>
      <c r="B197" s="668">
        <v>128</v>
      </c>
      <c r="C197" s="668">
        <v>72790</v>
      </c>
      <c r="D197" s="668">
        <v>185</v>
      </c>
      <c r="E197" s="668" t="s">
        <v>566</v>
      </c>
      <c r="F197" s="668" t="s">
        <v>1122</v>
      </c>
      <c r="G197" s="668">
        <v>891700037</v>
      </c>
      <c r="H197" s="668" t="s">
        <v>1653</v>
      </c>
      <c r="I197" s="668" t="s">
        <v>1654</v>
      </c>
      <c r="J197" s="668" t="s">
        <v>507</v>
      </c>
      <c r="K197" s="668" t="s">
        <v>1065</v>
      </c>
      <c r="L197" s="668">
        <v>350507</v>
      </c>
      <c r="M197" s="298">
        <v>44942</v>
      </c>
      <c r="N197" s="812">
        <v>208730</v>
      </c>
      <c r="O197" s="812">
        <v>0</v>
      </c>
      <c r="P197" s="812">
        <v>0</v>
      </c>
      <c r="Q197" s="812">
        <v>0</v>
      </c>
      <c r="R197" s="812">
        <v>0</v>
      </c>
      <c r="S197" s="812">
        <v>208730</v>
      </c>
      <c r="T197" s="668">
        <v>350507</v>
      </c>
      <c r="U197" s="298">
        <v>44946</v>
      </c>
      <c r="V197" s="668" t="s">
        <v>261</v>
      </c>
      <c r="W197" s="668"/>
      <c r="X197" s="668"/>
      <c r="Y197" s="298">
        <v>44946</v>
      </c>
      <c r="Z197" s="668" t="s">
        <v>254</v>
      </c>
      <c r="AA197" s="668" t="s">
        <v>544</v>
      </c>
      <c r="AB197" s="668" t="s">
        <v>647</v>
      </c>
      <c r="AC197" s="668">
        <v>79949554</v>
      </c>
    </row>
    <row r="198" spans="1:29">
      <c r="A198" s="668">
        <v>172</v>
      </c>
      <c r="B198" s="668">
        <v>129</v>
      </c>
      <c r="C198" s="668">
        <v>74655</v>
      </c>
      <c r="D198" s="668">
        <v>171</v>
      </c>
      <c r="E198" s="668" t="s">
        <v>616</v>
      </c>
      <c r="F198" s="668" t="s">
        <v>814</v>
      </c>
      <c r="G198" s="668">
        <v>900444489</v>
      </c>
      <c r="H198" s="668" t="s">
        <v>1081</v>
      </c>
      <c r="I198" s="668" t="s">
        <v>1655</v>
      </c>
      <c r="J198" s="668" t="s">
        <v>507</v>
      </c>
      <c r="K198" s="668" t="s">
        <v>1082</v>
      </c>
      <c r="L198" s="668">
        <v>350781</v>
      </c>
      <c r="M198" s="298">
        <v>44942</v>
      </c>
      <c r="N198" s="812">
        <v>4744800</v>
      </c>
      <c r="O198" s="812">
        <v>0</v>
      </c>
      <c r="P198" s="812">
        <v>0</v>
      </c>
      <c r="Q198" s="812">
        <v>0</v>
      </c>
      <c r="R198" s="812">
        <v>0</v>
      </c>
      <c r="S198" s="812">
        <v>4744800</v>
      </c>
      <c r="T198" s="668">
        <v>350781</v>
      </c>
      <c r="U198" s="298">
        <v>44944</v>
      </c>
      <c r="V198" s="668" t="s">
        <v>261</v>
      </c>
      <c r="W198" s="668"/>
      <c r="X198" s="668"/>
      <c r="Y198" s="298">
        <v>44944</v>
      </c>
      <c r="Z198" s="668" t="s">
        <v>254</v>
      </c>
      <c r="AA198" s="668" t="s">
        <v>544</v>
      </c>
      <c r="AB198" s="668" t="s">
        <v>647</v>
      </c>
      <c r="AC198" s="668">
        <v>122223675</v>
      </c>
    </row>
    <row r="199" spans="1:29">
      <c r="A199" s="668">
        <v>172</v>
      </c>
      <c r="B199" s="668">
        <v>130</v>
      </c>
      <c r="C199" s="668">
        <v>74369</v>
      </c>
      <c r="D199" s="668">
        <v>175</v>
      </c>
      <c r="E199" s="668" t="s">
        <v>492</v>
      </c>
      <c r="F199" s="668" t="s">
        <v>1347</v>
      </c>
      <c r="G199" s="668">
        <v>901535438</v>
      </c>
      <c r="H199" s="668" t="s">
        <v>1656</v>
      </c>
      <c r="I199" s="668" t="s">
        <v>1657</v>
      </c>
      <c r="J199" s="668" t="s">
        <v>503</v>
      </c>
      <c r="K199" s="668" t="s">
        <v>1658</v>
      </c>
      <c r="L199" s="668">
        <v>350889</v>
      </c>
      <c r="M199" s="298">
        <v>44942</v>
      </c>
      <c r="N199" s="812">
        <v>1247612</v>
      </c>
      <c r="O199" s="812">
        <v>0</v>
      </c>
      <c r="P199" s="812">
        <v>0</v>
      </c>
      <c r="Q199" s="812">
        <v>0</v>
      </c>
      <c r="R199" s="812">
        <v>0</v>
      </c>
      <c r="S199" s="812">
        <v>1247612</v>
      </c>
      <c r="T199" s="668">
        <v>350889</v>
      </c>
      <c r="U199" s="298">
        <v>44946</v>
      </c>
      <c r="V199" s="668" t="s">
        <v>261</v>
      </c>
      <c r="W199" s="668"/>
      <c r="X199" s="668"/>
      <c r="Y199" s="298">
        <v>44946</v>
      </c>
      <c r="Z199" s="668" t="s">
        <v>493</v>
      </c>
      <c r="AA199" s="668" t="s">
        <v>540</v>
      </c>
      <c r="AB199" s="668" t="s">
        <v>505</v>
      </c>
      <c r="AC199" s="668">
        <v>123984828</v>
      </c>
    </row>
    <row r="200" spans="1:29">
      <c r="A200" s="668">
        <v>172</v>
      </c>
      <c r="B200" s="668">
        <v>131</v>
      </c>
      <c r="C200" s="668">
        <v>74369</v>
      </c>
      <c r="D200" s="668">
        <v>175</v>
      </c>
      <c r="E200" s="668" t="s">
        <v>492</v>
      </c>
      <c r="F200" s="668" t="s">
        <v>1347</v>
      </c>
      <c r="G200" s="668">
        <v>901535438</v>
      </c>
      <c r="H200" s="668" t="s">
        <v>1656</v>
      </c>
      <c r="I200" s="668" t="s">
        <v>1659</v>
      </c>
      <c r="J200" s="668" t="s">
        <v>503</v>
      </c>
      <c r="K200" s="668" t="s">
        <v>1658</v>
      </c>
      <c r="L200" s="668">
        <v>350901</v>
      </c>
      <c r="M200" s="298">
        <v>44942</v>
      </c>
      <c r="N200" s="812">
        <v>1247612</v>
      </c>
      <c r="O200" s="812">
        <v>0</v>
      </c>
      <c r="P200" s="812">
        <v>0</v>
      </c>
      <c r="Q200" s="812">
        <v>0</v>
      </c>
      <c r="R200" s="812">
        <v>0</v>
      </c>
      <c r="S200" s="812">
        <v>1247612</v>
      </c>
      <c r="T200" s="668">
        <v>350901</v>
      </c>
      <c r="U200" s="298">
        <v>44946</v>
      </c>
      <c r="V200" s="668" t="s">
        <v>261</v>
      </c>
      <c r="W200" s="668"/>
      <c r="X200" s="668"/>
      <c r="Y200" s="298">
        <v>44946</v>
      </c>
      <c r="Z200" s="668" t="s">
        <v>493</v>
      </c>
      <c r="AA200" s="668" t="s">
        <v>540</v>
      </c>
      <c r="AB200" s="668" t="s">
        <v>505</v>
      </c>
      <c r="AC200" s="668">
        <v>123984828</v>
      </c>
    </row>
    <row r="201" spans="1:29">
      <c r="A201" s="668">
        <v>172</v>
      </c>
      <c r="B201" s="668">
        <v>132</v>
      </c>
      <c r="C201" s="668">
        <v>74369</v>
      </c>
      <c r="D201" s="668">
        <v>175</v>
      </c>
      <c r="E201" s="668" t="s">
        <v>492</v>
      </c>
      <c r="F201" s="668" t="s">
        <v>1347</v>
      </c>
      <c r="G201" s="668">
        <v>901535438</v>
      </c>
      <c r="H201" s="668" t="s">
        <v>1656</v>
      </c>
      <c r="I201" s="668" t="s">
        <v>1660</v>
      </c>
      <c r="J201" s="668" t="s">
        <v>503</v>
      </c>
      <c r="K201" s="668" t="s">
        <v>1658</v>
      </c>
      <c r="L201" s="668">
        <v>350905</v>
      </c>
      <c r="M201" s="298">
        <v>44942</v>
      </c>
      <c r="N201" s="812">
        <v>1806198</v>
      </c>
      <c r="O201" s="812">
        <v>0</v>
      </c>
      <c r="P201" s="812">
        <v>0</v>
      </c>
      <c r="Q201" s="812">
        <v>0</v>
      </c>
      <c r="R201" s="812">
        <v>0</v>
      </c>
      <c r="S201" s="812">
        <v>1806198</v>
      </c>
      <c r="T201" s="668">
        <v>350905</v>
      </c>
      <c r="U201" s="298">
        <v>44946</v>
      </c>
      <c r="V201" s="668" t="s">
        <v>261</v>
      </c>
      <c r="W201" s="668"/>
      <c r="X201" s="668"/>
      <c r="Y201" s="298">
        <v>44946</v>
      </c>
      <c r="Z201" s="668" t="s">
        <v>493</v>
      </c>
      <c r="AA201" s="668" t="s">
        <v>540</v>
      </c>
      <c r="AB201" s="668" t="s">
        <v>505</v>
      </c>
      <c r="AC201" s="668">
        <v>123984828</v>
      </c>
    </row>
    <row r="202" spans="1:29">
      <c r="A202" s="668">
        <v>172</v>
      </c>
      <c r="B202" s="668">
        <v>133</v>
      </c>
      <c r="C202" s="668">
        <v>74369</v>
      </c>
      <c r="D202" s="668">
        <v>175</v>
      </c>
      <c r="E202" s="668" t="s">
        <v>492</v>
      </c>
      <c r="F202" s="668" t="s">
        <v>1347</v>
      </c>
      <c r="G202" s="668">
        <v>92526776</v>
      </c>
      <c r="H202" s="668" t="s">
        <v>462</v>
      </c>
      <c r="I202" s="668" t="s">
        <v>1661</v>
      </c>
      <c r="J202" s="668" t="s">
        <v>503</v>
      </c>
      <c r="K202" s="668" t="s">
        <v>806</v>
      </c>
      <c r="L202" s="668">
        <v>350921</v>
      </c>
      <c r="M202" s="298">
        <v>44942</v>
      </c>
      <c r="N202" s="812">
        <v>500000</v>
      </c>
      <c r="O202" s="812">
        <v>0</v>
      </c>
      <c r="P202" s="812">
        <v>0</v>
      </c>
      <c r="Q202" s="812">
        <v>0</v>
      </c>
      <c r="R202" s="812">
        <v>0</v>
      </c>
      <c r="S202" s="812">
        <v>500000</v>
      </c>
      <c r="T202" s="668">
        <v>350921</v>
      </c>
      <c r="U202" s="298">
        <v>44946</v>
      </c>
      <c r="V202" s="668" t="s">
        <v>261</v>
      </c>
      <c r="W202" s="668"/>
      <c r="X202" s="668"/>
      <c r="Y202" s="298">
        <v>44946</v>
      </c>
      <c r="Z202" s="668" t="s">
        <v>493</v>
      </c>
      <c r="AA202" s="668" t="s">
        <v>540</v>
      </c>
      <c r="AB202" s="668" t="s">
        <v>505</v>
      </c>
      <c r="AC202" s="668">
        <v>123984828</v>
      </c>
    </row>
    <row r="203" spans="1:29">
      <c r="A203" s="668">
        <v>172</v>
      </c>
      <c r="B203" s="668">
        <v>134</v>
      </c>
      <c r="C203" s="668">
        <v>74443</v>
      </c>
      <c r="D203" s="668">
        <v>185</v>
      </c>
      <c r="E203" s="668" t="s">
        <v>566</v>
      </c>
      <c r="F203" s="668" t="s">
        <v>1120</v>
      </c>
      <c r="G203" s="668">
        <v>43559350</v>
      </c>
      <c r="H203" s="668" t="s">
        <v>1662</v>
      </c>
      <c r="I203" s="668" t="s">
        <v>1663</v>
      </c>
      <c r="J203" s="668" t="s">
        <v>503</v>
      </c>
      <c r="K203" s="668" t="s">
        <v>1121</v>
      </c>
      <c r="L203" s="668">
        <v>351431</v>
      </c>
      <c r="M203" s="298">
        <v>44942</v>
      </c>
      <c r="N203" s="812">
        <v>2200000</v>
      </c>
      <c r="O203" s="812">
        <v>0</v>
      </c>
      <c r="P203" s="812">
        <v>0</v>
      </c>
      <c r="Q203" s="812">
        <v>0</v>
      </c>
      <c r="R203" s="812">
        <v>0</v>
      </c>
      <c r="S203" s="812">
        <v>2200000</v>
      </c>
      <c r="T203" s="668">
        <v>351431</v>
      </c>
      <c r="U203" s="298">
        <v>44946</v>
      </c>
      <c r="V203" s="668" t="s">
        <v>261</v>
      </c>
      <c r="W203" s="668"/>
      <c r="X203" s="668"/>
      <c r="Y203" s="298">
        <v>44946</v>
      </c>
      <c r="Z203" s="668" t="s">
        <v>254</v>
      </c>
      <c r="AA203" s="668" t="s">
        <v>544</v>
      </c>
      <c r="AB203" s="668" t="s">
        <v>647</v>
      </c>
      <c r="AC203" s="668">
        <v>79950599</v>
      </c>
    </row>
    <row r="204" spans="1:29">
      <c r="A204" s="668">
        <v>172</v>
      </c>
      <c r="B204" s="668">
        <v>135</v>
      </c>
      <c r="C204" s="668">
        <v>72972</v>
      </c>
      <c r="D204" s="668">
        <v>188</v>
      </c>
      <c r="E204" s="668" t="s">
        <v>582</v>
      </c>
      <c r="F204" s="668" t="s">
        <v>614</v>
      </c>
      <c r="G204" s="668">
        <v>1053786595</v>
      </c>
      <c r="H204" s="668" t="s">
        <v>519</v>
      </c>
      <c r="I204" s="668" t="s">
        <v>1664</v>
      </c>
      <c r="J204" s="668" t="s">
        <v>503</v>
      </c>
      <c r="K204" s="668" t="s">
        <v>520</v>
      </c>
      <c r="L204" s="668">
        <v>351558</v>
      </c>
      <c r="M204" s="298">
        <v>44942</v>
      </c>
      <c r="N204" s="812">
        <v>203290</v>
      </c>
      <c r="O204" s="812">
        <v>0</v>
      </c>
      <c r="P204" s="812">
        <v>0</v>
      </c>
      <c r="Q204" s="812">
        <v>0</v>
      </c>
      <c r="R204" s="812">
        <v>0</v>
      </c>
      <c r="S204" s="812">
        <v>203290</v>
      </c>
      <c r="T204" s="668">
        <v>351558</v>
      </c>
      <c r="U204" s="298">
        <v>44946</v>
      </c>
      <c r="V204" s="668" t="s">
        <v>261</v>
      </c>
      <c r="W204" s="668"/>
      <c r="X204" s="668"/>
      <c r="Y204" s="298">
        <v>44946</v>
      </c>
      <c r="Z204" s="668" t="s">
        <v>256</v>
      </c>
      <c r="AA204" s="668" t="s">
        <v>541</v>
      </c>
      <c r="AB204" s="668" t="s">
        <v>504</v>
      </c>
      <c r="AC204" s="668">
        <v>79560797</v>
      </c>
    </row>
    <row r="205" spans="1:29">
      <c r="A205" s="668">
        <v>172</v>
      </c>
      <c r="B205" s="668">
        <v>136</v>
      </c>
      <c r="C205" s="668">
        <v>78105</v>
      </c>
      <c r="D205" s="668">
        <v>191</v>
      </c>
      <c r="E205" s="668" t="s">
        <v>805</v>
      </c>
      <c r="F205" s="668" t="s">
        <v>947</v>
      </c>
      <c r="G205" s="668">
        <v>901594791</v>
      </c>
      <c r="H205" s="668" t="s">
        <v>1104</v>
      </c>
      <c r="I205" s="668" t="s">
        <v>1665</v>
      </c>
      <c r="J205" s="668" t="s">
        <v>503</v>
      </c>
      <c r="K205" s="668" t="s">
        <v>1105</v>
      </c>
      <c r="L205" s="668">
        <v>349254</v>
      </c>
      <c r="M205" s="298">
        <v>44942</v>
      </c>
      <c r="N205" s="812">
        <v>3903918</v>
      </c>
      <c r="O205" s="812">
        <v>0</v>
      </c>
      <c r="P205" s="812">
        <v>0</v>
      </c>
      <c r="Q205" s="812">
        <v>0</v>
      </c>
      <c r="R205" s="812">
        <v>0</v>
      </c>
      <c r="S205" s="812">
        <v>3903918</v>
      </c>
      <c r="T205" s="668">
        <v>349254</v>
      </c>
      <c r="U205" s="298">
        <v>44946</v>
      </c>
      <c r="V205" s="668" t="s">
        <v>261</v>
      </c>
      <c r="W205" s="668"/>
      <c r="X205" s="668"/>
      <c r="Y205" s="298">
        <v>44946</v>
      </c>
      <c r="Z205" s="668" t="s">
        <v>725</v>
      </c>
      <c r="AA205" s="668" t="s">
        <v>662</v>
      </c>
      <c r="AB205" s="668" t="s">
        <v>504</v>
      </c>
      <c r="AC205" s="668">
        <v>80000000</v>
      </c>
    </row>
    <row r="206" spans="1:29">
      <c r="A206" s="668">
        <v>172</v>
      </c>
      <c r="B206" s="668">
        <v>137</v>
      </c>
      <c r="C206" s="668">
        <v>78460</v>
      </c>
      <c r="D206" s="668">
        <v>191</v>
      </c>
      <c r="E206" s="668" t="s">
        <v>805</v>
      </c>
      <c r="F206" s="668" t="s">
        <v>945</v>
      </c>
      <c r="G206" s="668">
        <v>1122118626</v>
      </c>
      <c r="H206" s="668" t="s">
        <v>797</v>
      </c>
      <c r="I206" s="668" t="s">
        <v>1666</v>
      </c>
      <c r="J206" s="668" t="s">
        <v>503</v>
      </c>
      <c r="K206" s="668" t="s">
        <v>736</v>
      </c>
      <c r="L206" s="668">
        <v>349304</v>
      </c>
      <c r="M206" s="298">
        <v>44942</v>
      </c>
      <c r="N206" s="812">
        <v>400000</v>
      </c>
      <c r="O206" s="812">
        <v>0</v>
      </c>
      <c r="P206" s="812">
        <v>0</v>
      </c>
      <c r="Q206" s="812">
        <v>0</v>
      </c>
      <c r="R206" s="812">
        <v>0</v>
      </c>
      <c r="S206" s="812">
        <v>400000</v>
      </c>
      <c r="T206" s="668">
        <v>349304</v>
      </c>
      <c r="U206" s="298">
        <v>44946</v>
      </c>
      <c r="V206" s="668" t="s">
        <v>261</v>
      </c>
      <c r="W206" s="668"/>
      <c r="X206" s="668"/>
      <c r="Y206" s="298">
        <v>44946</v>
      </c>
      <c r="Z206" s="668" t="s">
        <v>725</v>
      </c>
      <c r="AA206" s="668" t="s">
        <v>662</v>
      </c>
      <c r="AB206" s="668" t="s">
        <v>504</v>
      </c>
      <c r="AC206" s="668">
        <v>79995751</v>
      </c>
    </row>
    <row r="207" spans="1:29">
      <c r="A207" s="668">
        <v>172</v>
      </c>
      <c r="B207" s="668">
        <v>138</v>
      </c>
      <c r="C207" s="668">
        <v>78010</v>
      </c>
      <c r="D207" s="668">
        <v>188</v>
      </c>
      <c r="E207" s="668" t="s">
        <v>659</v>
      </c>
      <c r="F207" s="668" t="s">
        <v>660</v>
      </c>
      <c r="G207" s="668">
        <v>901580589</v>
      </c>
      <c r="H207" s="668" t="s">
        <v>1111</v>
      </c>
      <c r="I207" s="668" t="s">
        <v>1667</v>
      </c>
      <c r="J207" s="668" t="s">
        <v>503</v>
      </c>
      <c r="K207" s="668" t="s">
        <v>1112</v>
      </c>
      <c r="L207" s="668">
        <v>350474</v>
      </c>
      <c r="M207" s="298">
        <v>44942</v>
      </c>
      <c r="N207" s="812">
        <v>1052100</v>
      </c>
      <c r="O207" s="812">
        <v>0</v>
      </c>
      <c r="P207" s="812">
        <v>0</v>
      </c>
      <c r="Q207" s="812">
        <v>0</v>
      </c>
      <c r="R207" s="812">
        <v>0</v>
      </c>
      <c r="S207" s="812">
        <v>1052100</v>
      </c>
      <c r="T207" s="668">
        <v>350474</v>
      </c>
      <c r="U207" s="298">
        <v>44946</v>
      </c>
      <c r="V207" s="668" t="s">
        <v>261</v>
      </c>
      <c r="W207" s="668"/>
      <c r="X207" s="668"/>
      <c r="Y207" s="298">
        <v>44946</v>
      </c>
      <c r="Z207" s="668" t="s">
        <v>256</v>
      </c>
      <c r="AA207" s="668" t="s">
        <v>661</v>
      </c>
      <c r="AB207" s="668" t="s">
        <v>504</v>
      </c>
      <c r="AC207" s="668">
        <v>75225978</v>
      </c>
    </row>
    <row r="208" spans="1:29">
      <c r="A208" s="668">
        <v>172</v>
      </c>
      <c r="B208" s="668">
        <v>139</v>
      </c>
      <c r="C208" s="668">
        <v>72042</v>
      </c>
      <c r="D208" s="668">
        <v>192</v>
      </c>
      <c r="E208" s="668" t="s">
        <v>681</v>
      </c>
      <c r="F208" s="668" t="s">
        <v>1355</v>
      </c>
      <c r="G208" s="668">
        <v>900689729</v>
      </c>
      <c r="H208" s="668" t="s">
        <v>1668</v>
      </c>
      <c r="I208" s="668" t="s">
        <v>1669</v>
      </c>
      <c r="J208" s="668" t="s">
        <v>503</v>
      </c>
      <c r="K208" s="668" t="s">
        <v>1670</v>
      </c>
      <c r="L208" s="668">
        <v>350480</v>
      </c>
      <c r="M208" s="298">
        <v>44942</v>
      </c>
      <c r="N208" s="812">
        <v>13150000</v>
      </c>
      <c r="O208" s="812">
        <v>276260.5</v>
      </c>
      <c r="P208" s="812">
        <v>0</v>
      </c>
      <c r="Q208" s="812">
        <v>0</v>
      </c>
      <c r="R208" s="812">
        <v>0</v>
      </c>
      <c r="S208" s="812">
        <v>12873739.5</v>
      </c>
      <c r="T208" s="668">
        <v>350480</v>
      </c>
      <c r="U208" s="298">
        <v>44946</v>
      </c>
      <c r="V208" s="668" t="s">
        <v>261</v>
      </c>
      <c r="W208" s="668"/>
      <c r="X208" s="668"/>
      <c r="Y208" s="298">
        <v>44946</v>
      </c>
      <c r="Z208" s="668" t="s">
        <v>260</v>
      </c>
      <c r="AA208" s="668" t="s">
        <v>662</v>
      </c>
      <c r="AB208" s="668" t="s">
        <v>505</v>
      </c>
      <c r="AC208" s="668">
        <v>79041762</v>
      </c>
    </row>
    <row r="209" spans="1:29">
      <c r="A209" s="668">
        <v>172</v>
      </c>
      <c r="B209" s="668">
        <v>140</v>
      </c>
      <c r="C209" s="668">
        <v>78010</v>
      </c>
      <c r="D209" s="668">
        <v>188</v>
      </c>
      <c r="E209" s="668" t="s">
        <v>659</v>
      </c>
      <c r="F209" s="668" t="s">
        <v>660</v>
      </c>
      <c r="G209" s="668">
        <v>901580589</v>
      </c>
      <c r="H209" s="668" t="s">
        <v>1111</v>
      </c>
      <c r="I209" s="668" t="s">
        <v>1671</v>
      </c>
      <c r="J209" s="668" t="s">
        <v>503</v>
      </c>
      <c r="K209" s="668" t="s">
        <v>1112</v>
      </c>
      <c r="L209" s="668">
        <v>350520</v>
      </c>
      <c r="M209" s="298">
        <v>44942</v>
      </c>
      <c r="N209" s="812">
        <v>978988</v>
      </c>
      <c r="O209" s="812">
        <v>0</v>
      </c>
      <c r="P209" s="812">
        <v>0</v>
      </c>
      <c r="Q209" s="812">
        <v>0</v>
      </c>
      <c r="R209" s="812">
        <v>0</v>
      </c>
      <c r="S209" s="812">
        <v>978988</v>
      </c>
      <c r="T209" s="668">
        <v>350520</v>
      </c>
      <c r="U209" s="298">
        <v>44946</v>
      </c>
      <c r="V209" s="668" t="s">
        <v>261</v>
      </c>
      <c r="W209" s="668"/>
      <c r="X209" s="668"/>
      <c r="Y209" s="298">
        <v>44946</v>
      </c>
      <c r="Z209" s="668" t="s">
        <v>256</v>
      </c>
      <c r="AA209" s="668" t="s">
        <v>661</v>
      </c>
      <c r="AB209" s="668" t="s">
        <v>504</v>
      </c>
      <c r="AC209" s="668">
        <v>75225978</v>
      </c>
    </row>
    <row r="210" spans="1:29">
      <c r="A210" s="668">
        <v>172</v>
      </c>
      <c r="B210" s="668">
        <v>141</v>
      </c>
      <c r="C210" s="668">
        <v>78010</v>
      </c>
      <c r="D210" s="668">
        <v>188</v>
      </c>
      <c r="E210" s="668" t="s">
        <v>659</v>
      </c>
      <c r="F210" s="668" t="s">
        <v>660</v>
      </c>
      <c r="G210" s="668">
        <v>901580589</v>
      </c>
      <c r="H210" s="668" t="s">
        <v>1111</v>
      </c>
      <c r="I210" s="668" t="s">
        <v>1672</v>
      </c>
      <c r="J210" s="668" t="s">
        <v>503</v>
      </c>
      <c r="K210" s="668" t="s">
        <v>1112</v>
      </c>
      <c r="L210" s="668">
        <v>351119</v>
      </c>
      <c r="M210" s="298">
        <v>44942</v>
      </c>
      <c r="N210" s="812">
        <v>225750</v>
      </c>
      <c r="O210" s="812">
        <v>0</v>
      </c>
      <c r="P210" s="812">
        <v>0</v>
      </c>
      <c r="Q210" s="812">
        <v>0</v>
      </c>
      <c r="R210" s="812">
        <v>0</v>
      </c>
      <c r="S210" s="812">
        <v>225750</v>
      </c>
      <c r="T210" s="668">
        <v>351119</v>
      </c>
      <c r="U210" s="298">
        <v>44946</v>
      </c>
      <c r="V210" s="668" t="s">
        <v>261</v>
      </c>
      <c r="W210" s="668"/>
      <c r="X210" s="668"/>
      <c r="Y210" s="298">
        <v>44946</v>
      </c>
      <c r="Z210" s="668" t="s">
        <v>256</v>
      </c>
      <c r="AA210" s="668" t="s">
        <v>661</v>
      </c>
      <c r="AB210" s="668" t="s">
        <v>504</v>
      </c>
      <c r="AC210" s="668">
        <v>75225978</v>
      </c>
    </row>
    <row r="211" spans="1:29">
      <c r="A211" s="668">
        <v>172</v>
      </c>
      <c r="B211" s="668">
        <v>142</v>
      </c>
      <c r="C211" s="668">
        <v>78460</v>
      </c>
      <c r="D211" s="668">
        <v>191</v>
      </c>
      <c r="E211" s="668" t="s">
        <v>805</v>
      </c>
      <c r="F211" s="668" t="s">
        <v>945</v>
      </c>
      <c r="G211" s="668">
        <v>901585741</v>
      </c>
      <c r="H211" s="668" t="s">
        <v>982</v>
      </c>
      <c r="I211" s="668" t="s">
        <v>1673</v>
      </c>
      <c r="J211" s="668" t="s">
        <v>503</v>
      </c>
      <c r="K211" s="668" t="s">
        <v>983</v>
      </c>
      <c r="L211" s="668">
        <v>351161</v>
      </c>
      <c r="M211" s="298">
        <v>44942</v>
      </c>
      <c r="N211" s="812">
        <v>3938967</v>
      </c>
      <c r="O211" s="812">
        <v>0</v>
      </c>
      <c r="P211" s="812">
        <v>0</v>
      </c>
      <c r="Q211" s="812">
        <v>0</v>
      </c>
      <c r="R211" s="812">
        <v>0</v>
      </c>
      <c r="S211" s="812">
        <v>3938967</v>
      </c>
      <c r="T211" s="668">
        <v>351161</v>
      </c>
      <c r="U211" s="298">
        <v>44946</v>
      </c>
      <c r="V211" s="668" t="s">
        <v>261</v>
      </c>
      <c r="W211" s="668"/>
      <c r="X211" s="668"/>
      <c r="Y211" s="298">
        <v>44946</v>
      </c>
      <c r="Z211" s="668" t="s">
        <v>725</v>
      </c>
      <c r="AA211" s="668" t="s">
        <v>662</v>
      </c>
      <c r="AB211" s="668" t="s">
        <v>504</v>
      </c>
      <c r="AC211" s="668">
        <v>79995751</v>
      </c>
    </row>
    <row r="212" spans="1:29">
      <c r="A212" s="668">
        <v>172</v>
      </c>
      <c r="B212" s="668">
        <v>143</v>
      </c>
      <c r="C212" s="668">
        <v>78460</v>
      </c>
      <c r="D212" s="668">
        <v>191</v>
      </c>
      <c r="E212" s="668" t="s">
        <v>805</v>
      </c>
      <c r="F212" s="668" t="s">
        <v>945</v>
      </c>
      <c r="G212" s="668">
        <v>1092363681</v>
      </c>
      <c r="H212" s="668" t="s">
        <v>1061</v>
      </c>
      <c r="I212" s="668" t="s">
        <v>1674</v>
      </c>
      <c r="J212" s="668" t="s">
        <v>503</v>
      </c>
      <c r="K212" s="668" t="s">
        <v>1062</v>
      </c>
      <c r="L212" s="668">
        <v>351170</v>
      </c>
      <c r="M212" s="298">
        <v>44942</v>
      </c>
      <c r="N212" s="812">
        <v>400000</v>
      </c>
      <c r="O212" s="812">
        <v>0</v>
      </c>
      <c r="P212" s="812">
        <v>0</v>
      </c>
      <c r="Q212" s="812">
        <v>0</v>
      </c>
      <c r="R212" s="812">
        <v>0</v>
      </c>
      <c r="S212" s="812">
        <v>400000</v>
      </c>
      <c r="T212" s="668">
        <v>351170</v>
      </c>
      <c r="U212" s="298">
        <v>44946</v>
      </c>
      <c r="V212" s="668" t="s">
        <v>261</v>
      </c>
      <c r="W212" s="668"/>
      <c r="X212" s="668"/>
      <c r="Y212" s="298">
        <v>44946</v>
      </c>
      <c r="Z212" s="668" t="s">
        <v>725</v>
      </c>
      <c r="AA212" s="668" t="s">
        <v>662</v>
      </c>
      <c r="AB212" s="668" t="s">
        <v>504</v>
      </c>
      <c r="AC212" s="668">
        <v>79995751</v>
      </c>
    </row>
    <row r="213" spans="1:29">
      <c r="A213" s="668">
        <v>172</v>
      </c>
      <c r="B213" s="668">
        <v>144</v>
      </c>
      <c r="C213" s="668">
        <v>79110</v>
      </c>
      <c r="D213" s="668">
        <v>192</v>
      </c>
      <c r="E213" s="668" t="s">
        <v>681</v>
      </c>
      <c r="F213" s="668" t="s">
        <v>863</v>
      </c>
      <c r="G213" s="668">
        <v>901558850</v>
      </c>
      <c r="H213" s="668" t="s">
        <v>980</v>
      </c>
      <c r="I213" s="668" t="s">
        <v>1675</v>
      </c>
      <c r="J213" s="668" t="s">
        <v>503</v>
      </c>
      <c r="K213" s="668" t="s">
        <v>981</v>
      </c>
      <c r="L213" s="668">
        <v>351306</v>
      </c>
      <c r="M213" s="298">
        <v>44942</v>
      </c>
      <c r="N213" s="812">
        <v>3968924</v>
      </c>
      <c r="O213" s="812">
        <v>0</v>
      </c>
      <c r="P213" s="812">
        <v>0</v>
      </c>
      <c r="Q213" s="812">
        <v>0</v>
      </c>
      <c r="R213" s="812">
        <v>0</v>
      </c>
      <c r="S213" s="812">
        <v>3968924</v>
      </c>
      <c r="T213" s="668">
        <v>351306</v>
      </c>
      <c r="U213" s="298">
        <v>44946</v>
      </c>
      <c r="V213" s="668" t="s">
        <v>261</v>
      </c>
      <c r="W213" s="668"/>
      <c r="X213" s="668"/>
      <c r="Y213" s="298">
        <v>44946</v>
      </c>
      <c r="Z213" s="668" t="s">
        <v>260</v>
      </c>
      <c r="AA213" s="668" t="s">
        <v>662</v>
      </c>
      <c r="AB213" s="668" t="s">
        <v>505</v>
      </c>
      <c r="AC213" s="668">
        <v>80000000</v>
      </c>
    </row>
    <row r="214" spans="1:29">
      <c r="A214" s="668">
        <v>172</v>
      </c>
      <c r="B214" s="668">
        <v>145</v>
      </c>
      <c r="C214" s="668">
        <v>78400</v>
      </c>
      <c r="D214" s="668">
        <v>191</v>
      </c>
      <c r="E214" s="668" t="s">
        <v>805</v>
      </c>
      <c r="F214" s="668" t="s">
        <v>813</v>
      </c>
      <c r="G214" s="668">
        <v>901592302</v>
      </c>
      <c r="H214" s="668" t="s">
        <v>1396</v>
      </c>
      <c r="I214" s="668" t="s">
        <v>1676</v>
      </c>
      <c r="J214" s="668" t="s">
        <v>503</v>
      </c>
      <c r="K214" s="668" t="s">
        <v>1398</v>
      </c>
      <c r="L214" s="668">
        <v>351474</v>
      </c>
      <c r="M214" s="298">
        <v>44942</v>
      </c>
      <c r="N214" s="812">
        <v>4745035</v>
      </c>
      <c r="O214" s="812">
        <v>0</v>
      </c>
      <c r="P214" s="812">
        <v>0</v>
      </c>
      <c r="Q214" s="812">
        <v>0</v>
      </c>
      <c r="R214" s="812">
        <v>0</v>
      </c>
      <c r="S214" s="812">
        <v>4745035</v>
      </c>
      <c r="T214" s="668">
        <v>351474</v>
      </c>
      <c r="U214" s="298">
        <v>44946</v>
      </c>
      <c r="V214" s="668" t="s">
        <v>261</v>
      </c>
      <c r="W214" s="668"/>
      <c r="X214" s="668"/>
      <c r="Y214" s="298">
        <v>44946</v>
      </c>
      <c r="Z214" s="668" t="s">
        <v>725</v>
      </c>
      <c r="AA214" s="668" t="s">
        <v>662</v>
      </c>
      <c r="AB214" s="668" t="s">
        <v>504</v>
      </c>
      <c r="AC214" s="668">
        <v>80000000</v>
      </c>
    </row>
    <row r="215" spans="1:29">
      <c r="A215" s="668">
        <v>172</v>
      </c>
      <c r="B215" s="668">
        <v>146</v>
      </c>
      <c r="C215" s="668">
        <v>74677</v>
      </c>
      <c r="D215" s="668">
        <v>192</v>
      </c>
      <c r="E215" s="668" t="s">
        <v>681</v>
      </c>
      <c r="F215" s="668" t="s">
        <v>1357</v>
      </c>
      <c r="G215" s="668">
        <v>901565014</v>
      </c>
      <c r="H215" s="668" t="s">
        <v>1399</v>
      </c>
      <c r="I215" s="668" t="s">
        <v>1677</v>
      </c>
      <c r="J215" s="668" t="s">
        <v>503</v>
      </c>
      <c r="K215" s="668" t="s">
        <v>1401</v>
      </c>
      <c r="L215" s="668">
        <v>343394</v>
      </c>
      <c r="M215" s="298">
        <v>44942</v>
      </c>
      <c r="N215" s="812">
        <v>1261532</v>
      </c>
      <c r="O215" s="812">
        <v>0</v>
      </c>
      <c r="P215" s="812">
        <v>0</v>
      </c>
      <c r="Q215" s="812">
        <v>0</v>
      </c>
      <c r="R215" s="812">
        <v>0</v>
      </c>
      <c r="S215" s="812">
        <v>1261532</v>
      </c>
      <c r="T215" s="668">
        <v>343394</v>
      </c>
      <c r="U215" s="298">
        <v>44946</v>
      </c>
      <c r="V215" s="668" t="s">
        <v>261</v>
      </c>
      <c r="W215" s="668"/>
      <c r="X215" s="668"/>
      <c r="Y215" s="298">
        <v>44946</v>
      </c>
      <c r="Z215" s="668" t="s">
        <v>260</v>
      </c>
      <c r="AA215" s="668" t="s">
        <v>662</v>
      </c>
      <c r="AB215" s="668" t="s">
        <v>505</v>
      </c>
      <c r="AC215" s="668">
        <v>80000000</v>
      </c>
    </row>
    <row r="216" spans="1:29">
      <c r="A216" s="668">
        <v>172</v>
      </c>
      <c r="B216" s="668">
        <v>147</v>
      </c>
      <c r="C216" s="668">
        <v>72092</v>
      </c>
      <c r="D216" s="668">
        <v>192</v>
      </c>
      <c r="E216" s="668" t="s">
        <v>681</v>
      </c>
      <c r="F216" s="668" t="s">
        <v>856</v>
      </c>
      <c r="G216" s="668">
        <v>901578910</v>
      </c>
      <c r="H216" s="668" t="s">
        <v>857</v>
      </c>
      <c r="I216" s="668" t="s">
        <v>1678</v>
      </c>
      <c r="J216" s="668" t="s">
        <v>503</v>
      </c>
      <c r="K216" s="668" t="s">
        <v>858</v>
      </c>
      <c r="L216" s="668">
        <v>349314</v>
      </c>
      <c r="M216" s="298">
        <v>44942</v>
      </c>
      <c r="N216" s="812">
        <v>1467244.42</v>
      </c>
      <c r="O216" s="812">
        <v>0</v>
      </c>
      <c r="P216" s="812">
        <v>0</v>
      </c>
      <c r="Q216" s="812">
        <v>0</v>
      </c>
      <c r="R216" s="812">
        <v>0</v>
      </c>
      <c r="S216" s="812">
        <v>1467244.42</v>
      </c>
      <c r="T216" s="668">
        <v>349314</v>
      </c>
      <c r="U216" s="298">
        <v>44946</v>
      </c>
      <c r="V216" s="668" t="s">
        <v>261</v>
      </c>
      <c r="W216" s="668"/>
      <c r="X216" s="668"/>
      <c r="Y216" s="298">
        <v>44946</v>
      </c>
      <c r="Z216" s="668" t="s">
        <v>260</v>
      </c>
      <c r="AA216" s="668" t="s">
        <v>662</v>
      </c>
      <c r="AB216" s="668" t="s">
        <v>505</v>
      </c>
      <c r="AC216" s="668">
        <v>79950527</v>
      </c>
    </row>
    <row r="217" spans="1:29">
      <c r="A217" s="668">
        <v>172</v>
      </c>
      <c r="B217" s="668">
        <v>148</v>
      </c>
      <c r="C217" s="668">
        <v>72092</v>
      </c>
      <c r="D217" s="668">
        <v>192</v>
      </c>
      <c r="E217" s="668" t="s">
        <v>681</v>
      </c>
      <c r="F217" s="668" t="s">
        <v>856</v>
      </c>
      <c r="G217" s="668">
        <v>901578910</v>
      </c>
      <c r="H217" s="668" t="s">
        <v>857</v>
      </c>
      <c r="I217" s="668" t="s">
        <v>1679</v>
      </c>
      <c r="J217" s="668" t="s">
        <v>503</v>
      </c>
      <c r="K217" s="668" t="s">
        <v>858</v>
      </c>
      <c r="L217" s="668">
        <v>349316</v>
      </c>
      <c r="M217" s="298">
        <v>44942</v>
      </c>
      <c r="N217" s="812">
        <v>283582</v>
      </c>
      <c r="O217" s="812">
        <v>0</v>
      </c>
      <c r="P217" s="812">
        <v>0</v>
      </c>
      <c r="Q217" s="812">
        <v>0</v>
      </c>
      <c r="R217" s="812">
        <v>0</v>
      </c>
      <c r="S217" s="812">
        <v>283582</v>
      </c>
      <c r="T217" s="668">
        <v>349316</v>
      </c>
      <c r="U217" s="298">
        <v>44946</v>
      </c>
      <c r="V217" s="668" t="s">
        <v>261</v>
      </c>
      <c r="W217" s="668"/>
      <c r="X217" s="668"/>
      <c r="Y217" s="298">
        <v>44946</v>
      </c>
      <c r="Z217" s="668" t="s">
        <v>260</v>
      </c>
      <c r="AA217" s="668" t="s">
        <v>662</v>
      </c>
      <c r="AB217" s="668" t="s">
        <v>505</v>
      </c>
      <c r="AC217" s="668">
        <v>79950527</v>
      </c>
    </row>
    <row r="218" spans="1:29">
      <c r="A218" s="668">
        <v>172</v>
      </c>
      <c r="B218" s="668">
        <v>149</v>
      </c>
      <c r="C218" s="668">
        <v>75127</v>
      </c>
      <c r="D218" s="668">
        <v>192</v>
      </c>
      <c r="E218" s="668" t="s">
        <v>681</v>
      </c>
      <c r="F218" s="668" t="s">
        <v>951</v>
      </c>
      <c r="G218" s="668">
        <v>1122809189</v>
      </c>
      <c r="H218" s="668" t="s">
        <v>908</v>
      </c>
      <c r="I218" s="668" t="s">
        <v>1680</v>
      </c>
      <c r="J218" s="668" t="s">
        <v>503</v>
      </c>
      <c r="K218" s="668" t="s">
        <v>798</v>
      </c>
      <c r="L218" s="668">
        <v>349638</v>
      </c>
      <c r="M218" s="298">
        <v>44942</v>
      </c>
      <c r="N218" s="812">
        <v>600000</v>
      </c>
      <c r="O218" s="812">
        <v>0</v>
      </c>
      <c r="P218" s="812">
        <v>0</v>
      </c>
      <c r="Q218" s="812">
        <v>3600</v>
      </c>
      <c r="R218" s="812">
        <v>0</v>
      </c>
      <c r="S218" s="812">
        <v>596400</v>
      </c>
      <c r="T218" s="668">
        <v>349638</v>
      </c>
      <c r="U218" s="298">
        <v>44946</v>
      </c>
      <c r="V218" s="668" t="s">
        <v>261</v>
      </c>
      <c r="W218" s="668"/>
      <c r="X218" s="668"/>
      <c r="Y218" s="298">
        <v>44946</v>
      </c>
      <c r="Z218" s="668" t="s">
        <v>260</v>
      </c>
      <c r="AA218" s="668" t="s">
        <v>662</v>
      </c>
      <c r="AB218" s="668" t="s">
        <v>505</v>
      </c>
      <c r="AC218" s="668">
        <v>79643630</v>
      </c>
    </row>
    <row r="219" spans="1:29">
      <c r="A219" s="668">
        <v>172</v>
      </c>
      <c r="B219" s="668">
        <v>150</v>
      </c>
      <c r="C219" s="668">
        <v>78257</v>
      </c>
      <c r="D219" s="668">
        <v>191</v>
      </c>
      <c r="E219" s="668" t="s">
        <v>805</v>
      </c>
      <c r="F219" s="668" t="s">
        <v>949</v>
      </c>
      <c r="G219" s="668">
        <v>901591839</v>
      </c>
      <c r="H219" s="668" t="s">
        <v>1088</v>
      </c>
      <c r="I219" s="668" t="s">
        <v>1681</v>
      </c>
      <c r="J219" s="668" t="s">
        <v>503</v>
      </c>
      <c r="K219" s="668" t="s">
        <v>1089</v>
      </c>
      <c r="L219" s="668">
        <v>349933</v>
      </c>
      <c r="M219" s="298">
        <v>44942</v>
      </c>
      <c r="N219" s="812">
        <v>3907774</v>
      </c>
      <c r="O219" s="812">
        <v>0</v>
      </c>
      <c r="P219" s="812">
        <v>0</v>
      </c>
      <c r="Q219" s="812">
        <v>0</v>
      </c>
      <c r="R219" s="812">
        <v>0</v>
      </c>
      <c r="S219" s="812">
        <v>3907774</v>
      </c>
      <c r="T219" s="668">
        <v>349933</v>
      </c>
      <c r="U219" s="298">
        <v>44946</v>
      </c>
      <c r="V219" s="668" t="s">
        <v>261</v>
      </c>
      <c r="W219" s="668"/>
      <c r="X219" s="668"/>
      <c r="Y219" s="298">
        <v>44946</v>
      </c>
      <c r="Z219" s="668" t="s">
        <v>725</v>
      </c>
      <c r="AA219" s="668" t="s">
        <v>662</v>
      </c>
      <c r="AB219" s="668" t="s">
        <v>504</v>
      </c>
      <c r="AC219" s="668">
        <v>80000000</v>
      </c>
    </row>
    <row r="220" spans="1:29">
      <c r="A220" s="668">
        <v>172</v>
      </c>
      <c r="B220" s="668">
        <v>151</v>
      </c>
      <c r="C220" s="668">
        <v>72042</v>
      </c>
      <c r="D220" s="668">
        <v>192</v>
      </c>
      <c r="E220" s="668" t="s">
        <v>681</v>
      </c>
      <c r="F220" s="668" t="s">
        <v>1355</v>
      </c>
      <c r="G220" s="668">
        <v>40932914</v>
      </c>
      <c r="H220" s="668" t="s">
        <v>1682</v>
      </c>
      <c r="I220" s="668" t="s">
        <v>1683</v>
      </c>
      <c r="J220" s="668" t="s">
        <v>503</v>
      </c>
      <c r="K220" s="668" t="s">
        <v>1043</v>
      </c>
      <c r="L220" s="668">
        <v>350449</v>
      </c>
      <c r="M220" s="298">
        <v>44942</v>
      </c>
      <c r="N220" s="812">
        <v>600000</v>
      </c>
      <c r="O220" s="812">
        <v>0</v>
      </c>
      <c r="P220" s="812">
        <v>0</v>
      </c>
      <c r="Q220" s="812">
        <v>3600</v>
      </c>
      <c r="R220" s="812">
        <v>0</v>
      </c>
      <c r="S220" s="812">
        <v>596400</v>
      </c>
      <c r="T220" s="668">
        <v>350449</v>
      </c>
      <c r="U220" s="298">
        <v>44946</v>
      </c>
      <c r="V220" s="668" t="s">
        <v>261</v>
      </c>
      <c r="W220" s="668"/>
      <c r="X220" s="668"/>
      <c r="Y220" s="298">
        <v>44946</v>
      </c>
      <c r="Z220" s="668" t="s">
        <v>260</v>
      </c>
      <c r="AA220" s="668" t="s">
        <v>662</v>
      </c>
      <c r="AB220" s="668" t="s">
        <v>505</v>
      </c>
      <c r="AC220" s="668">
        <v>79041762</v>
      </c>
    </row>
    <row r="221" spans="1:29">
      <c r="A221" s="668">
        <v>172</v>
      </c>
      <c r="B221" s="668">
        <v>152</v>
      </c>
      <c r="C221" s="668">
        <v>78678</v>
      </c>
      <c r="D221" s="668">
        <v>188</v>
      </c>
      <c r="E221" s="668" t="s">
        <v>659</v>
      </c>
      <c r="F221" s="668" t="s">
        <v>941</v>
      </c>
      <c r="G221" s="668">
        <v>1053786595</v>
      </c>
      <c r="H221" s="668" t="s">
        <v>519</v>
      </c>
      <c r="I221" s="668" t="s">
        <v>1684</v>
      </c>
      <c r="J221" s="668" t="s">
        <v>503</v>
      </c>
      <c r="K221" s="668" t="s">
        <v>520</v>
      </c>
      <c r="L221" s="668">
        <v>350468</v>
      </c>
      <c r="M221" s="298">
        <v>44942</v>
      </c>
      <c r="N221" s="812">
        <v>600000</v>
      </c>
      <c r="O221" s="812">
        <v>0</v>
      </c>
      <c r="P221" s="812">
        <v>0</v>
      </c>
      <c r="Q221" s="812">
        <v>0</v>
      </c>
      <c r="R221" s="812">
        <v>0</v>
      </c>
      <c r="S221" s="812">
        <v>600000</v>
      </c>
      <c r="T221" s="668">
        <v>350468</v>
      </c>
      <c r="U221" s="298">
        <v>44946</v>
      </c>
      <c r="V221" s="668" t="s">
        <v>261</v>
      </c>
      <c r="W221" s="668"/>
      <c r="X221" s="668"/>
      <c r="Y221" s="298">
        <v>44946</v>
      </c>
      <c r="Z221" s="668" t="s">
        <v>256</v>
      </c>
      <c r="AA221" s="668" t="s">
        <v>662</v>
      </c>
      <c r="AB221" s="668" t="s">
        <v>504</v>
      </c>
      <c r="AC221" s="668">
        <v>62155955</v>
      </c>
    </row>
    <row r="222" spans="1:29">
      <c r="A222" s="668">
        <v>172</v>
      </c>
      <c r="B222" s="668">
        <v>153</v>
      </c>
      <c r="C222" s="668">
        <v>74365</v>
      </c>
      <c r="D222" s="668">
        <v>175</v>
      </c>
      <c r="E222" s="668" t="s">
        <v>492</v>
      </c>
      <c r="F222" s="668" t="s">
        <v>513</v>
      </c>
      <c r="G222" s="668">
        <v>901533338</v>
      </c>
      <c r="H222" s="668" t="s">
        <v>590</v>
      </c>
      <c r="I222" s="668" t="s">
        <v>1685</v>
      </c>
      <c r="J222" s="668" t="s">
        <v>507</v>
      </c>
      <c r="K222" s="668" t="s">
        <v>864</v>
      </c>
      <c r="L222" s="668">
        <v>350617</v>
      </c>
      <c r="M222" s="298">
        <v>44942</v>
      </c>
      <c r="N222" s="812">
        <v>3621096</v>
      </c>
      <c r="O222" s="812">
        <v>0</v>
      </c>
      <c r="P222" s="812">
        <v>0</v>
      </c>
      <c r="Q222" s="812">
        <v>0</v>
      </c>
      <c r="R222" s="812">
        <v>0</v>
      </c>
      <c r="S222" s="812">
        <v>3621096</v>
      </c>
      <c r="T222" s="668">
        <v>350617</v>
      </c>
      <c r="U222" s="298">
        <v>44946</v>
      </c>
      <c r="V222" s="668" t="s">
        <v>261</v>
      </c>
      <c r="W222" s="668"/>
      <c r="X222" s="668"/>
      <c r="Y222" s="298">
        <v>44946</v>
      </c>
      <c r="Z222" s="668" t="s">
        <v>493</v>
      </c>
      <c r="AA222" s="668" t="s">
        <v>540</v>
      </c>
      <c r="AB222" s="668" t="s">
        <v>505</v>
      </c>
      <c r="AC222" s="668">
        <v>123993958</v>
      </c>
    </row>
    <row r="223" spans="1:29">
      <c r="A223" s="668">
        <v>172</v>
      </c>
      <c r="B223" s="668">
        <v>154</v>
      </c>
      <c r="C223" s="668">
        <v>75530</v>
      </c>
      <c r="D223" s="668">
        <v>169</v>
      </c>
      <c r="E223" s="668" t="s">
        <v>573</v>
      </c>
      <c r="F223" s="668" t="s">
        <v>705</v>
      </c>
      <c r="G223" s="668">
        <v>1110571978</v>
      </c>
      <c r="H223" s="668" t="s">
        <v>1092</v>
      </c>
      <c r="I223" s="668" t="s">
        <v>1686</v>
      </c>
      <c r="J223" s="668" t="s">
        <v>503</v>
      </c>
      <c r="K223" s="668" t="s">
        <v>1093</v>
      </c>
      <c r="L223" s="668">
        <v>351568</v>
      </c>
      <c r="M223" s="298">
        <v>44942</v>
      </c>
      <c r="N223" s="812">
        <v>1250000</v>
      </c>
      <c r="O223" s="812">
        <v>0</v>
      </c>
      <c r="P223" s="812">
        <v>0</v>
      </c>
      <c r="Q223" s="812">
        <v>0</v>
      </c>
      <c r="R223" s="812">
        <v>0</v>
      </c>
      <c r="S223" s="812">
        <v>1250000</v>
      </c>
      <c r="T223" s="668">
        <v>351568</v>
      </c>
      <c r="U223" s="298">
        <v>44946</v>
      </c>
      <c r="V223" s="668" t="s">
        <v>261</v>
      </c>
      <c r="W223" s="668"/>
      <c r="X223" s="668"/>
      <c r="Y223" s="298">
        <v>44946</v>
      </c>
      <c r="Z223" s="668" t="s">
        <v>304</v>
      </c>
      <c r="AA223" s="668" t="s">
        <v>548</v>
      </c>
      <c r="AB223" s="668" t="s">
        <v>504</v>
      </c>
      <c r="AC223" s="668">
        <v>123907469</v>
      </c>
    </row>
    <row r="224" spans="1:29">
      <c r="A224" s="668">
        <v>172</v>
      </c>
      <c r="B224" s="668">
        <v>155</v>
      </c>
      <c r="C224" s="668">
        <v>75154</v>
      </c>
      <c r="D224" s="668">
        <v>190</v>
      </c>
      <c r="E224" s="668" t="s">
        <v>673</v>
      </c>
      <c r="F224" s="668" t="s">
        <v>843</v>
      </c>
      <c r="G224" s="668">
        <v>901587255</v>
      </c>
      <c r="H224" s="668" t="s">
        <v>988</v>
      </c>
      <c r="I224" s="668" t="s">
        <v>1687</v>
      </c>
      <c r="J224" s="668" t="s">
        <v>503</v>
      </c>
      <c r="K224" s="668" t="s">
        <v>989</v>
      </c>
      <c r="L224" s="668">
        <v>351591</v>
      </c>
      <c r="M224" s="298">
        <v>44942</v>
      </c>
      <c r="N224" s="812">
        <v>1261532</v>
      </c>
      <c r="O224" s="812">
        <v>0</v>
      </c>
      <c r="P224" s="812">
        <v>0</v>
      </c>
      <c r="Q224" s="812">
        <v>0</v>
      </c>
      <c r="R224" s="812">
        <v>0</v>
      </c>
      <c r="S224" s="812">
        <v>1261532</v>
      </c>
      <c r="T224" s="668">
        <v>351591</v>
      </c>
      <c r="U224" s="298">
        <v>44946</v>
      </c>
      <c r="V224" s="668" t="s">
        <v>261</v>
      </c>
      <c r="W224" s="668"/>
      <c r="X224" s="668"/>
      <c r="Y224" s="298">
        <v>44946</v>
      </c>
      <c r="Z224" s="668" t="s">
        <v>259</v>
      </c>
      <c r="AA224" s="668" t="s">
        <v>680</v>
      </c>
      <c r="AB224" s="668" t="s">
        <v>504</v>
      </c>
      <c r="AC224" s="668">
        <v>79949342</v>
      </c>
    </row>
    <row r="225" spans="1:29">
      <c r="A225" s="668">
        <v>172</v>
      </c>
      <c r="B225" s="668">
        <v>156</v>
      </c>
      <c r="C225" s="668">
        <v>72092</v>
      </c>
      <c r="D225" s="668">
        <v>192</v>
      </c>
      <c r="E225" s="668" t="s">
        <v>681</v>
      </c>
      <c r="F225" s="668" t="s">
        <v>856</v>
      </c>
      <c r="G225" s="668">
        <v>901578910</v>
      </c>
      <c r="H225" s="668" t="s">
        <v>857</v>
      </c>
      <c r="I225" s="668" t="s">
        <v>1688</v>
      </c>
      <c r="J225" s="668" t="s">
        <v>503</v>
      </c>
      <c r="K225" s="668" t="s">
        <v>858</v>
      </c>
      <c r="L225" s="668">
        <v>344182</v>
      </c>
      <c r="M225" s="298">
        <v>44942</v>
      </c>
      <c r="N225" s="812">
        <v>1839179.36</v>
      </c>
      <c r="O225" s="812">
        <v>0</v>
      </c>
      <c r="P225" s="812">
        <v>0</v>
      </c>
      <c r="Q225" s="812">
        <v>0</v>
      </c>
      <c r="R225" s="812">
        <v>0</v>
      </c>
      <c r="S225" s="812">
        <v>1839179.36</v>
      </c>
      <c r="T225" s="668">
        <v>344182</v>
      </c>
      <c r="U225" s="298">
        <v>44946</v>
      </c>
      <c r="V225" s="668" t="s">
        <v>261</v>
      </c>
      <c r="W225" s="668"/>
      <c r="X225" s="668"/>
      <c r="Y225" s="298">
        <v>44946</v>
      </c>
      <c r="Z225" s="668" t="s">
        <v>260</v>
      </c>
      <c r="AA225" s="668" t="s">
        <v>662</v>
      </c>
      <c r="AB225" s="668" t="s">
        <v>505</v>
      </c>
      <c r="AC225" s="668">
        <v>79950527</v>
      </c>
    </row>
    <row r="226" spans="1:29">
      <c r="A226" s="668">
        <v>172</v>
      </c>
      <c r="B226" s="668">
        <v>157</v>
      </c>
      <c r="C226" s="668">
        <v>72092</v>
      </c>
      <c r="D226" s="668">
        <v>192</v>
      </c>
      <c r="E226" s="668" t="s">
        <v>681</v>
      </c>
      <c r="F226" s="668" t="s">
        <v>856</v>
      </c>
      <c r="G226" s="668">
        <v>901578910</v>
      </c>
      <c r="H226" s="668" t="s">
        <v>857</v>
      </c>
      <c r="I226" s="668" t="s">
        <v>1689</v>
      </c>
      <c r="J226" s="668" t="s">
        <v>503</v>
      </c>
      <c r="K226" s="668" t="s">
        <v>858</v>
      </c>
      <c r="L226" s="668">
        <v>349547</v>
      </c>
      <c r="M226" s="298">
        <v>44942</v>
      </c>
      <c r="N226" s="812">
        <v>1945279</v>
      </c>
      <c r="O226" s="812">
        <v>0</v>
      </c>
      <c r="P226" s="812">
        <v>0</v>
      </c>
      <c r="Q226" s="812">
        <v>0</v>
      </c>
      <c r="R226" s="812">
        <v>0</v>
      </c>
      <c r="S226" s="812">
        <v>1945279</v>
      </c>
      <c r="T226" s="668">
        <v>349547</v>
      </c>
      <c r="U226" s="298">
        <v>44946</v>
      </c>
      <c r="V226" s="668" t="s">
        <v>261</v>
      </c>
      <c r="W226" s="668"/>
      <c r="X226" s="668"/>
      <c r="Y226" s="298">
        <v>44946</v>
      </c>
      <c r="Z226" s="668" t="s">
        <v>260</v>
      </c>
      <c r="AA226" s="668" t="s">
        <v>662</v>
      </c>
      <c r="AB226" s="668" t="s">
        <v>505</v>
      </c>
      <c r="AC226" s="668">
        <v>79950527</v>
      </c>
    </row>
    <row r="227" spans="1:29">
      <c r="A227" s="668">
        <v>172</v>
      </c>
      <c r="B227" s="668">
        <v>158</v>
      </c>
      <c r="C227" s="668">
        <v>74413</v>
      </c>
      <c r="D227" s="668">
        <v>185</v>
      </c>
      <c r="E227" s="668" t="s">
        <v>566</v>
      </c>
      <c r="F227" s="668" t="s">
        <v>1018</v>
      </c>
      <c r="G227" s="668">
        <v>43559350</v>
      </c>
      <c r="H227" s="668" t="s">
        <v>1662</v>
      </c>
      <c r="I227" s="668" t="s">
        <v>1690</v>
      </c>
      <c r="J227" s="668" t="s">
        <v>503</v>
      </c>
      <c r="K227" s="668" t="s">
        <v>1121</v>
      </c>
      <c r="L227" s="668">
        <v>351509</v>
      </c>
      <c r="M227" s="298">
        <v>44942</v>
      </c>
      <c r="N227" s="812">
        <v>2345000</v>
      </c>
      <c r="O227" s="812">
        <v>0</v>
      </c>
      <c r="P227" s="812">
        <v>0</v>
      </c>
      <c r="Q227" s="812">
        <v>0</v>
      </c>
      <c r="R227" s="812">
        <v>0</v>
      </c>
      <c r="S227" s="812">
        <v>2345000</v>
      </c>
      <c r="T227" s="668">
        <v>351509</v>
      </c>
      <c r="U227" s="298">
        <v>44946</v>
      </c>
      <c r="V227" s="668" t="s">
        <v>261</v>
      </c>
      <c r="W227" s="668"/>
      <c r="X227" s="668"/>
      <c r="Y227" s="298">
        <v>44946</v>
      </c>
      <c r="Z227" s="668" t="s">
        <v>254</v>
      </c>
      <c r="AA227" s="668" t="s">
        <v>544</v>
      </c>
      <c r="AB227" s="668" t="s">
        <v>647</v>
      </c>
      <c r="AC227" s="668">
        <v>79948314</v>
      </c>
    </row>
    <row r="228" spans="1:29">
      <c r="A228" s="668">
        <v>172</v>
      </c>
      <c r="B228" s="668">
        <v>159</v>
      </c>
      <c r="C228" s="668">
        <v>74646</v>
      </c>
      <c r="D228" s="668">
        <v>171</v>
      </c>
      <c r="E228" s="668" t="s">
        <v>619</v>
      </c>
      <c r="F228" s="668" t="s">
        <v>851</v>
      </c>
      <c r="G228" s="668">
        <v>1020396937</v>
      </c>
      <c r="H228" s="668" t="s">
        <v>1053</v>
      </c>
      <c r="I228" s="668" t="s">
        <v>1691</v>
      </c>
      <c r="J228" s="668" t="s">
        <v>503</v>
      </c>
      <c r="K228" s="668" t="s">
        <v>1054</v>
      </c>
      <c r="L228" s="668">
        <v>351563</v>
      </c>
      <c r="M228" s="298">
        <v>44942</v>
      </c>
      <c r="N228" s="812">
        <v>1951600</v>
      </c>
      <c r="O228" s="812">
        <v>0</v>
      </c>
      <c r="P228" s="812">
        <v>0</v>
      </c>
      <c r="Q228" s="812">
        <v>0</v>
      </c>
      <c r="R228" s="812">
        <v>0</v>
      </c>
      <c r="S228" s="812">
        <v>1951600</v>
      </c>
      <c r="T228" s="668">
        <v>351563</v>
      </c>
      <c r="U228" s="298">
        <v>44944</v>
      </c>
      <c r="V228" s="668" t="s">
        <v>261</v>
      </c>
      <c r="W228" s="668"/>
      <c r="X228" s="668"/>
      <c r="Y228" s="298">
        <v>44944</v>
      </c>
      <c r="Z228" s="668" t="s">
        <v>254</v>
      </c>
      <c r="AA228" s="668" t="s">
        <v>650</v>
      </c>
      <c r="AB228" s="668" t="s">
        <v>647</v>
      </c>
      <c r="AC228" s="668">
        <v>123919072</v>
      </c>
    </row>
    <row r="229" spans="1:29">
      <c r="A229" s="668">
        <v>172</v>
      </c>
      <c r="B229" s="668">
        <v>160</v>
      </c>
      <c r="C229" s="668">
        <v>74372</v>
      </c>
      <c r="D229" s="668">
        <v>178</v>
      </c>
      <c r="E229" s="668" t="s">
        <v>550</v>
      </c>
      <c r="F229" s="668" t="s">
        <v>565</v>
      </c>
      <c r="G229" s="668">
        <v>901539758</v>
      </c>
      <c r="H229" s="668" t="s">
        <v>1107</v>
      </c>
      <c r="I229" s="668" t="s">
        <v>1692</v>
      </c>
      <c r="J229" s="668" t="s">
        <v>503</v>
      </c>
      <c r="K229" s="668" t="s">
        <v>1108</v>
      </c>
      <c r="L229" s="668">
        <v>351627</v>
      </c>
      <c r="M229" s="298">
        <v>44942</v>
      </c>
      <c r="N229" s="812">
        <v>723000</v>
      </c>
      <c r="O229" s="812">
        <v>0</v>
      </c>
      <c r="P229" s="812">
        <v>0</v>
      </c>
      <c r="Q229" s="812">
        <v>0</v>
      </c>
      <c r="R229" s="812">
        <v>0</v>
      </c>
      <c r="S229" s="812">
        <v>723000</v>
      </c>
      <c r="T229" s="668">
        <v>351627</v>
      </c>
      <c r="U229" s="298">
        <v>44946</v>
      </c>
      <c r="V229" s="668" t="s">
        <v>261</v>
      </c>
      <c r="W229" s="668"/>
      <c r="X229" s="668"/>
      <c r="Y229" s="298">
        <v>44946</v>
      </c>
      <c r="Z229" s="668" t="s">
        <v>254</v>
      </c>
      <c r="AA229" s="668" t="s">
        <v>538</v>
      </c>
      <c r="AB229" s="668" t="s">
        <v>647</v>
      </c>
      <c r="AC229" s="668">
        <v>98077119</v>
      </c>
    </row>
    <row r="230" spans="1:29">
      <c r="A230" s="668">
        <v>172</v>
      </c>
      <c r="B230" s="668">
        <v>163</v>
      </c>
      <c r="C230" s="668">
        <v>74646</v>
      </c>
      <c r="D230" s="668">
        <v>171</v>
      </c>
      <c r="E230" s="668" t="s">
        <v>619</v>
      </c>
      <c r="F230" s="668" t="s">
        <v>851</v>
      </c>
      <c r="G230" s="668">
        <v>811025390</v>
      </c>
      <c r="H230" s="668" t="s">
        <v>1118</v>
      </c>
      <c r="I230" s="668" t="s">
        <v>1693</v>
      </c>
      <c r="J230" s="668" t="s">
        <v>503</v>
      </c>
      <c r="K230" s="668" t="s">
        <v>1066</v>
      </c>
      <c r="L230" s="668">
        <v>351751</v>
      </c>
      <c r="M230" s="298">
        <v>44944</v>
      </c>
      <c r="N230" s="812">
        <v>1083400</v>
      </c>
      <c r="O230" s="812">
        <v>0</v>
      </c>
      <c r="P230" s="812">
        <v>0</v>
      </c>
      <c r="Q230" s="812">
        <v>0</v>
      </c>
      <c r="R230" s="812">
        <v>0</v>
      </c>
      <c r="S230" s="812">
        <v>1083400</v>
      </c>
      <c r="T230" s="668">
        <v>351751</v>
      </c>
      <c r="U230" s="298">
        <v>44946</v>
      </c>
      <c r="V230" s="668" t="s">
        <v>261</v>
      </c>
      <c r="W230" s="668"/>
      <c r="X230" s="668"/>
      <c r="Y230" s="298">
        <v>44946</v>
      </c>
      <c r="Z230" s="668" t="s">
        <v>254</v>
      </c>
      <c r="AA230" s="668" t="s">
        <v>650</v>
      </c>
      <c r="AB230" s="668" t="s">
        <v>647</v>
      </c>
      <c r="AC230" s="668">
        <v>123919072</v>
      </c>
    </row>
    <row r="231" spans="1:29">
      <c r="A231" s="668">
        <v>172</v>
      </c>
      <c r="B231" s="668">
        <v>164</v>
      </c>
      <c r="C231" s="668">
        <v>74121</v>
      </c>
      <c r="D231" s="668">
        <v>177</v>
      </c>
      <c r="E231" s="668" t="s">
        <v>537</v>
      </c>
      <c r="F231" s="668" t="s">
        <v>810</v>
      </c>
      <c r="G231" s="668">
        <v>1037605559</v>
      </c>
      <c r="H231" s="668" t="s">
        <v>1039</v>
      </c>
      <c r="I231" s="668" t="s">
        <v>1694</v>
      </c>
      <c r="J231" s="668" t="s">
        <v>503</v>
      </c>
      <c r="K231" s="668" t="s">
        <v>1040</v>
      </c>
      <c r="L231" s="668">
        <v>351765</v>
      </c>
      <c r="M231" s="298">
        <v>44944</v>
      </c>
      <c r="N231" s="812">
        <v>500000</v>
      </c>
      <c r="O231" s="812">
        <v>0</v>
      </c>
      <c r="P231" s="812">
        <v>0</v>
      </c>
      <c r="Q231" s="812">
        <v>0</v>
      </c>
      <c r="R231" s="812">
        <v>0</v>
      </c>
      <c r="S231" s="812">
        <v>500000</v>
      </c>
      <c r="T231" s="668">
        <v>351765</v>
      </c>
      <c r="U231" s="298">
        <v>44946</v>
      </c>
      <c r="V231" s="668" t="s">
        <v>261</v>
      </c>
      <c r="W231" s="668"/>
      <c r="X231" s="668"/>
      <c r="Y231" s="298">
        <v>44946</v>
      </c>
      <c r="Z231" s="668" t="s">
        <v>254</v>
      </c>
      <c r="AA231" s="668" t="s">
        <v>538</v>
      </c>
      <c r="AB231" s="668" t="s">
        <v>647</v>
      </c>
      <c r="AC231" s="668">
        <v>79880073</v>
      </c>
    </row>
    <row r="232" spans="1:29">
      <c r="A232" s="668">
        <v>172</v>
      </c>
      <c r="B232" s="668">
        <v>165</v>
      </c>
      <c r="C232" s="668">
        <v>79777</v>
      </c>
      <c r="D232" s="668">
        <v>191</v>
      </c>
      <c r="E232" s="668" t="s">
        <v>805</v>
      </c>
      <c r="F232" s="668" t="s">
        <v>1106</v>
      </c>
      <c r="G232" s="668">
        <v>900209625</v>
      </c>
      <c r="H232" s="668" t="s">
        <v>1695</v>
      </c>
      <c r="I232" s="668" t="s">
        <v>1696</v>
      </c>
      <c r="J232" s="668" t="s">
        <v>507</v>
      </c>
      <c r="K232" s="668" t="s">
        <v>1697</v>
      </c>
      <c r="L232" s="668">
        <v>351784</v>
      </c>
      <c r="M232" s="298">
        <v>44944</v>
      </c>
      <c r="N232" s="812">
        <v>3990000</v>
      </c>
      <c r="O232" s="812">
        <v>83823.53</v>
      </c>
      <c r="P232" s="812">
        <v>0</v>
      </c>
      <c r="Q232" s="812">
        <v>37016.47</v>
      </c>
      <c r="R232" s="812">
        <v>0</v>
      </c>
      <c r="S232" s="812">
        <v>3869160</v>
      </c>
      <c r="T232" s="668">
        <v>351784</v>
      </c>
      <c r="U232" s="298">
        <v>44946</v>
      </c>
      <c r="V232" s="668" t="s">
        <v>261</v>
      </c>
      <c r="W232" s="668"/>
      <c r="X232" s="668"/>
      <c r="Y232" s="298">
        <v>44946</v>
      </c>
      <c r="Z232" s="668" t="s">
        <v>725</v>
      </c>
      <c r="AA232" s="668" t="s">
        <v>680</v>
      </c>
      <c r="AB232" s="668" t="s">
        <v>504</v>
      </c>
      <c r="AC232" s="668">
        <v>80000000</v>
      </c>
    </row>
    <row r="233" spans="1:29">
      <c r="A233" s="668">
        <v>172</v>
      </c>
      <c r="B233" s="668">
        <v>166</v>
      </c>
      <c r="C233" s="668">
        <v>74226</v>
      </c>
      <c r="D233" s="668">
        <v>176</v>
      </c>
      <c r="E233" s="668" t="s">
        <v>572</v>
      </c>
      <c r="F233" s="668" t="s">
        <v>1345</v>
      </c>
      <c r="G233" s="668">
        <v>901564798</v>
      </c>
      <c r="H233" s="668" t="s">
        <v>1698</v>
      </c>
      <c r="I233" s="668" t="s">
        <v>1699</v>
      </c>
      <c r="J233" s="668" t="s">
        <v>503</v>
      </c>
      <c r="K233" s="668" t="s">
        <v>1700</v>
      </c>
      <c r="L233" s="668">
        <v>351809</v>
      </c>
      <c r="M233" s="298">
        <v>44944</v>
      </c>
      <c r="N233" s="812">
        <v>3393194</v>
      </c>
      <c r="O233" s="812">
        <v>0</v>
      </c>
      <c r="P233" s="812">
        <v>0</v>
      </c>
      <c r="Q233" s="812">
        <v>0</v>
      </c>
      <c r="R233" s="812">
        <v>0</v>
      </c>
      <c r="S233" s="812">
        <v>3393194</v>
      </c>
      <c r="T233" s="668">
        <v>351809</v>
      </c>
      <c r="U233" s="298">
        <v>44946</v>
      </c>
      <c r="V233" s="668" t="s">
        <v>261</v>
      </c>
      <c r="W233" s="668"/>
      <c r="X233" s="668"/>
      <c r="Y233" s="298">
        <v>44946</v>
      </c>
      <c r="Z233" s="668" t="s">
        <v>255</v>
      </c>
      <c r="AA233" s="668" t="s">
        <v>542</v>
      </c>
      <c r="AB233" s="668" t="s">
        <v>506</v>
      </c>
      <c r="AC233" s="668">
        <v>84000000</v>
      </c>
    </row>
    <row r="234" spans="1:29">
      <c r="A234" s="668">
        <v>173</v>
      </c>
      <c r="B234" s="668">
        <v>1</v>
      </c>
      <c r="C234" s="668">
        <v>75127</v>
      </c>
      <c r="D234" s="668">
        <v>192</v>
      </c>
      <c r="E234" s="668" t="s">
        <v>681</v>
      </c>
      <c r="F234" s="668" t="s">
        <v>951</v>
      </c>
      <c r="G234" s="668">
        <v>901577679</v>
      </c>
      <c r="H234" s="668" t="s">
        <v>1701</v>
      </c>
      <c r="I234" s="668" t="s">
        <v>1702</v>
      </c>
      <c r="J234" s="668" t="s">
        <v>503</v>
      </c>
      <c r="K234" s="668" t="s">
        <v>1703</v>
      </c>
      <c r="L234" s="668">
        <v>351606</v>
      </c>
      <c r="M234" s="298">
        <v>44942</v>
      </c>
      <c r="N234" s="812">
        <v>1998922</v>
      </c>
      <c r="O234" s="812">
        <v>0</v>
      </c>
      <c r="P234" s="812">
        <v>0</v>
      </c>
      <c r="Q234" s="812">
        <v>0</v>
      </c>
      <c r="R234" s="812">
        <v>0</v>
      </c>
      <c r="S234" s="812">
        <v>1998922</v>
      </c>
      <c r="T234" s="668">
        <v>351606</v>
      </c>
      <c r="U234" s="298">
        <v>44949</v>
      </c>
      <c r="V234" s="668" t="s">
        <v>261</v>
      </c>
      <c r="W234" s="668"/>
      <c r="X234" s="668"/>
      <c r="Y234" s="298">
        <v>44949</v>
      </c>
      <c r="Z234" s="668" t="s">
        <v>260</v>
      </c>
      <c r="AA234" s="668" t="s">
        <v>662</v>
      </c>
      <c r="AB234" s="668" t="s">
        <v>505</v>
      </c>
      <c r="AC234" s="668">
        <v>79643630</v>
      </c>
    </row>
    <row r="235" spans="1:29">
      <c r="A235" s="668">
        <v>173</v>
      </c>
      <c r="B235" s="668">
        <v>2</v>
      </c>
      <c r="C235" s="668">
        <v>75127</v>
      </c>
      <c r="D235" s="668">
        <v>192</v>
      </c>
      <c r="E235" s="668" t="s">
        <v>681</v>
      </c>
      <c r="F235" s="668" t="s">
        <v>951</v>
      </c>
      <c r="G235" s="668">
        <v>901577679</v>
      </c>
      <c r="H235" s="668" t="s">
        <v>1701</v>
      </c>
      <c r="I235" s="668" t="s">
        <v>1704</v>
      </c>
      <c r="J235" s="668" t="s">
        <v>503</v>
      </c>
      <c r="K235" s="668" t="s">
        <v>1703</v>
      </c>
      <c r="L235" s="668">
        <v>351632</v>
      </c>
      <c r="M235" s="298">
        <v>44942</v>
      </c>
      <c r="N235" s="812">
        <v>2409330</v>
      </c>
      <c r="O235" s="812">
        <v>0</v>
      </c>
      <c r="P235" s="812">
        <v>0</v>
      </c>
      <c r="Q235" s="812">
        <v>0</v>
      </c>
      <c r="R235" s="812">
        <v>0</v>
      </c>
      <c r="S235" s="812">
        <v>2409330</v>
      </c>
      <c r="T235" s="668">
        <v>351632</v>
      </c>
      <c r="U235" s="298">
        <v>44949</v>
      </c>
      <c r="V235" s="668" t="s">
        <v>261</v>
      </c>
      <c r="W235" s="668"/>
      <c r="X235" s="668"/>
      <c r="Y235" s="298">
        <v>44949</v>
      </c>
      <c r="Z235" s="668" t="s">
        <v>260</v>
      </c>
      <c r="AA235" s="668" t="s">
        <v>662</v>
      </c>
      <c r="AB235" s="668" t="s">
        <v>505</v>
      </c>
      <c r="AC235" s="668">
        <v>79643630</v>
      </c>
    </row>
    <row r="236" spans="1:29">
      <c r="A236" s="668">
        <v>173</v>
      </c>
      <c r="B236" s="668">
        <v>3</v>
      </c>
      <c r="C236" s="668">
        <v>75127</v>
      </c>
      <c r="D236" s="668">
        <v>192</v>
      </c>
      <c r="E236" s="668" t="s">
        <v>681</v>
      </c>
      <c r="F236" s="668" t="s">
        <v>951</v>
      </c>
      <c r="G236" s="668">
        <v>901577679</v>
      </c>
      <c r="H236" s="668" t="s">
        <v>1701</v>
      </c>
      <c r="I236" s="668" t="s">
        <v>1705</v>
      </c>
      <c r="J236" s="668" t="s">
        <v>503</v>
      </c>
      <c r="K236" s="668" t="s">
        <v>1703</v>
      </c>
      <c r="L236" s="668">
        <v>351635</v>
      </c>
      <c r="M236" s="298">
        <v>44942</v>
      </c>
      <c r="N236" s="812">
        <v>2148657</v>
      </c>
      <c r="O236" s="812">
        <v>0</v>
      </c>
      <c r="P236" s="812">
        <v>0</v>
      </c>
      <c r="Q236" s="812">
        <v>0</v>
      </c>
      <c r="R236" s="812">
        <v>0</v>
      </c>
      <c r="S236" s="812">
        <v>2148657</v>
      </c>
      <c r="T236" s="668">
        <v>351635</v>
      </c>
      <c r="U236" s="298">
        <v>44949</v>
      </c>
      <c r="V236" s="668" t="s">
        <v>261</v>
      </c>
      <c r="W236" s="668"/>
      <c r="X236" s="668"/>
      <c r="Y236" s="298">
        <v>44949</v>
      </c>
      <c r="Z236" s="668" t="s">
        <v>260</v>
      </c>
      <c r="AA236" s="668" t="s">
        <v>662</v>
      </c>
      <c r="AB236" s="668" t="s">
        <v>505</v>
      </c>
      <c r="AC236" s="668">
        <v>79643630</v>
      </c>
    </row>
    <row r="237" spans="1:29">
      <c r="A237" s="668">
        <v>173</v>
      </c>
      <c r="B237" s="668">
        <v>4</v>
      </c>
      <c r="C237" s="668">
        <v>74226</v>
      </c>
      <c r="D237" s="668">
        <v>176</v>
      </c>
      <c r="E237" s="668" t="s">
        <v>572</v>
      </c>
      <c r="F237" s="668" t="s">
        <v>1345</v>
      </c>
      <c r="G237" s="668">
        <v>901117333</v>
      </c>
      <c r="H237" s="668" t="s">
        <v>1706</v>
      </c>
      <c r="I237" s="668" t="s">
        <v>1707</v>
      </c>
      <c r="J237" s="668" t="s">
        <v>503</v>
      </c>
      <c r="K237" s="668" t="s">
        <v>1708</v>
      </c>
      <c r="L237" s="668">
        <v>351721</v>
      </c>
      <c r="M237" s="298">
        <v>44944</v>
      </c>
      <c r="N237" s="812">
        <v>20000000</v>
      </c>
      <c r="O237" s="812">
        <v>0</v>
      </c>
      <c r="P237" s="812">
        <v>0</v>
      </c>
      <c r="Q237" s="812">
        <v>0</v>
      </c>
      <c r="R237" s="812">
        <v>0</v>
      </c>
      <c r="S237" s="812">
        <v>20000000</v>
      </c>
      <c r="T237" s="668">
        <v>351721</v>
      </c>
      <c r="U237" s="298">
        <v>44946</v>
      </c>
      <c r="V237" s="668" t="s">
        <v>261</v>
      </c>
      <c r="W237" s="668"/>
      <c r="X237" s="668"/>
      <c r="Y237" s="298">
        <v>44946</v>
      </c>
      <c r="Z237" s="668" t="s">
        <v>255</v>
      </c>
      <c r="AA237" s="668" t="s">
        <v>542</v>
      </c>
      <c r="AB237" s="668" t="s">
        <v>506</v>
      </c>
      <c r="AC237" s="668">
        <v>84000000</v>
      </c>
    </row>
    <row r="238" spans="1:29">
      <c r="A238" s="668">
        <v>173</v>
      </c>
      <c r="B238" s="668">
        <v>5</v>
      </c>
      <c r="C238" s="668">
        <v>79777</v>
      </c>
      <c r="D238" s="668">
        <v>191</v>
      </c>
      <c r="E238" s="668" t="s">
        <v>805</v>
      </c>
      <c r="F238" s="668" t="s">
        <v>1106</v>
      </c>
      <c r="G238" s="668">
        <v>900945501</v>
      </c>
      <c r="H238" s="668" t="s">
        <v>1709</v>
      </c>
      <c r="I238" s="668" t="s">
        <v>1710</v>
      </c>
      <c r="J238" s="668" t="s">
        <v>503</v>
      </c>
      <c r="K238" s="668" t="s">
        <v>1711</v>
      </c>
      <c r="L238" s="668">
        <v>351785</v>
      </c>
      <c r="M238" s="298">
        <v>44944</v>
      </c>
      <c r="N238" s="812">
        <v>4760000</v>
      </c>
      <c r="O238" s="812">
        <v>200000</v>
      </c>
      <c r="P238" s="812">
        <v>0</v>
      </c>
      <c r="Q238" s="812">
        <v>0</v>
      </c>
      <c r="R238" s="812">
        <v>0</v>
      </c>
      <c r="S238" s="812">
        <v>4560000</v>
      </c>
      <c r="T238" s="668">
        <v>351785</v>
      </c>
      <c r="U238" s="298">
        <v>44946</v>
      </c>
      <c r="V238" s="668" t="s">
        <v>261</v>
      </c>
      <c r="W238" s="668"/>
      <c r="X238" s="668"/>
      <c r="Y238" s="298">
        <v>44946</v>
      </c>
      <c r="Z238" s="668" t="s">
        <v>725</v>
      </c>
      <c r="AA238" s="668" t="s">
        <v>680</v>
      </c>
      <c r="AB238" s="668" t="s">
        <v>504</v>
      </c>
      <c r="AC238" s="668">
        <v>80000000</v>
      </c>
    </row>
    <row r="239" spans="1:29">
      <c r="A239" s="668">
        <v>173</v>
      </c>
      <c r="B239" s="668">
        <v>6</v>
      </c>
      <c r="C239" s="668">
        <v>74360</v>
      </c>
      <c r="D239" s="668">
        <v>182</v>
      </c>
      <c r="E239" s="668" t="s">
        <v>1337</v>
      </c>
      <c r="F239" s="668" t="s">
        <v>1341</v>
      </c>
      <c r="G239" s="668">
        <v>901534473</v>
      </c>
      <c r="H239" s="668" t="s">
        <v>1712</v>
      </c>
      <c r="I239" s="668" t="s">
        <v>1713</v>
      </c>
      <c r="J239" s="668" t="s">
        <v>503</v>
      </c>
      <c r="K239" s="668" t="s">
        <v>1714</v>
      </c>
      <c r="L239" s="668">
        <v>351823</v>
      </c>
      <c r="M239" s="298">
        <v>44944</v>
      </c>
      <c r="N239" s="812">
        <v>1055000</v>
      </c>
      <c r="O239" s="812">
        <v>45672.5</v>
      </c>
      <c r="P239" s="812">
        <v>0</v>
      </c>
      <c r="Q239" s="812">
        <v>0</v>
      </c>
      <c r="R239" s="812">
        <v>0</v>
      </c>
      <c r="S239" s="812">
        <v>1009327.5</v>
      </c>
      <c r="T239" s="668">
        <v>351823</v>
      </c>
      <c r="U239" s="298">
        <v>44946</v>
      </c>
      <c r="V239" s="668" t="s">
        <v>261</v>
      </c>
      <c r="W239" s="668"/>
      <c r="X239" s="668"/>
      <c r="Y239" s="298">
        <v>44946</v>
      </c>
      <c r="Z239" s="668" t="s">
        <v>257</v>
      </c>
      <c r="AA239" s="668" t="s">
        <v>1362</v>
      </c>
      <c r="AB239" s="668" t="s">
        <v>506</v>
      </c>
      <c r="AC239" s="668">
        <v>79996000</v>
      </c>
    </row>
    <row r="240" spans="1:29">
      <c r="A240" s="668">
        <v>173</v>
      </c>
      <c r="B240" s="668">
        <v>7</v>
      </c>
      <c r="C240" s="668">
        <v>76937</v>
      </c>
      <c r="D240" s="668">
        <v>188</v>
      </c>
      <c r="E240" s="668" t="s">
        <v>582</v>
      </c>
      <c r="F240" s="668" t="s">
        <v>1020</v>
      </c>
      <c r="G240" s="668">
        <v>800150444</v>
      </c>
      <c r="H240" s="668" t="s">
        <v>1715</v>
      </c>
      <c r="I240" s="668" t="s">
        <v>1716</v>
      </c>
      <c r="J240" s="668" t="s">
        <v>507</v>
      </c>
      <c r="K240" s="668" t="s">
        <v>1717</v>
      </c>
      <c r="L240" s="668">
        <v>351689</v>
      </c>
      <c r="M240" s="298">
        <v>44946</v>
      </c>
      <c r="N240" s="812">
        <v>2230000</v>
      </c>
      <c r="O240" s="812">
        <v>46848.75</v>
      </c>
      <c r="P240" s="812">
        <v>0</v>
      </c>
      <c r="Q240" s="812">
        <v>0</v>
      </c>
      <c r="R240" s="812">
        <v>0</v>
      </c>
      <c r="S240" s="812">
        <v>2183151.25</v>
      </c>
      <c r="T240" s="668">
        <v>351689</v>
      </c>
      <c r="U240" s="298">
        <v>44949</v>
      </c>
      <c r="V240" s="668" t="s">
        <v>261</v>
      </c>
      <c r="W240" s="668"/>
      <c r="X240" s="668"/>
      <c r="Y240" s="298">
        <v>44949</v>
      </c>
      <c r="Z240" s="668" t="s">
        <v>256</v>
      </c>
      <c r="AA240" s="668" t="s">
        <v>541</v>
      </c>
      <c r="AB240" s="668" t="s">
        <v>504</v>
      </c>
      <c r="AC240" s="668">
        <v>79005578</v>
      </c>
    </row>
    <row r="241" spans="1:29">
      <c r="A241" s="668">
        <v>173</v>
      </c>
      <c r="B241" s="668">
        <v>8</v>
      </c>
      <c r="C241" s="668">
        <v>75530</v>
      </c>
      <c r="D241" s="668">
        <v>169</v>
      </c>
      <c r="E241" s="668" t="s">
        <v>573</v>
      </c>
      <c r="F241" s="668" t="s">
        <v>705</v>
      </c>
      <c r="G241" s="668">
        <v>51791551</v>
      </c>
      <c r="H241" s="668" t="s">
        <v>1090</v>
      </c>
      <c r="I241" s="668" t="s">
        <v>1718</v>
      </c>
      <c r="J241" s="668" t="s">
        <v>507</v>
      </c>
      <c r="K241" s="668" t="s">
        <v>1091</v>
      </c>
      <c r="L241" s="668">
        <v>351841</v>
      </c>
      <c r="M241" s="298">
        <v>44946</v>
      </c>
      <c r="N241" s="812">
        <v>7360094</v>
      </c>
      <c r="O241" s="812">
        <v>147201.88</v>
      </c>
      <c r="P241" s="812">
        <v>0</v>
      </c>
      <c r="Q241" s="812">
        <v>0</v>
      </c>
      <c r="R241" s="812">
        <v>0</v>
      </c>
      <c r="S241" s="812">
        <v>7212892.1200000001</v>
      </c>
      <c r="T241" s="668">
        <v>351841</v>
      </c>
      <c r="U241" s="298">
        <v>44949</v>
      </c>
      <c r="V241" s="668" t="s">
        <v>261</v>
      </c>
      <c r="W241" s="668"/>
      <c r="X241" s="668"/>
      <c r="Y241" s="298">
        <v>44949</v>
      </c>
      <c r="Z241" s="668" t="s">
        <v>304</v>
      </c>
      <c r="AA241" s="668" t="s">
        <v>548</v>
      </c>
      <c r="AB241" s="668" t="s">
        <v>504</v>
      </c>
      <c r="AC241" s="668">
        <v>123907469</v>
      </c>
    </row>
    <row r="242" spans="1:29">
      <c r="A242" s="668">
        <v>173</v>
      </c>
      <c r="B242" s="668">
        <v>9</v>
      </c>
      <c r="C242" s="668">
        <v>75530</v>
      </c>
      <c r="D242" s="668">
        <v>169</v>
      </c>
      <c r="E242" s="668" t="s">
        <v>573</v>
      </c>
      <c r="F242" s="668" t="s">
        <v>705</v>
      </c>
      <c r="G242" s="668">
        <v>900494861</v>
      </c>
      <c r="H242" s="668" t="s">
        <v>1719</v>
      </c>
      <c r="I242" s="668" t="s">
        <v>1720</v>
      </c>
      <c r="J242" s="668" t="s">
        <v>503</v>
      </c>
      <c r="K242" s="668" t="s">
        <v>1721</v>
      </c>
      <c r="L242" s="668">
        <v>351842</v>
      </c>
      <c r="M242" s="298">
        <v>44946</v>
      </c>
      <c r="N242" s="812">
        <v>950000</v>
      </c>
      <c r="O242" s="812">
        <v>0</v>
      </c>
      <c r="P242" s="812">
        <v>0</v>
      </c>
      <c r="Q242" s="812">
        <v>0</v>
      </c>
      <c r="R242" s="812">
        <v>0</v>
      </c>
      <c r="S242" s="812">
        <v>950000</v>
      </c>
      <c r="T242" s="668">
        <v>351842</v>
      </c>
      <c r="U242" s="298">
        <v>44949</v>
      </c>
      <c r="V242" s="668" t="s">
        <v>261</v>
      </c>
      <c r="W242" s="668"/>
      <c r="X242" s="668"/>
      <c r="Y242" s="298">
        <v>44949</v>
      </c>
      <c r="Z242" s="668" t="s">
        <v>304</v>
      </c>
      <c r="AA242" s="668" t="s">
        <v>548</v>
      </c>
      <c r="AB242" s="668" t="s">
        <v>504</v>
      </c>
      <c r="AC242" s="668">
        <v>123907469</v>
      </c>
    </row>
    <row r="243" spans="1:29">
      <c r="A243" s="668">
        <v>173</v>
      </c>
      <c r="B243" s="668">
        <v>10</v>
      </c>
      <c r="C243" s="668">
        <v>74904</v>
      </c>
      <c r="D243" s="668">
        <v>189</v>
      </c>
      <c r="E243" s="668" t="s">
        <v>664</v>
      </c>
      <c r="F243" s="668" t="s">
        <v>840</v>
      </c>
      <c r="G243" s="668">
        <v>900658053</v>
      </c>
      <c r="H243" s="668" t="s">
        <v>1722</v>
      </c>
      <c r="I243" s="668" t="s">
        <v>1723</v>
      </c>
      <c r="J243" s="668" t="s">
        <v>503</v>
      </c>
      <c r="K243" s="668" t="s">
        <v>1724</v>
      </c>
      <c r="L243" s="668">
        <v>351843</v>
      </c>
      <c r="M243" s="298">
        <v>44946</v>
      </c>
      <c r="N243" s="812">
        <v>3910180</v>
      </c>
      <c r="O243" s="812">
        <v>164293.28</v>
      </c>
      <c r="P243" s="812">
        <v>0</v>
      </c>
      <c r="Q243" s="812">
        <v>72551.91</v>
      </c>
      <c r="R243" s="812">
        <v>0</v>
      </c>
      <c r="S243" s="812">
        <v>3673334.81</v>
      </c>
      <c r="T243" s="668">
        <v>351843</v>
      </c>
      <c r="U243" s="298">
        <v>44949</v>
      </c>
      <c r="V243" s="668" t="s">
        <v>261</v>
      </c>
      <c r="W243" s="668"/>
      <c r="X243" s="668"/>
      <c r="Y243" s="298">
        <v>44949</v>
      </c>
      <c r="Z243" s="668" t="s">
        <v>258</v>
      </c>
      <c r="AA243" s="668" t="s">
        <v>661</v>
      </c>
      <c r="AB243" s="668" t="s">
        <v>506</v>
      </c>
      <c r="AC243" s="668">
        <v>79999977</v>
      </c>
    </row>
    <row r="244" spans="1:29">
      <c r="A244" s="668">
        <v>173</v>
      </c>
      <c r="B244" s="668">
        <v>11</v>
      </c>
      <c r="C244" s="668">
        <v>74414</v>
      </c>
      <c r="D244" s="668">
        <v>184</v>
      </c>
      <c r="E244" s="668" t="s">
        <v>521</v>
      </c>
      <c r="F244" s="668" t="s">
        <v>1343</v>
      </c>
      <c r="G244" s="668">
        <v>98453789</v>
      </c>
      <c r="H244" s="668" t="s">
        <v>1477</v>
      </c>
      <c r="I244" s="668" t="s">
        <v>1725</v>
      </c>
      <c r="J244" s="668" t="s">
        <v>503</v>
      </c>
      <c r="K244" s="668" t="s">
        <v>1479</v>
      </c>
      <c r="L244" s="668">
        <v>351884</v>
      </c>
      <c r="M244" s="298">
        <v>44946</v>
      </c>
      <c r="N244" s="812">
        <v>2470000</v>
      </c>
      <c r="O244" s="812">
        <v>86450</v>
      </c>
      <c r="P244" s="812">
        <v>0</v>
      </c>
      <c r="Q244" s="812">
        <v>0</v>
      </c>
      <c r="R244" s="812">
        <v>0</v>
      </c>
      <c r="S244" s="812">
        <v>2383550</v>
      </c>
      <c r="T244" s="668">
        <v>351884</v>
      </c>
      <c r="U244" s="298">
        <v>44949</v>
      </c>
      <c r="V244" s="668" t="s">
        <v>261</v>
      </c>
      <c r="W244" s="668"/>
      <c r="X244" s="668"/>
      <c r="Y244" s="298">
        <v>44949</v>
      </c>
      <c r="Z244" s="668" t="s">
        <v>254</v>
      </c>
      <c r="AA244" s="668" t="s">
        <v>539</v>
      </c>
      <c r="AB244" s="668" t="s">
        <v>647</v>
      </c>
      <c r="AC244" s="668">
        <v>123108652</v>
      </c>
    </row>
    <row r="245" spans="1:29">
      <c r="A245" s="668">
        <v>173</v>
      </c>
      <c r="B245" s="668">
        <v>12</v>
      </c>
      <c r="C245" s="668">
        <v>74646</v>
      </c>
      <c r="D245" s="668">
        <v>171</v>
      </c>
      <c r="E245" s="668" t="s">
        <v>619</v>
      </c>
      <c r="F245" s="668" t="s">
        <v>851</v>
      </c>
      <c r="G245" s="668">
        <v>41698845</v>
      </c>
      <c r="H245" s="668" t="s">
        <v>1726</v>
      </c>
      <c r="I245" s="668" t="s">
        <v>1727</v>
      </c>
      <c r="J245" s="668" t="s">
        <v>503</v>
      </c>
      <c r="K245" s="668" t="s">
        <v>1728</v>
      </c>
      <c r="L245" s="668">
        <v>351934</v>
      </c>
      <c r="M245" s="298">
        <v>44946</v>
      </c>
      <c r="N245" s="812">
        <v>1414000</v>
      </c>
      <c r="O245" s="812">
        <v>49490</v>
      </c>
      <c r="P245" s="812">
        <v>0</v>
      </c>
      <c r="Q245" s="812">
        <v>0</v>
      </c>
      <c r="R245" s="812">
        <v>0</v>
      </c>
      <c r="S245" s="812">
        <v>1364510</v>
      </c>
      <c r="T245" s="668">
        <v>351934</v>
      </c>
      <c r="U245" s="298">
        <v>44949</v>
      </c>
      <c r="V245" s="668" t="s">
        <v>261</v>
      </c>
      <c r="W245" s="668"/>
      <c r="X245" s="668"/>
      <c r="Y245" s="298">
        <v>44949</v>
      </c>
      <c r="Z245" s="668" t="s">
        <v>254</v>
      </c>
      <c r="AA245" s="668" t="s">
        <v>650</v>
      </c>
      <c r="AB245" s="668" t="s">
        <v>647</v>
      </c>
      <c r="AC245" s="668">
        <v>123919072</v>
      </c>
    </row>
    <row r="246" spans="1:29">
      <c r="A246" s="668">
        <v>173</v>
      </c>
      <c r="B246" s="668">
        <v>13</v>
      </c>
      <c r="C246" s="668">
        <v>74645</v>
      </c>
      <c r="D246" s="668">
        <v>171</v>
      </c>
      <c r="E246" s="668" t="s">
        <v>619</v>
      </c>
      <c r="F246" s="668" t="s">
        <v>654</v>
      </c>
      <c r="G246" s="668">
        <v>1007623317</v>
      </c>
      <c r="H246" s="668" t="s">
        <v>1729</v>
      </c>
      <c r="I246" s="668" t="s">
        <v>1730</v>
      </c>
      <c r="J246" s="668" t="s">
        <v>503</v>
      </c>
      <c r="K246" s="668" t="s">
        <v>1731</v>
      </c>
      <c r="L246" s="668">
        <v>351942</v>
      </c>
      <c r="M246" s="298">
        <v>44946</v>
      </c>
      <c r="N246" s="812">
        <v>1894000</v>
      </c>
      <c r="O246" s="812">
        <v>66290</v>
      </c>
      <c r="P246" s="812">
        <v>0</v>
      </c>
      <c r="Q246" s="812">
        <v>0</v>
      </c>
      <c r="R246" s="812">
        <v>0</v>
      </c>
      <c r="S246" s="812">
        <v>1827710</v>
      </c>
      <c r="T246" s="668">
        <v>351942</v>
      </c>
      <c r="U246" s="298">
        <v>44949</v>
      </c>
      <c r="V246" s="668" t="s">
        <v>261</v>
      </c>
      <c r="W246" s="668"/>
      <c r="X246" s="668"/>
      <c r="Y246" s="298">
        <v>44949</v>
      </c>
      <c r="Z246" s="668" t="s">
        <v>254</v>
      </c>
      <c r="AA246" s="668" t="s">
        <v>650</v>
      </c>
      <c r="AB246" s="668" t="s">
        <v>647</v>
      </c>
      <c r="AC246" s="668">
        <v>116150004</v>
      </c>
    </row>
    <row r="247" spans="1:29">
      <c r="A247" s="668">
        <v>173</v>
      </c>
      <c r="B247" s="668">
        <v>14</v>
      </c>
      <c r="C247" s="668">
        <v>73824</v>
      </c>
      <c r="D247" s="668">
        <v>188</v>
      </c>
      <c r="E247" s="668" t="s">
        <v>582</v>
      </c>
      <c r="F247" s="668" t="s">
        <v>584</v>
      </c>
      <c r="G247" s="668">
        <v>901558102</v>
      </c>
      <c r="H247" s="668" t="s">
        <v>1099</v>
      </c>
      <c r="I247" s="668" t="s">
        <v>1732</v>
      </c>
      <c r="J247" s="668" t="s">
        <v>503</v>
      </c>
      <c r="K247" s="668" t="s">
        <v>1100</v>
      </c>
      <c r="L247" s="668">
        <v>352005</v>
      </c>
      <c r="M247" s="298">
        <v>44946</v>
      </c>
      <c r="N247" s="812">
        <v>2108647</v>
      </c>
      <c r="O247" s="812">
        <v>0</v>
      </c>
      <c r="P247" s="812">
        <v>0</v>
      </c>
      <c r="Q247" s="812">
        <v>0</v>
      </c>
      <c r="R247" s="812">
        <v>0</v>
      </c>
      <c r="S247" s="812">
        <v>2108647</v>
      </c>
      <c r="T247" s="668">
        <v>352005</v>
      </c>
      <c r="U247" s="298">
        <v>44949</v>
      </c>
      <c r="V247" s="668" t="s">
        <v>261</v>
      </c>
      <c r="W247" s="668"/>
      <c r="X247" s="668"/>
      <c r="Y247" s="298">
        <v>44949</v>
      </c>
      <c r="Z247" s="668" t="s">
        <v>256</v>
      </c>
      <c r="AA247" s="668" t="s">
        <v>541</v>
      </c>
      <c r="AB247" s="668" t="s">
        <v>504</v>
      </c>
      <c r="AC247" s="668">
        <v>79950288</v>
      </c>
    </row>
    <row r="248" spans="1:29">
      <c r="A248" s="668">
        <v>173</v>
      </c>
      <c r="B248" s="668">
        <v>15</v>
      </c>
      <c r="C248" s="668">
        <v>76937</v>
      </c>
      <c r="D248" s="668">
        <v>188</v>
      </c>
      <c r="E248" s="668" t="s">
        <v>582</v>
      </c>
      <c r="F248" s="668" t="s">
        <v>1020</v>
      </c>
      <c r="G248" s="668">
        <v>1007234316</v>
      </c>
      <c r="H248" s="668" t="s">
        <v>1733</v>
      </c>
      <c r="I248" s="668" t="s">
        <v>1734</v>
      </c>
      <c r="J248" s="668" t="s">
        <v>503</v>
      </c>
      <c r="K248" s="668" t="s">
        <v>1735</v>
      </c>
      <c r="L248" s="668">
        <v>352006</v>
      </c>
      <c r="M248" s="298">
        <v>44946</v>
      </c>
      <c r="N248" s="812">
        <v>2945000</v>
      </c>
      <c r="O248" s="812">
        <v>103075</v>
      </c>
      <c r="P248" s="812">
        <v>0</v>
      </c>
      <c r="Q248" s="812">
        <v>0</v>
      </c>
      <c r="R248" s="812">
        <v>0</v>
      </c>
      <c r="S248" s="812">
        <v>2841925</v>
      </c>
      <c r="T248" s="668">
        <v>352006</v>
      </c>
      <c r="U248" s="298">
        <v>44949</v>
      </c>
      <c r="V248" s="668" t="s">
        <v>261</v>
      </c>
      <c r="W248" s="668"/>
      <c r="X248" s="668"/>
      <c r="Y248" s="298">
        <v>44949</v>
      </c>
      <c r="Z248" s="668" t="s">
        <v>256</v>
      </c>
      <c r="AA248" s="668" t="s">
        <v>541</v>
      </c>
      <c r="AB248" s="668" t="s">
        <v>504</v>
      </c>
      <c r="AC248" s="668">
        <v>79005578</v>
      </c>
    </row>
    <row r="249" spans="1:29">
      <c r="A249" s="668">
        <v>173</v>
      </c>
      <c r="B249" s="668">
        <v>16</v>
      </c>
      <c r="C249" s="668">
        <v>74369</v>
      </c>
      <c r="D249" s="668">
        <v>175</v>
      </c>
      <c r="E249" s="668" t="s">
        <v>492</v>
      </c>
      <c r="F249" s="668" t="s">
        <v>1347</v>
      </c>
      <c r="G249" s="668">
        <v>901075729</v>
      </c>
      <c r="H249" s="668" t="s">
        <v>1736</v>
      </c>
      <c r="I249" s="668" t="s">
        <v>1737</v>
      </c>
      <c r="J249" s="668" t="s">
        <v>503</v>
      </c>
      <c r="K249" s="668" t="s">
        <v>1738</v>
      </c>
      <c r="L249" s="668">
        <v>351909</v>
      </c>
      <c r="M249" s="298">
        <v>44946</v>
      </c>
      <c r="N249" s="812">
        <v>1190000</v>
      </c>
      <c r="O249" s="812">
        <v>0</v>
      </c>
      <c r="P249" s="812">
        <v>0</v>
      </c>
      <c r="Q249" s="812">
        <v>0</v>
      </c>
      <c r="R249" s="812">
        <v>0</v>
      </c>
      <c r="S249" s="812">
        <v>1190000</v>
      </c>
      <c r="T249" s="668">
        <v>351909</v>
      </c>
      <c r="U249" s="298">
        <v>44949</v>
      </c>
      <c r="V249" s="668" t="s">
        <v>261</v>
      </c>
      <c r="W249" s="668"/>
      <c r="X249" s="668"/>
      <c r="Y249" s="298">
        <v>44949</v>
      </c>
      <c r="Z249" s="668" t="s">
        <v>493</v>
      </c>
      <c r="AA249" s="668" t="s">
        <v>540</v>
      </c>
      <c r="AB249" s="668" t="s">
        <v>505</v>
      </c>
      <c r="AC249" s="668">
        <v>123984828</v>
      </c>
    </row>
    <row r="250" spans="1:29">
      <c r="A250" s="668">
        <v>173</v>
      </c>
      <c r="B250" s="668">
        <v>17</v>
      </c>
      <c r="C250" s="668">
        <v>74670</v>
      </c>
      <c r="D250" s="668">
        <v>171</v>
      </c>
      <c r="E250" s="668" t="s">
        <v>616</v>
      </c>
      <c r="F250" s="668" t="s">
        <v>618</v>
      </c>
      <c r="G250" s="668">
        <v>901556999</v>
      </c>
      <c r="H250" s="668" t="s">
        <v>800</v>
      </c>
      <c r="I250" s="668" t="s">
        <v>1739</v>
      </c>
      <c r="J250" s="668" t="s">
        <v>503</v>
      </c>
      <c r="K250" s="668" t="s">
        <v>921</v>
      </c>
      <c r="L250" s="668">
        <v>352027</v>
      </c>
      <c r="M250" s="298">
        <v>44946</v>
      </c>
      <c r="N250" s="812">
        <v>838950</v>
      </c>
      <c r="O250" s="812">
        <v>0</v>
      </c>
      <c r="P250" s="812">
        <v>0</v>
      </c>
      <c r="Q250" s="812">
        <v>0</v>
      </c>
      <c r="R250" s="812">
        <v>0</v>
      </c>
      <c r="S250" s="812">
        <v>838950</v>
      </c>
      <c r="T250" s="668">
        <v>352027</v>
      </c>
      <c r="U250" s="298">
        <v>44949</v>
      </c>
      <c r="V250" s="668" t="s">
        <v>261</v>
      </c>
      <c r="W250" s="668"/>
      <c r="X250" s="668"/>
      <c r="Y250" s="298">
        <v>44949</v>
      </c>
      <c r="Z250" s="668" t="s">
        <v>254</v>
      </c>
      <c r="AA250" s="668" t="s">
        <v>544</v>
      </c>
      <c r="AB250" s="668" t="s">
        <v>647</v>
      </c>
      <c r="AC250" s="668">
        <v>123559536</v>
      </c>
    </row>
    <row r="251" spans="1:29">
      <c r="A251" s="668">
        <v>173</v>
      </c>
      <c r="B251" s="668">
        <v>18</v>
      </c>
      <c r="C251" s="668">
        <v>75530</v>
      </c>
      <c r="D251" s="668">
        <v>169</v>
      </c>
      <c r="E251" s="668" t="s">
        <v>573</v>
      </c>
      <c r="F251" s="668" t="s">
        <v>705</v>
      </c>
      <c r="G251" s="668">
        <v>1127241825</v>
      </c>
      <c r="H251" s="668" t="s">
        <v>1740</v>
      </c>
      <c r="I251" s="668" t="s">
        <v>1741</v>
      </c>
      <c r="J251" s="668" t="s">
        <v>503</v>
      </c>
      <c r="K251" s="668" t="s">
        <v>1742</v>
      </c>
      <c r="L251" s="668">
        <v>352034</v>
      </c>
      <c r="M251" s="298">
        <v>44946</v>
      </c>
      <c r="N251" s="812">
        <v>1497091</v>
      </c>
      <c r="O251" s="812">
        <v>52398.19</v>
      </c>
      <c r="P251" s="812">
        <v>0</v>
      </c>
      <c r="Q251" s="812">
        <v>0</v>
      </c>
      <c r="R251" s="812">
        <v>0</v>
      </c>
      <c r="S251" s="812">
        <v>1444692.81</v>
      </c>
      <c r="T251" s="668">
        <v>352034</v>
      </c>
      <c r="U251" s="298">
        <v>44949</v>
      </c>
      <c r="V251" s="668" t="s">
        <v>261</v>
      </c>
      <c r="W251" s="668"/>
      <c r="X251" s="668"/>
      <c r="Y251" s="298">
        <v>44949</v>
      </c>
      <c r="Z251" s="668" t="s">
        <v>304</v>
      </c>
      <c r="AA251" s="668" t="s">
        <v>548</v>
      </c>
      <c r="AB251" s="668" t="s">
        <v>504</v>
      </c>
      <c r="AC251" s="668">
        <v>123907469</v>
      </c>
    </row>
    <row r="252" spans="1:29">
      <c r="A252" s="668">
        <v>173</v>
      </c>
      <c r="B252" s="668">
        <v>19</v>
      </c>
      <c r="C252" s="668">
        <v>74462</v>
      </c>
      <c r="D252" s="668">
        <v>185</v>
      </c>
      <c r="E252" s="668" t="s">
        <v>566</v>
      </c>
      <c r="F252" s="668" t="s">
        <v>803</v>
      </c>
      <c r="G252" s="668">
        <v>1039690196</v>
      </c>
      <c r="H252" s="668" t="s">
        <v>463</v>
      </c>
      <c r="I252" s="668" t="s">
        <v>1743</v>
      </c>
      <c r="J252" s="668" t="s">
        <v>503</v>
      </c>
      <c r="K252" s="668" t="s">
        <v>464</v>
      </c>
      <c r="L252" s="668">
        <v>352051</v>
      </c>
      <c r="M252" s="298">
        <v>44946</v>
      </c>
      <c r="N252" s="812">
        <v>500000</v>
      </c>
      <c r="O252" s="812">
        <v>0</v>
      </c>
      <c r="P252" s="812">
        <v>0</v>
      </c>
      <c r="Q252" s="812">
        <v>0</v>
      </c>
      <c r="R252" s="812">
        <v>0</v>
      </c>
      <c r="S252" s="812">
        <v>500000</v>
      </c>
      <c r="T252" s="668">
        <v>352051</v>
      </c>
      <c r="U252" s="298">
        <v>44949</v>
      </c>
      <c r="V252" s="668" t="s">
        <v>261</v>
      </c>
      <c r="W252" s="668"/>
      <c r="X252" s="668"/>
      <c r="Y252" s="298">
        <v>44949</v>
      </c>
      <c r="Z252" s="668" t="s">
        <v>254</v>
      </c>
      <c r="AA252" s="668" t="s">
        <v>544</v>
      </c>
      <c r="AB252" s="668" t="s">
        <v>647</v>
      </c>
      <c r="AC252" s="668">
        <v>79968044</v>
      </c>
    </row>
    <row r="253" spans="1:29">
      <c r="A253" s="668">
        <v>173</v>
      </c>
      <c r="B253" s="668">
        <v>20</v>
      </c>
      <c r="C253" s="668">
        <v>75029</v>
      </c>
      <c r="D253" s="668">
        <v>190</v>
      </c>
      <c r="E253" s="668" t="s">
        <v>673</v>
      </c>
      <c r="F253" s="668" t="s">
        <v>790</v>
      </c>
      <c r="G253" s="668">
        <v>1091163837</v>
      </c>
      <c r="H253" s="668" t="s">
        <v>1744</v>
      </c>
      <c r="I253" s="668" t="s">
        <v>1745</v>
      </c>
      <c r="J253" s="668" t="s">
        <v>503</v>
      </c>
      <c r="K253" s="668" t="s">
        <v>1746</v>
      </c>
      <c r="L253" s="668">
        <v>352060</v>
      </c>
      <c r="M253" s="298">
        <v>44946</v>
      </c>
      <c r="N253" s="812">
        <v>1635000</v>
      </c>
      <c r="O253" s="812">
        <v>57225</v>
      </c>
      <c r="P253" s="812">
        <v>0</v>
      </c>
      <c r="Q253" s="812">
        <v>0</v>
      </c>
      <c r="R253" s="812">
        <v>0</v>
      </c>
      <c r="S253" s="812">
        <v>1577775</v>
      </c>
      <c r="T253" s="668">
        <v>352060</v>
      </c>
      <c r="U253" s="298">
        <v>44949</v>
      </c>
      <c r="V253" s="668" t="s">
        <v>261</v>
      </c>
      <c r="W253" s="668"/>
      <c r="X253" s="668"/>
      <c r="Y253" s="298">
        <v>44949</v>
      </c>
      <c r="Z253" s="668" t="s">
        <v>259</v>
      </c>
      <c r="AA253" s="668" t="s">
        <v>680</v>
      </c>
      <c r="AB253" s="668" t="s">
        <v>504</v>
      </c>
      <c r="AC253" s="668">
        <v>79955681</v>
      </c>
    </row>
    <row r="254" spans="1:29">
      <c r="A254" s="668">
        <v>173</v>
      </c>
      <c r="B254" s="668">
        <v>21</v>
      </c>
      <c r="C254" s="668">
        <v>74412</v>
      </c>
      <c r="D254" s="668">
        <v>169</v>
      </c>
      <c r="E254" s="668" t="s">
        <v>573</v>
      </c>
      <c r="F254" s="668" t="s">
        <v>607</v>
      </c>
      <c r="G254" s="668">
        <v>901553591</v>
      </c>
      <c r="H254" s="668" t="s">
        <v>1004</v>
      </c>
      <c r="I254" s="668" t="s">
        <v>1747</v>
      </c>
      <c r="J254" s="668" t="s">
        <v>503</v>
      </c>
      <c r="K254" s="668" t="s">
        <v>1005</v>
      </c>
      <c r="L254" s="668">
        <v>352120</v>
      </c>
      <c r="M254" s="298">
        <v>44946</v>
      </c>
      <c r="N254" s="812">
        <v>667636</v>
      </c>
      <c r="O254" s="812">
        <v>0</v>
      </c>
      <c r="P254" s="812">
        <v>0</v>
      </c>
      <c r="Q254" s="812">
        <v>0</v>
      </c>
      <c r="R254" s="812">
        <v>0</v>
      </c>
      <c r="S254" s="812">
        <v>667636</v>
      </c>
      <c r="T254" s="668">
        <v>352120</v>
      </c>
      <c r="U254" s="298">
        <v>44949</v>
      </c>
      <c r="V254" s="668" t="s">
        <v>261</v>
      </c>
      <c r="W254" s="668"/>
      <c r="X254" s="668"/>
      <c r="Y254" s="298">
        <v>44949</v>
      </c>
      <c r="Z254" s="668" t="s">
        <v>304</v>
      </c>
      <c r="AA254" s="668" t="s">
        <v>548</v>
      </c>
      <c r="AB254" s="668" t="s">
        <v>504</v>
      </c>
      <c r="AC254" s="668">
        <v>119417574</v>
      </c>
    </row>
    <row r="255" spans="1:29">
      <c r="A255" s="668">
        <v>173</v>
      </c>
      <c r="B255" s="668">
        <v>22</v>
      </c>
      <c r="C255" s="668">
        <v>74646</v>
      </c>
      <c r="D255" s="668">
        <v>171</v>
      </c>
      <c r="E255" s="668" t="s">
        <v>619</v>
      </c>
      <c r="F255" s="668" t="s">
        <v>851</v>
      </c>
      <c r="G255" s="668">
        <v>900707353</v>
      </c>
      <c r="H255" s="668" t="s">
        <v>1748</v>
      </c>
      <c r="I255" s="668" t="s">
        <v>1749</v>
      </c>
      <c r="J255" s="668" t="s">
        <v>503</v>
      </c>
      <c r="K255" s="668" t="s">
        <v>1750</v>
      </c>
      <c r="L255" s="668">
        <v>352127</v>
      </c>
      <c r="M255" s="298">
        <v>44946</v>
      </c>
      <c r="N255" s="812">
        <v>190000</v>
      </c>
      <c r="O255" s="812">
        <v>0</v>
      </c>
      <c r="P255" s="812">
        <v>0</v>
      </c>
      <c r="Q255" s="812">
        <v>0</v>
      </c>
      <c r="R255" s="812">
        <v>0</v>
      </c>
      <c r="S255" s="812">
        <v>190000</v>
      </c>
      <c r="T255" s="668">
        <v>352127</v>
      </c>
      <c r="U255" s="298">
        <v>44949</v>
      </c>
      <c r="V255" s="668" t="s">
        <v>261</v>
      </c>
      <c r="W255" s="668"/>
      <c r="X255" s="668"/>
      <c r="Y255" s="298">
        <v>44949</v>
      </c>
      <c r="Z255" s="668" t="s">
        <v>254</v>
      </c>
      <c r="AA255" s="668" t="s">
        <v>650</v>
      </c>
      <c r="AB255" s="668" t="s">
        <v>647</v>
      </c>
      <c r="AC255" s="668">
        <v>123919072</v>
      </c>
    </row>
    <row r="256" spans="1:29">
      <c r="A256" s="668">
        <v>174</v>
      </c>
      <c r="B256" s="668">
        <v>1</v>
      </c>
      <c r="C256" s="668">
        <v>78460</v>
      </c>
      <c r="D256" s="668">
        <v>191</v>
      </c>
      <c r="E256" s="668" t="s">
        <v>805</v>
      </c>
      <c r="F256" s="668" t="s">
        <v>945</v>
      </c>
      <c r="G256" s="668">
        <v>901129917</v>
      </c>
      <c r="H256" s="668" t="s">
        <v>1751</v>
      </c>
      <c r="I256" s="668" t="s">
        <v>1752</v>
      </c>
      <c r="J256" s="668" t="s">
        <v>503</v>
      </c>
      <c r="K256" s="668" t="s">
        <v>1753</v>
      </c>
      <c r="L256" s="668">
        <v>351999</v>
      </c>
      <c r="M256" s="298">
        <v>44946</v>
      </c>
      <c r="N256" s="812">
        <v>3060000</v>
      </c>
      <c r="O256" s="812">
        <v>0</v>
      </c>
      <c r="P256" s="812">
        <v>0</v>
      </c>
      <c r="Q256" s="812">
        <v>0</v>
      </c>
      <c r="R256" s="812">
        <v>0</v>
      </c>
      <c r="S256" s="812">
        <v>3060000</v>
      </c>
      <c r="T256" s="668">
        <v>351999</v>
      </c>
      <c r="U256" s="298">
        <v>44950</v>
      </c>
      <c r="V256" s="668" t="s">
        <v>261</v>
      </c>
      <c r="W256" s="668"/>
      <c r="X256" s="668"/>
      <c r="Y256" s="298">
        <v>44950</v>
      </c>
      <c r="Z256" s="668" t="s">
        <v>725</v>
      </c>
      <c r="AA256" s="668" t="s">
        <v>662</v>
      </c>
      <c r="AB256" s="668" t="s">
        <v>504</v>
      </c>
      <c r="AC256" s="668">
        <v>79995751</v>
      </c>
    </row>
    <row r="257" spans="1:29">
      <c r="A257" s="668">
        <v>174</v>
      </c>
      <c r="B257" s="668">
        <v>2</v>
      </c>
      <c r="C257" s="668">
        <v>74476</v>
      </c>
      <c r="D257" s="668">
        <v>185</v>
      </c>
      <c r="E257" s="668" t="s">
        <v>566</v>
      </c>
      <c r="F257" s="668" t="s">
        <v>937</v>
      </c>
      <c r="G257" s="668">
        <v>901174493</v>
      </c>
      <c r="H257" s="668" t="s">
        <v>1754</v>
      </c>
      <c r="I257" s="668" t="s">
        <v>1755</v>
      </c>
      <c r="J257" s="668" t="s">
        <v>503</v>
      </c>
      <c r="K257" s="668" t="s">
        <v>1756</v>
      </c>
      <c r="L257" s="668">
        <v>352057</v>
      </c>
      <c r="M257" s="298">
        <v>44946</v>
      </c>
      <c r="N257" s="812">
        <v>5444663</v>
      </c>
      <c r="O257" s="812">
        <v>114383.67999999999</v>
      </c>
      <c r="P257" s="812">
        <v>0</v>
      </c>
      <c r="Q257" s="812">
        <v>0</v>
      </c>
      <c r="R257" s="812">
        <v>0</v>
      </c>
      <c r="S257" s="812">
        <v>5330279.32</v>
      </c>
      <c r="T257" s="668">
        <v>352057</v>
      </c>
      <c r="U257" s="298">
        <v>44950</v>
      </c>
      <c r="V257" s="668" t="s">
        <v>261</v>
      </c>
      <c r="W257" s="668"/>
      <c r="X257" s="668"/>
      <c r="Y257" s="298">
        <v>44950</v>
      </c>
      <c r="Z257" s="668" t="s">
        <v>254</v>
      </c>
      <c r="AA257" s="668" t="s">
        <v>544</v>
      </c>
      <c r="AB257" s="668" t="s">
        <v>647</v>
      </c>
      <c r="AC257" s="668">
        <v>79954029</v>
      </c>
    </row>
    <row r="258" spans="1:29">
      <c r="A258" s="668">
        <v>174</v>
      </c>
      <c r="B258" s="668">
        <v>3</v>
      </c>
      <c r="C258" s="668">
        <v>74904</v>
      </c>
      <c r="D258" s="668">
        <v>189</v>
      </c>
      <c r="E258" s="668" t="s">
        <v>664</v>
      </c>
      <c r="F258" s="668" t="s">
        <v>840</v>
      </c>
      <c r="G258" s="668">
        <v>1088259677</v>
      </c>
      <c r="H258" s="668" t="s">
        <v>1757</v>
      </c>
      <c r="I258" s="668" t="s">
        <v>1758</v>
      </c>
      <c r="J258" s="668" t="s">
        <v>503</v>
      </c>
      <c r="K258" s="668" t="s">
        <v>1759</v>
      </c>
      <c r="L258" s="668">
        <v>352169</v>
      </c>
      <c r="M258" s="298">
        <v>44946</v>
      </c>
      <c r="N258" s="812">
        <v>550000</v>
      </c>
      <c r="O258" s="812">
        <v>0</v>
      </c>
      <c r="P258" s="812">
        <v>0</v>
      </c>
      <c r="Q258" s="812">
        <v>5500</v>
      </c>
      <c r="R258" s="812">
        <v>0</v>
      </c>
      <c r="S258" s="812">
        <v>544500</v>
      </c>
      <c r="T258" s="668">
        <v>352169</v>
      </c>
      <c r="U258" s="298">
        <v>44950</v>
      </c>
      <c r="V258" s="668" t="s">
        <v>261</v>
      </c>
      <c r="W258" s="668"/>
      <c r="X258" s="668"/>
      <c r="Y258" s="298">
        <v>44950</v>
      </c>
      <c r="Z258" s="668" t="s">
        <v>258</v>
      </c>
      <c r="AA258" s="668" t="s">
        <v>661</v>
      </c>
      <c r="AB258" s="668" t="s">
        <v>506</v>
      </c>
      <c r="AC258" s="668">
        <v>79999977</v>
      </c>
    </row>
    <row r="259" spans="1:29">
      <c r="A259" s="668">
        <v>174</v>
      </c>
      <c r="B259" s="668">
        <v>4</v>
      </c>
      <c r="C259" s="668">
        <v>72790</v>
      </c>
      <c r="D259" s="668">
        <v>185</v>
      </c>
      <c r="E259" s="668" t="s">
        <v>566</v>
      </c>
      <c r="F259" s="668" t="s">
        <v>1122</v>
      </c>
      <c r="G259" s="668">
        <v>900558925</v>
      </c>
      <c r="H259" s="668" t="s">
        <v>1760</v>
      </c>
      <c r="I259" s="668" t="s">
        <v>1761</v>
      </c>
      <c r="J259" s="668" t="s">
        <v>503</v>
      </c>
      <c r="K259" s="668" t="s">
        <v>1762</v>
      </c>
      <c r="L259" s="668">
        <v>352170</v>
      </c>
      <c r="M259" s="298">
        <v>44946</v>
      </c>
      <c r="N259" s="812">
        <v>1075000</v>
      </c>
      <c r="O259" s="812">
        <v>0</v>
      </c>
      <c r="P259" s="812">
        <v>0</v>
      </c>
      <c r="Q259" s="812">
        <v>1806.72</v>
      </c>
      <c r="R259" s="812">
        <v>0</v>
      </c>
      <c r="S259" s="812">
        <v>1073193.28</v>
      </c>
      <c r="T259" s="668">
        <v>352170</v>
      </c>
      <c r="U259" s="298">
        <v>44950</v>
      </c>
      <c r="V259" s="668" t="s">
        <v>261</v>
      </c>
      <c r="W259" s="668"/>
      <c r="X259" s="668"/>
      <c r="Y259" s="298">
        <v>44950</v>
      </c>
      <c r="Z259" s="668" t="s">
        <v>254</v>
      </c>
      <c r="AA259" s="668" t="s">
        <v>544</v>
      </c>
      <c r="AB259" s="668" t="s">
        <v>647</v>
      </c>
      <c r="AC259" s="668">
        <v>79949554</v>
      </c>
    </row>
    <row r="260" spans="1:29">
      <c r="A260" s="668">
        <v>174</v>
      </c>
      <c r="B260" s="668">
        <v>5</v>
      </c>
      <c r="C260" s="668">
        <v>74655</v>
      </c>
      <c r="D260" s="668">
        <v>171</v>
      </c>
      <c r="E260" s="668" t="s">
        <v>616</v>
      </c>
      <c r="F260" s="668" t="s">
        <v>814</v>
      </c>
      <c r="G260" s="668">
        <v>811025390</v>
      </c>
      <c r="H260" s="668" t="s">
        <v>1763</v>
      </c>
      <c r="I260" s="668" t="s">
        <v>1764</v>
      </c>
      <c r="J260" s="668" t="s">
        <v>503</v>
      </c>
      <c r="K260" s="668" t="s">
        <v>1066</v>
      </c>
      <c r="L260" s="668">
        <v>352179</v>
      </c>
      <c r="M260" s="298">
        <v>44946</v>
      </c>
      <c r="N260" s="812">
        <v>982750</v>
      </c>
      <c r="O260" s="812">
        <v>0</v>
      </c>
      <c r="P260" s="812">
        <v>0</v>
      </c>
      <c r="Q260" s="812">
        <v>0</v>
      </c>
      <c r="R260" s="812">
        <v>0</v>
      </c>
      <c r="S260" s="812">
        <v>982750</v>
      </c>
      <c r="T260" s="668">
        <v>352179</v>
      </c>
      <c r="U260" s="298">
        <v>44950</v>
      </c>
      <c r="V260" s="668" t="s">
        <v>261</v>
      </c>
      <c r="W260" s="668"/>
      <c r="X260" s="668"/>
      <c r="Y260" s="298">
        <v>44950</v>
      </c>
      <c r="Z260" s="668" t="s">
        <v>254</v>
      </c>
      <c r="AA260" s="668" t="s">
        <v>544</v>
      </c>
      <c r="AB260" s="668" t="s">
        <v>647</v>
      </c>
      <c r="AC260" s="668">
        <v>122223675</v>
      </c>
    </row>
    <row r="261" spans="1:29">
      <c r="A261" s="668">
        <v>174</v>
      </c>
      <c r="B261" s="668">
        <v>6</v>
      </c>
      <c r="C261" s="668">
        <v>74655</v>
      </c>
      <c r="D261" s="668">
        <v>171</v>
      </c>
      <c r="E261" s="668" t="s">
        <v>616</v>
      </c>
      <c r="F261" s="668" t="s">
        <v>814</v>
      </c>
      <c r="G261" s="668">
        <v>811025390</v>
      </c>
      <c r="H261" s="668" t="s">
        <v>1763</v>
      </c>
      <c r="I261" s="668" t="s">
        <v>1765</v>
      </c>
      <c r="J261" s="668" t="s">
        <v>503</v>
      </c>
      <c r="K261" s="668" t="s">
        <v>1066</v>
      </c>
      <c r="L261" s="668">
        <v>352183</v>
      </c>
      <c r="M261" s="298">
        <v>44946</v>
      </c>
      <c r="N261" s="812">
        <v>3976000</v>
      </c>
      <c r="O261" s="812">
        <v>83529.399999999994</v>
      </c>
      <c r="P261" s="812">
        <v>0</v>
      </c>
      <c r="Q261" s="812">
        <v>0</v>
      </c>
      <c r="R261" s="812">
        <v>0</v>
      </c>
      <c r="S261" s="812">
        <v>3892470.6</v>
      </c>
      <c r="T261" s="668">
        <v>352183</v>
      </c>
      <c r="U261" s="298">
        <v>44950</v>
      </c>
      <c r="V261" s="668" t="s">
        <v>261</v>
      </c>
      <c r="W261" s="668"/>
      <c r="X261" s="668"/>
      <c r="Y261" s="298">
        <v>44950</v>
      </c>
      <c r="Z261" s="668" t="s">
        <v>254</v>
      </c>
      <c r="AA261" s="668" t="s">
        <v>544</v>
      </c>
      <c r="AB261" s="668" t="s">
        <v>647</v>
      </c>
      <c r="AC261" s="668">
        <v>122223675</v>
      </c>
    </row>
    <row r="262" spans="1:29">
      <c r="A262" s="668">
        <v>174</v>
      </c>
      <c r="B262" s="668">
        <v>7</v>
      </c>
      <c r="C262" s="668">
        <v>78376</v>
      </c>
      <c r="D262" s="668">
        <v>191</v>
      </c>
      <c r="E262" s="668" t="s">
        <v>722</v>
      </c>
      <c r="F262" s="668" t="s">
        <v>727</v>
      </c>
      <c r="G262" s="668">
        <v>3017087</v>
      </c>
      <c r="H262" s="668" t="s">
        <v>1766</v>
      </c>
      <c r="I262" s="668" t="s">
        <v>1767</v>
      </c>
      <c r="J262" s="668" t="s">
        <v>503</v>
      </c>
      <c r="K262" s="668" t="s">
        <v>1768</v>
      </c>
      <c r="L262" s="668">
        <v>352205</v>
      </c>
      <c r="M262" s="298">
        <v>44946</v>
      </c>
      <c r="N262" s="812">
        <v>3078500</v>
      </c>
      <c r="O262" s="812">
        <v>107747.5</v>
      </c>
      <c r="P262" s="812">
        <v>0</v>
      </c>
      <c r="Q262" s="812">
        <v>0</v>
      </c>
      <c r="R262" s="812">
        <v>0</v>
      </c>
      <c r="S262" s="812">
        <v>2970752.5</v>
      </c>
      <c r="T262" s="668">
        <v>352205</v>
      </c>
      <c r="U262" s="298">
        <v>44950</v>
      </c>
      <c r="V262" s="668" t="s">
        <v>261</v>
      </c>
      <c r="W262" s="668"/>
      <c r="X262" s="668"/>
      <c r="Y262" s="298">
        <v>44950</v>
      </c>
      <c r="Z262" s="668" t="s">
        <v>725</v>
      </c>
      <c r="AA262" s="668" t="s">
        <v>653</v>
      </c>
      <c r="AB262" s="668" t="s">
        <v>504</v>
      </c>
      <c r="AC262" s="668">
        <v>80000000</v>
      </c>
    </row>
    <row r="263" spans="1:29">
      <c r="A263" s="668">
        <v>174</v>
      </c>
      <c r="B263" s="668">
        <v>8</v>
      </c>
      <c r="C263" s="668">
        <v>75210</v>
      </c>
      <c r="D263" s="668">
        <v>190</v>
      </c>
      <c r="E263" s="668" t="s">
        <v>673</v>
      </c>
      <c r="F263" s="668" t="s">
        <v>718</v>
      </c>
      <c r="G263" s="668">
        <v>1102801201</v>
      </c>
      <c r="H263" s="668" t="s">
        <v>1769</v>
      </c>
      <c r="I263" s="668" t="s">
        <v>1770</v>
      </c>
      <c r="J263" s="668" t="s">
        <v>503</v>
      </c>
      <c r="K263" s="668" t="s">
        <v>1771</v>
      </c>
      <c r="L263" s="668">
        <v>352209</v>
      </c>
      <c r="M263" s="298">
        <v>44946</v>
      </c>
      <c r="N263" s="812">
        <v>4600000</v>
      </c>
      <c r="O263" s="812">
        <v>96638.66</v>
      </c>
      <c r="P263" s="812">
        <v>0</v>
      </c>
      <c r="Q263" s="812">
        <v>0</v>
      </c>
      <c r="R263" s="812">
        <v>0</v>
      </c>
      <c r="S263" s="812">
        <v>4503361.34</v>
      </c>
      <c r="T263" s="668">
        <v>352209</v>
      </c>
      <c r="U263" s="298">
        <v>44950</v>
      </c>
      <c r="V263" s="668" t="s">
        <v>261</v>
      </c>
      <c r="W263" s="668"/>
      <c r="X263" s="668"/>
      <c r="Y263" s="298">
        <v>44950</v>
      </c>
      <c r="Z263" s="668" t="s">
        <v>259</v>
      </c>
      <c r="AA263" s="668" t="s">
        <v>653</v>
      </c>
      <c r="AB263" s="668" t="s">
        <v>504</v>
      </c>
      <c r="AC263" s="668">
        <v>79041822</v>
      </c>
    </row>
    <row r="264" spans="1:29">
      <c r="A264" s="668">
        <v>174</v>
      </c>
      <c r="B264" s="668">
        <v>9</v>
      </c>
      <c r="C264" s="668">
        <v>75029</v>
      </c>
      <c r="D264" s="668">
        <v>190</v>
      </c>
      <c r="E264" s="668" t="s">
        <v>673</v>
      </c>
      <c r="F264" s="668" t="s">
        <v>790</v>
      </c>
      <c r="G264" s="668">
        <v>1091163185</v>
      </c>
      <c r="H264" s="668" t="s">
        <v>1772</v>
      </c>
      <c r="I264" s="668" t="s">
        <v>1773</v>
      </c>
      <c r="J264" s="668" t="s">
        <v>503</v>
      </c>
      <c r="K264" s="668" t="s">
        <v>1774</v>
      </c>
      <c r="L264" s="668">
        <v>352245</v>
      </c>
      <c r="M264" s="298">
        <v>44946</v>
      </c>
      <c r="N264" s="812">
        <v>2840000</v>
      </c>
      <c r="O264" s="812">
        <v>99400</v>
      </c>
      <c r="P264" s="812">
        <v>0</v>
      </c>
      <c r="Q264" s="812">
        <v>0</v>
      </c>
      <c r="R264" s="812">
        <v>0</v>
      </c>
      <c r="S264" s="812">
        <v>2740600</v>
      </c>
      <c r="T264" s="668">
        <v>352245</v>
      </c>
      <c r="U264" s="298">
        <v>44950</v>
      </c>
      <c r="V264" s="668" t="s">
        <v>261</v>
      </c>
      <c r="W264" s="668"/>
      <c r="X264" s="668"/>
      <c r="Y264" s="298">
        <v>44950</v>
      </c>
      <c r="Z264" s="668" t="s">
        <v>259</v>
      </c>
      <c r="AA264" s="668" t="s">
        <v>680</v>
      </c>
      <c r="AB264" s="668" t="s">
        <v>504</v>
      </c>
      <c r="AC264" s="668">
        <v>79955681</v>
      </c>
    </row>
    <row r="265" spans="1:29">
      <c r="A265" s="668"/>
      <c r="B265" s="668"/>
      <c r="C265" s="668"/>
      <c r="D265" s="668"/>
      <c r="E265" s="668"/>
      <c r="F265" s="668"/>
      <c r="G265" s="668"/>
      <c r="H265" s="668"/>
      <c r="I265" s="668"/>
      <c r="J265" s="668"/>
      <c r="K265" s="668"/>
      <c r="L265" s="668"/>
      <c r="M265" s="298"/>
      <c r="N265" s="812"/>
      <c r="O265" s="812"/>
      <c r="P265" s="812"/>
      <c r="Q265" s="812"/>
      <c r="R265" s="812"/>
      <c r="S265" s="812"/>
      <c r="T265" s="668"/>
      <c r="U265" s="298"/>
      <c r="V265" s="668"/>
      <c r="W265" s="668"/>
      <c r="X265" s="668"/>
      <c r="Y265" s="298"/>
      <c r="Z265" s="668"/>
      <c r="AA265" s="668"/>
      <c r="AB265" s="668"/>
      <c r="AC265" s="668"/>
    </row>
    <row r="266" spans="1:29">
      <c r="A266" s="668"/>
      <c r="B266" s="668"/>
      <c r="C266" s="668"/>
      <c r="D266" s="668"/>
      <c r="E266" s="668"/>
      <c r="F266" s="668"/>
      <c r="G266" s="668"/>
      <c r="H266" s="668"/>
      <c r="I266" s="668"/>
      <c r="J266" s="668"/>
      <c r="K266" s="668"/>
      <c r="L266" s="668"/>
      <c r="M266" s="298"/>
      <c r="N266" s="812"/>
      <c r="O266" s="812"/>
      <c r="P266" s="812"/>
      <c r="Q266" s="812"/>
      <c r="R266" s="812"/>
      <c r="S266" s="812"/>
      <c r="T266" s="668"/>
      <c r="U266" s="298"/>
      <c r="V266" s="668"/>
      <c r="W266" s="668"/>
      <c r="X266" s="668"/>
      <c r="Y266" s="298"/>
      <c r="Z266" s="668"/>
      <c r="AA266" s="668"/>
      <c r="AB266" s="668"/>
      <c r="AC266" s="668"/>
    </row>
    <row r="267" spans="1:29">
      <c r="A267" s="668"/>
      <c r="B267" s="668"/>
      <c r="C267" s="668"/>
      <c r="D267" s="668"/>
      <c r="E267" s="668"/>
      <c r="F267" s="668"/>
      <c r="G267" s="668"/>
      <c r="H267" s="668"/>
      <c r="I267" s="668"/>
      <c r="J267" s="668"/>
      <c r="K267" s="668"/>
      <c r="L267" s="668"/>
      <c r="M267" s="298"/>
      <c r="N267" s="812"/>
      <c r="O267" s="812"/>
      <c r="P267" s="812"/>
      <c r="Q267" s="812"/>
      <c r="R267" s="812"/>
      <c r="S267" s="812"/>
      <c r="T267" s="668"/>
      <c r="U267" s="298"/>
      <c r="V267" s="668"/>
      <c r="W267" s="668"/>
      <c r="X267" s="668"/>
      <c r="Y267" s="298"/>
      <c r="Z267" s="668"/>
      <c r="AA267" s="668"/>
      <c r="AB267" s="668"/>
      <c r="AC267" s="668"/>
    </row>
    <row r="268" spans="1:29">
      <c r="A268" s="668"/>
      <c r="B268" s="668"/>
      <c r="C268" s="668"/>
      <c r="D268" s="668"/>
      <c r="E268" s="668"/>
      <c r="F268" s="668"/>
      <c r="G268" s="668"/>
      <c r="H268" s="668"/>
      <c r="I268" s="668"/>
      <c r="J268" s="668"/>
      <c r="K268" s="668"/>
      <c r="L268" s="668"/>
      <c r="M268" s="298"/>
      <c r="N268" s="812"/>
      <c r="O268" s="812"/>
      <c r="P268" s="812"/>
      <c r="Q268" s="812"/>
      <c r="R268" s="812"/>
      <c r="S268" s="812"/>
      <c r="T268" s="668"/>
      <c r="U268" s="298"/>
      <c r="V268" s="668"/>
      <c r="W268" s="668"/>
      <c r="X268" s="668"/>
      <c r="Y268" s="298"/>
      <c r="Z268" s="668"/>
      <c r="AA268" s="668"/>
      <c r="AB268" s="668"/>
      <c r="AC268" s="668"/>
    </row>
    <row r="269" spans="1:29">
      <c r="A269" s="668"/>
      <c r="B269" s="668"/>
      <c r="C269" s="668"/>
      <c r="D269" s="668"/>
      <c r="E269" s="668"/>
      <c r="F269" s="668"/>
      <c r="G269" s="668"/>
      <c r="H269" s="668"/>
      <c r="I269" s="668"/>
      <c r="J269" s="668"/>
      <c r="K269" s="668"/>
      <c r="L269" s="668"/>
      <c r="M269" s="298"/>
      <c r="N269" s="812"/>
      <c r="O269" s="812"/>
      <c r="P269" s="812"/>
      <c r="Q269" s="812"/>
      <c r="R269" s="812"/>
      <c r="S269" s="812"/>
      <c r="T269" s="668"/>
      <c r="U269" s="298"/>
      <c r="V269" s="668"/>
      <c r="W269" s="668"/>
      <c r="X269" s="668"/>
      <c r="Y269" s="298"/>
      <c r="Z269" s="668"/>
      <c r="AA269" s="668"/>
      <c r="AB269" s="668"/>
      <c r="AC269" s="668"/>
    </row>
    <row r="270" spans="1:29">
      <c r="A270" s="668"/>
      <c r="B270" s="668"/>
      <c r="C270" s="668"/>
      <c r="D270" s="668"/>
      <c r="E270" s="668"/>
      <c r="F270" s="668"/>
      <c r="G270" s="668"/>
      <c r="H270" s="668"/>
      <c r="I270" s="668"/>
      <c r="J270" s="668"/>
      <c r="K270" s="668"/>
      <c r="L270" s="668"/>
      <c r="M270" s="298"/>
      <c r="N270" s="812"/>
      <c r="O270" s="812"/>
      <c r="P270" s="812"/>
      <c r="Q270" s="812"/>
      <c r="R270" s="812"/>
      <c r="S270" s="812"/>
      <c r="T270" s="668"/>
      <c r="U270" s="298"/>
      <c r="V270" s="668"/>
      <c r="W270" s="668"/>
      <c r="X270" s="668"/>
      <c r="Y270" s="298"/>
      <c r="Z270" s="668"/>
      <c r="AA270" s="668"/>
      <c r="AB270" s="668"/>
      <c r="AC270" s="668"/>
    </row>
    <row r="271" spans="1:29">
      <c r="A271" s="668"/>
      <c r="B271" s="668"/>
      <c r="C271" s="668"/>
      <c r="D271" s="668"/>
      <c r="E271" s="668"/>
      <c r="F271" s="668"/>
      <c r="G271" s="668"/>
      <c r="H271" s="668"/>
      <c r="I271" s="668"/>
      <c r="J271" s="668"/>
      <c r="K271" s="668"/>
      <c r="L271" s="668"/>
      <c r="M271" s="298"/>
      <c r="N271" s="812"/>
      <c r="O271" s="812"/>
      <c r="P271" s="812"/>
      <c r="Q271" s="812"/>
      <c r="R271" s="812"/>
      <c r="S271" s="812"/>
      <c r="T271" s="668"/>
      <c r="U271" s="298"/>
      <c r="V271" s="668"/>
      <c r="W271" s="668"/>
      <c r="X271" s="668"/>
      <c r="Y271" s="298"/>
      <c r="Z271" s="668"/>
      <c r="AA271" s="668"/>
      <c r="AB271" s="668"/>
      <c r="AC271" s="668"/>
    </row>
    <row r="272" spans="1:29">
      <c r="A272" s="668"/>
      <c r="B272" s="668"/>
      <c r="C272" s="668"/>
      <c r="D272" s="668"/>
      <c r="E272" s="668"/>
      <c r="F272" s="668"/>
      <c r="G272" s="668"/>
      <c r="H272" s="668"/>
      <c r="I272" s="668"/>
      <c r="J272" s="668"/>
      <c r="K272" s="668"/>
      <c r="L272" s="668"/>
      <c r="M272" s="298"/>
      <c r="N272" s="812"/>
      <c r="O272" s="812"/>
      <c r="P272" s="812"/>
      <c r="Q272" s="812"/>
      <c r="R272" s="812"/>
      <c r="S272" s="812"/>
      <c r="T272" s="668"/>
      <c r="U272" s="298"/>
      <c r="V272" s="668"/>
      <c r="W272" s="668"/>
      <c r="X272" s="668"/>
      <c r="Y272" s="298"/>
      <c r="Z272" s="668"/>
      <c r="AA272" s="668"/>
      <c r="AB272" s="668"/>
      <c r="AC272" s="668"/>
    </row>
    <row r="273" spans="1:29">
      <c r="A273" s="668"/>
      <c r="B273" s="668"/>
      <c r="C273" s="668"/>
      <c r="D273" s="668"/>
      <c r="E273" s="668"/>
      <c r="F273" s="668"/>
      <c r="G273" s="668"/>
      <c r="H273" s="668"/>
      <c r="I273" s="668"/>
      <c r="J273" s="668"/>
      <c r="K273" s="668"/>
      <c r="L273" s="668"/>
      <c r="M273" s="298"/>
      <c r="N273" s="812"/>
      <c r="O273" s="812"/>
      <c r="P273" s="812"/>
      <c r="Q273" s="812"/>
      <c r="R273" s="812"/>
      <c r="S273" s="812"/>
      <c r="T273" s="668"/>
      <c r="U273" s="298"/>
      <c r="V273" s="668"/>
      <c r="W273" s="668"/>
      <c r="X273" s="668"/>
      <c r="Y273" s="298"/>
      <c r="Z273" s="668"/>
      <c r="AA273" s="668"/>
      <c r="AB273" s="668"/>
      <c r="AC273" s="668"/>
    </row>
    <row r="274" spans="1:29">
      <c r="A274" s="668"/>
      <c r="B274" s="668"/>
      <c r="C274" s="668"/>
      <c r="D274" s="668"/>
      <c r="E274" s="668"/>
      <c r="F274" s="668"/>
      <c r="G274" s="668"/>
      <c r="H274" s="668"/>
      <c r="I274" s="668"/>
      <c r="J274" s="668"/>
      <c r="K274" s="668"/>
      <c r="L274" s="668"/>
      <c r="M274" s="298"/>
      <c r="N274" s="812"/>
      <c r="O274" s="812"/>
      <c r="P274" s="812"/>
      <c r="Q274" s="812"/>
      <c r="R274" s="812"/>
      <c r="S274" s="812"/>
      <c r="T274" s="668"/>
      <c r="U274" s="298"/>
      <c r="V274" s="668"/>
      <c r="W274" s="668"/>
      <c r="X274" s="668"/>
      <c r="Y274" s="298"/>
      <c r="Z274" s="668"/>
      <c r="AA274" s="668"/>
      <c r="AB274" s="668"/>
      <c r="AC274" s="668"/>
    </row>
    <row r="275" spans="1:29">
      <c r="A275" s="668"/>
      <c r="B275" s="668"/>
      <c r="C275" s="668"/>
      <c r="D275" s="668"/>
      <c r="E275" s="668"/>
      <c r="F275" s="668"/>
      <c r="G275" s="668"/>
      <c r="H275" s="668"/>
      <c r="I275" s="668"/>
      <c r="J275" s="668"/>
      <c r="K275" s="668"/>
      <c r="L275" s="668"/>
      <c r="M275" s="298"/>
      <c r="N275" s="812"/>
      <c r="O275" s="812"/>
      <c r="P275" s="812"/>
      <c r="Q275" s="812"/>
      <c r="R275" s="812"/>
      <c r="S275" s="812"/>
      <c r="T275" s="668"/>
      <c r="U275" s="298"/>
      <c r="V275" s="668"/>
      <c r="W275" s="668"/>
      <c r="X275" s="668"/>
      <c r="Y275" s="298"/>
      <c r="Z275" s="668"/>
      <c r="AA275" s="668"/>
      <c r="AB275" s="668"/>
      <c r="AC275" s="668"/>
    </row>
    <row r="276" spans="1:29">
      <c r="A276" s="668"/>
      <c r="B276" s="668"/>
      <c r="C276" s="668"/>
      <c r="D276" s="668"/>
      <c r="E276" s="668"/>
      <c r="F276" s="668"/>
      <c r="G276" s="668"/>
      <c r="H276" s="668"/>
      <c r="I276" s="668"/>
      <c r="J276" s="668"/>
      <c r="K276" s="668"/>
      <c r="L276" s="668"/>
      <c r="M276" s="298"/>
      <c r="N276" s="812"/>
      <c r="O276" s="812"/>
      <c r="P276" s="812"/>
      <c r="Q276" s="812"/>
      <c r="R276" s="812"/>
      <c r="S276" s="812"/>
      <c r="T276" s="668"/>
      <c r="U276" s="298"/>
      <c r="V276" s="668"/>
      <c r="W276" s="668"/>
      <c r="X276" s="668"/>
      <c r="Y276" s="298"/>
      <c r="Z276" s="668"/>
      <c r="AA276" s="668"/>
      <c r="AB276" s="668"/>
      <c r="AC276" s="668"/>
    </row>
    <row r="277" spans="1:29">
      <c r="A277" s="668"/>
      <c r="B277" s="668"/>
      <c r="C277" s="668"/>
      <c r="D277" s="668"/>
      <c r="E277" s="668"/>
      <c r="F277" s="668"/>
      <c r="G277" s="668"/>
      <c r="H277" s="668"/>
      <c r="I277" s="668"/>
      <c r="J277" s="668"/>
      <c r="K277" s="668"/>
      <c r="L277" s="668"/>
      <c r="M277" s="298"/>
      <c r="N277" s="812"/>
      <c r="O277" s="812"/>
      <c r="P277" s="812"/>
      <c r="Q277" s="812"/>
      <c r="R277" s="812"/>
      <c r="S277" s="812"/>
      <c r="T277" s="668"/>
      <c r="U277" s="298"/>
      <c r="V277" s="668"/>
      <c r="W277" s="668"/>
      <c r="X277" s="668"/>
      <c r="Y277" s="298"/>
      <c r="Z277" s="668"/>
      <c r="AA277" s="668"/>
      <c r="AB277" s="668"/>
      <c r="AC277" s="668"/>
    </row>
    <row r="278" spans="1:29">
      <c r="A278" s="668"/>
      <c r="B278" s="668"/>
      <c r="C278" s="668"/>
      <c r="D278" s="668"/>
      <c r="E278" s="668"/>
      <c r="F278" s="668"/>
      <c r="G278" s="668"/>
      <c r="H278" s="668"/>
      <c r="I278" s="668"/>
      <c r="J278" s="668"/>
      <c r="K278" s="668"/>
      <c r="L278" s="668"/>
      <c r="M278" s="298"/>
      <c r="N278" s="812"/>
      <c r="O278" s="812"/>
      <c r="P278" s="812"/>
      <c r="Q278" s="812"/>
      <c r="R278" s="812"/>
      <c r="S278" s="812"/>
      <c r="T278" s="668"/>
      <c r="U278" s="298"/>
      <c r="V278" s="668"/>
      <c r="W278" s="668"/>
      <c r="X278" s="668"/>
      <c r="Y278" s="298"/>
      <c r="Z278" s="668"/>
      <c r="AA278" s="668"/>
      <c r="AB278" s="668"/>
      <c r="AC278" s="668"/>
    </row>
    <row r="279" spans="1:29">
      <c r="A279" s="668"/>
      <c r="B279" s="668"/>
      <c r="C279" s="668"/>
      <c r="D279" s="668"/>
      <c r="E279" s="668"/>
      <c r="F279" s="668"/>
      <c r="G279" s="668"/>
      <c r="H279" s="668"/>
      <c r="I279" s="668"/>
      <c r="J279" s="668"/>
      <c r="K279" s="668"/>
      <c r="L279" s="668"/>
      <c r="M279" s="298"/>
      <c r="N279" s="812"/>
      <c r="O279" s="812"/>
      <c r="P279" s="812"/>
      <c r="Q279" s="812"/>
      <c r="R279" s="812"/>
      <c r="S279" s="812"/>
      <c r="T279" s="668"/>
      <c r="U279" s="298"/>
      <c r="V279" s="668"/>
      <c r="W279" s="668"/>
      <c r="X279" s="668"/>
      <c r="Y279" s="298"/>
      <c r="Z279" s="668"/>
      <c r="AA279" s="668"/>
      <c r="AB279" s="668"/>
      <c r="AC279" s="668"/>
    </row>
    <row r="280" spans="1:29">
      <c r="A280" s="668"/>
      <c r="B280" s="668"/>
      <c r="C280" s="668"/>
      <c r="D280" s="668"/>
      <c r="E280" s="668"/>
      <c r="F280" s="668"/>
      <c r="G280" s="668"/>
      <c r="H280" s="668"/>
      <c r="I280" s="668"/>
      <c r="J280" s="668"/>
      <c r="K280" s="668"/>
      <c r="L280" s="668"/>
      <c r="M280" s="298"/>
      <c r="N280" s="812"/>
      <c r="O280" s="812"/>
      <c r="P280" s="812"/>
      <c r="Q280" s="812"/>
      <c r="R280" s="812"/>
      <c r="S280" s="812"/>
      <c r="T280" s="668"/>
      <c r="U280" s="298"/>
      <c r="V280" s="668"/>
      <c r="W280" s="668"/>
      <c r="X280" s="668"/>
      <c r="Y280" s="298"/>
      <c r="Z280" s="668"/>
      <c r="AA280" s="668"/>
      <c r="AB280" s="668"/>
      <c r="AC280" s="668"/>
    </row>
    <row r="281" spans="1:29">
      <c r="A281" s="668"/>
      <c r="B281" s="668"/>
      <c r="C281" s="668"/>
      <c r="D281" s="668"/>
      <c r="E281" s="668"/>
      <c r="F281" s="668"/>
      <c r="G281" s="668"/>
      <c r="H281" s="668"/>
      <c r="I281" s="668"/>
      <c r="J281" s="668"/>
      <c r="K281" s="668"/>
      <c r="L281" s="668"/>
      <c r="M281" s="298"/>
      <c r="N281" s="812"/>
      <c r="O281" s="812"/>
      <c r="P281" s="812"/>
      <c r="Q281" s="812"/>
      <c r="R281" s="812"/>
      <c r="S281" s="812"/>
      <c r="T281" s="668"/>
      <c r="U281" s="298"/>
      <c r="V281" s="668"/>
      <c r="W281" s="668"/>
      <c r="X281" s="668"/>
      <c r="Y281" s="298"/>
      <c r="Z281" s="668"/>
      <c r="AA281" s="668"/>
      <c r="AB281" s="668"/>
      <c r="AC281" s="668"/>
    </row>
    <row r="282" spans="1:29">
      <c r="A282" s="668"/>
      <c r="B282" s="668"/>
      <c r="C282" s="668"/>
      <c r="D282" s="668"/>
      <c r="E282" s="668"/>
      <c r="F282" s="668"/>
      <c r="G282" s="668"/>
      <c r="H282" s="668"/>
      <c r="I282" s="668"/>
      <c r="J282" s="668"/>
      <c r="K282" s="668"/>
      <c r="L282" s="668"/>
      <c r="M282" s="298"/>
      <c r="N282" s="812"/>
      <c r="O282" s="812"/>
      <c r="P282" s="812"/>
      <c r="Q282" s="812"/>
      <c r="R282" s="812"/>
      <c r="S282" s="812"/>
      <c r="T282" s="668"/>
      <c r="U282" s="298"/>
      <c r="V282" s="668"/>
      <c r="W282" s="668"/>
      <c r="X282" s="668"/>
      <c r="Y282" s="298"/>
      <c r="Z282" s="668"/>
      <c r="AA282" s="668"/>
      <c r="AB282" s="668"/>
      <c r="AC282" s="668"/>
    </row>
    <row r="283" spans="1:29">
      <c r="A283" s="668"/>
      <c r="B283" s="668"/>
      <c r="C283" s="668"/>
      <c r="D283" s="668"/>
      <c r="E283" s="668"/>
      <c r="F283" s="668"/>
      <c r="G283" s="668"/>
      <c r="H283" s="668"/>
      <c r="I283" s="668"/>
      <c r="J283" s="668"/>
      <c r="K283" s="668"/>
      <c r="L283" s="668"/>
      <c r="M283" s="298"/>
      <c r="N283" s="812"/>
      <c r="O283" s="812"/>
      <c r="P283" s="812"/>
      <c r="Q283" s="812"/>
      <c r="R283" s="812"/>
      <c r="S283" s="812"/>
      <c r="T283" s="668"/>
      <c r="U283" s="298"/>
      <c r="V283" s="668"/>
      <c r="W283" s="668"/>
      <c r="X283" s="668"/>
      <c r="Y283" s="298"/>
      <c r="Z283" s="668"/>
      <c r="AA283" s="668"/>
      <c r="AB283" s="668"/>
      <c r="AC283" s="668"/>
    </row>
    <row r="284" spans="1:29">
      <c r="A284" s="668"/>
      <c r="B284" s="668"/>
      <c r="C284" s="668"/>
      <c r="D284" s="668"/>
      <c r="E284" s="668"/>
      <c r="F284" s="668"/>
      <c r="G284" s="668"/>
      <c r="H284" s="668"/>
      <c r="I284" s="668"/>
      <c r="J284" s="668"/>
      <c r="K284" s="668"/>
      <c r="L284" s="668"/>
      <c r="M284" s="298"/>
      <c r="N284" s="812"/>
      <c r="O284" s="812"/>
      <c r="P284" s="812"/>
      <c r="Q284" s="812"/>
      <c r="R284" s="812"/>
      <c r="S284" s="812"/>
      <c r="T284" s="668"/>
      <c r="U284" s="298"/>
      <c r="V284" s="668"/>
      <c r="W284" s="668"/>
      <c r="X284" s="668"/>
      <c r="Y284" s="298"/>
      <c r="Z284" s="668"/>
      <c r="AA284" s="668"/>
      <c r="AB284" s="668"/>
      <c r="AC284" s="668"/>
    </row>
    <row r="285" spans="1:29">
      <c r="A285" s="668"/>
      <c r="B285" s="668"/>
      <c r="C285" s="668"/>
      <c r="D285" s="668"/>
      <c r="E285" s="668"/>
      <c r="F285" s="668"/>
      <c r="G285" s="668"/>
      <c r="H285" s="668"/>
      <c r="I285" s="668"/>
      <c r="J285" s="668"/>
      <c r="K285" s="668"/>
      <c r="L285" s="668"/>
      <c r="M285" s="298"/>
      <c r="N285" s="812"/>
      <c r="O285" s="812"/>
      <c r="P285" s="812"/>
      <c r="Q285" s="812"/>
      <c r="R285" s="812"/>
      <c r="S285" s="812"/>
      <c r="T285" s="668"/>
      <c r="U285" s="298"/>
      <c r="V285" s="668"/>
      <c r="W285" s="668"/>
      <c r="X285" s="668"/>
      <c r="Y285" s="298"/>
      <c r="Z285" s="668"/>
      <c r="AA285" s="668"/>
      <c r="AB285" s="668"/>
      <c r="AC285" s="668"/>
    </row>
    <row r="286" spans="1:29">
      <c r="A286" s="668"/>
      <c r="B286" s="668"/>
      <c r="C286" s="668"/>
      <c r="D286" s="668"/>
      <c r="E286" s="668"/>
      <c r="F286" s="668"/>
      <c r="G286" s="668"/>
      <c r="H286" s="668"/>
      <c r="I286" s="668"/>
      <c r="J286" s="668"/>
      <c r="K286" s="668"/>
      <c r="L286" s="668"/>
      <c r="M286" s="298"/>
      <c r="N286" s="812"/>
      <c r="O286" s="812"/>
      <c r="P286" s="812"/>
      <c r="Q286" s="812"/>
      <c r="R286" s="812"/>
      <c r="S286" s="812"/>
      <c r="T286" s="668"/>
      <c r="U286" s="298"/>
      <c r="V286" s="668"/>
      <c r="W286" s="668"/>
      <c r="X286" s="668"/>
      <c r="Y286" s="298"/>
      <c r="Z286" s="668"/>
      <c r="AA286" s="668"/>
      <c r="AB286" s="668"/>
      <c r="AC286" s="668"/>
    </row>
    <row r="287" spans="1:29">
      <c r="A287" s="668"/>
      <c r="B287" s="668"/>
      <c r="C287" s="668"/>
      <c r="D287" s="668"/>
      <c r="E287" s="668"/>
      <c r="F287" s="668"/>
      <c r="G287" s="668"/>
      <c r="H287" s="668"/>
      <c r="I287" s="668"/>
      <c r="J287" s="668"/>
      <c r="K287" s="668"/>
      <c r="L287" s="668"/>
      <c r="M287" s="298"/>
      <c r="N287" s="812"/>
      <c r="O287" s="812"/>
      <c r="P287" s="812"/>
      <c r="Q287" s="812"/>
      <c r="R287" s="812"/>
      <c r="S287" s="812"/>
      <c r="T287" s="668"/>
      <c r="U287" s="298"/>
      <c r="V287" s="668"/>
      <c r="W287" s="668"/>
      <c r="X287" s="668"/>
      <c r="Y287" s="298"/>
      <c r="Z287" s="668"/>
      <c r="AA287" s="668"/>
      <c r="AB287" s="668"/>
      <c r="AC287" s="668"/>
    </row>
    <row r="288" spans="1:29">
      <c r="A288" s="668"/>
      <c r="B288" s="668"/>
      <c r="C288" s="668"/>
      <c r="D288" s="668"/>
      <c r="E288" s="668"/>
      <c r="F288" s="668"/>
      <c r="G288" s="668"/>
      <c r="H288" s="668"/>
      <c r="I288" s="668"/>
      <c r="J288" s="668"/>
      <c r="K288" s="668"/>
      <c r="L288" s="668"/>
      <c r="M288" s="298"/>
      <c r="N288" s="812"/>
      <c r="O288" s="812"/>
      <c r="P288" s="812"/>
      <c r="Q288" s="812"/>
      <c r="R288" s="812"/>
      <c r="S288" s="812"/>
      <c r="T288" s="668"/>
      <c r="U288" s="298"/>
      <c r="V288" s="668"/>
      <c r="W288" s="668"/>
      <c r="X288" s="668"/>
      <c r="Y288" s="298"/>
      <c r="Z288" s="668"/>
      <c r="AA288" s="668"/>
      <c r="AB288" s="668"/>
      <c r="AC288" s="668"/>
    </row>
    <row r="289" spans="1:29">
      <c r="A289" s="668"/>
      <c r="B289" s="668"/>
      <c r="C289" s="668"/>
      <c r="D289" s="668"/>
      <c r="E289" s="668"/>
      <c r="F289" s="668"/>
      <c r="G289" s="668"/>
      <c r="H289" s="668"/>
      <c r="I289" s="668"/>
      <c r="J289" s="668"/>
      <c r="K289" s="668"/>
      <c r="L289" s="668"/>
      <c r="M289" s="298"/>
      <c r="N289" s="812"/>
      <c r="O289" s="812"/>
      <c r="P289" s="812"/>
      <c r="Q289" s="812"/>
      <c r="R289" s="812"/>
      <c r="S289" s="812"/>
      <c r="T289" s="668"/>
      <c r="U289" s="298"/>
      <c r="V289" s="668"/>
      <c r="W289" s="668"/>
      <c r="X289" s="668"/>
      <c r="Y289" s="298"/>
      <c r="Z289" s="668"/>
      <c r="AA289" s="668"/>
      <c r="AB289" s="668"/>
      <c r="AC289" s="668"/>
    </row>
    <row r="290" spans="1:29">
      <c r="A290" s="668"/>
      <c r="B290" s="668"/>
      <c r="C290" s="668"/>
      <c r="D290" s="668"/>
      <c r="E290" s="668"/>
      <c r="F290" s="668"/>
      <c r="G290" s="668"/>
      <c r="H290" s="668"/>
      <c r="I290" s="668"/>
      <c r="J290" s="668"/>
      <c r="K290" s="668"/>
      <c r="L290" s="668"/>
      <c r="M290" s="298"/>
      <c r="N290" s="812"/>
      <c r="O290" s="812"/>
      <c r="P290" s="812"/>
      <c r="Q290" s="812"/>
      <c r="R290" s="812"/>
      <c r="S290" s="812"/>
      <c r="T290" s="668"/>
      <c r="U290" s="298"/>
      <c r="V290" s="668"/>
      <c r="W290" s="668"/>
      <c r="X290" s="668"/>
      <c r="Y290" s="298"/>
      <c r="Z290" s="668"/>
      <c r="AA290" s="668"/>
      <c r="AB290" s="668"/>
      <c r="AC290" s="668"/>
    </row>
    <row r="291" spans="1:29">
      <c r="A291" s="668"/>
      <c r="B291" s="668"/>
      <c r="C291" s="668"/>
      <c r="D291" s="668"/>
      <c r="E291" s="668"/>
      <c r="F291" s="668"/>
      <c r="G291" s="668"/>
      <c r="H291" s="668"/>
      <c r="I291" s="668"/>
      <c r="J291" s="668"/>
      <c r="K291" s="668"/>
      <c r="L291" s="668"/>
      <c r="M291" s="298"/>
      <c r="N291" s="812"/>
      <c r="O291" s="812"/>
      <c r="P291" s="812"/>
      <c r="Q291" s="812"/>
      <c r="R291" s="812"/>
      <c r="S291" s="812"/>
      <c r="T291" s="668"/>
      <c r="U291" s="298"/>
      <c r="V291" s="668"/>
      <c r="W291" s="668"/>
      <c r="X291" s="668"/>
      <c r="Y291" s="298"/>
      <c r="Z291" s="668"/>
      <c r="AA291" s="668"/>
      <c r="AB291" s="668"/>
      <c r="AC291" s="668"/>
    </row>
    <row r="292" spans="1:29">
      <c r="A292" s="668"/>
      <c r="B292" s="668"/>
      <c r="C292" s="668"/>
      <c r="D292" s="668"/>
      <c r="E292" s="668"/>
      <c r="F292" s="668"/>
      <c r="G292" s="668"/>
      <c r="H292" s="668"/>
      <c r="I292" s="668"/>
      <c r="J292" s="668"/>
      <c r="K292" s="668"/>
      <c r="L292" s="668"/>
      <c r="M292" s="298"/>
      <c r="N292" s="812"/>
      <c r="O292" s="812"/>
      <c r="P292" s="812"/>
      <c r="Q292" s="812"/>
      <c r="R292" s="812"/>
      <c r="S292" s="812"/>
      <c r="T292" s="668"/>
      <c r="U292" s="298"/>
      <c r="V292" s="668"/>
      <c r="W292" s="668"/>
      <c r="X292" s="668"/>
      <c r="Y292" s="298"/>
      <c r="Z292" s="668"/>
      <c r="AA292" s="668"/>
      <c r="AB292" s="668"/>
      <c r="AC292" s="668"/>
    </row>
    <row r="293" spans="1:29">
      <c r="A293" s="668"/>
      <c r="B293" s="668"/>
      <c r="C293" s="668"/>
      <c r="D293" s="668"/>
      <c r="E293" s="668"/>
      <c r="F293" s="668"/>
      <c r="G293" s="668"/>
      <c r="H293" s="668"/>
      <c r="I293" s="668"/>
      <c r="J293" s="668"/>
      <c r="K293" s="668"/>
      <c r="L293" s="668"/>
      <c r="M293" s="298"/>
      <c r="N293" s="812"/>
      <c r="O293" s="812"/>
      <c r="P293" s="812"/>
      <c r="Q293" s="812"/>
      <c r="R293" s="812"/>
      <c r="S293" s="812"/>
      <c r="T293" s="668"/>
      <c r="U293" s="298"/>
      <c r="V293" s="668"/>
      <c r="W293" s="668"/>
      <c r="X293" s="668"/>
      <c r="Y293" s="298"/>
      <c r="Z293" s="668"/>
      <c r="AA293" s="668"/>
      <c r="AB293" s="668"/>
      <c r="AC293" s="668"/>
    </row>
    <row r="294" spans="1:29">
      <c r="A294" s="668"/>
      <c r="B294" s="668"/>
      <c r="C294" s="668"/>
      <c r="D294" s="668"/>
      <c r="E294" s="668"/>
      <c r="F294" s="668"/>
      <c r="G294" s="668"/>
      <c r="H294" s="668"/>
      <c r="I294" s="668"/>
      <c r="J294" s="668"/>
      <c r="K294" s="668"/>
      <c r="L294" s="668"/>
      <c r="M294" s="298"/>
      <c r="N294" s="812"/>
      <c r="O294" s="812"/>
      <c r="P294" s="812"/>
      <c r="Q294" s="812"/>
      <c r="R294" s="812"/>
      <c r="S294" s="812"/>
      <c r="T294" s="668"/>
      <c r="U294" s="298"/>
      <c r="V294" s="668"/>
      <c r="W294" s="668"/>
      <c r="X294" s="668"/>
      <c r="Y294" s="298"/>
      <c r="Z294" s="668"/>
      <c r="AA294" s="668"/>
      <c r="AB294" s="668"/>
      <c r="AC294" s="668"/>
    </row>
    <row r="295" spans="1:29">
      <c r="A295" s="668"/>
      <c r="B295" s="668"/>
      <c r="C295" s="668"/>
      <c r="D295" s="668"/>
      <c r="E295" s="668"/>
      <c r="F295" s="668"/>
      <c r="G295" s="668"/>
      <c r="H295" s="668"/>
      <c r="I295" s="668"/>
      <c r="J295" s="668"/>
      <c r="K295" s="668"/>
      <c r="L295" s="668"/>
      <c r="M295" s="298"/>
      <c r="N295" s="812"/>
      <c r="O295" s="812"/>
      <c r="P295" s="812"/>
      <c r="Q295" s="812"/>
      <c r="R295" s="812"/>
      <c r="S295" s="812"/>
      <c r="T295" s="668"/>
      <c r="U295" s="298"/>
      <c r="V295" s="668"/>
      <c r="W295" s="668"/>
      <c r="X295" s="668"/>
      <c r="Y295" s="298"/>
      <c r="Z295" s="668"/>
      <c r="AA295" s="668"/>
      <c r="AB295" s="668"/>
      <c r="AC295" s="668"/>
    </row>
    <row r="296" spans="1:29">
      <c r="A296" s="668"/>
      <c r="B296" s="668"/>
      <c r="C296" s="668"/>
      <c r="D296" s="668"/>
      <c r="E296" s="668"/>
      <c r="F296" s="668"/>
      <c r="G296" s="668"/>
      <c r="H296" s="668"/>
      <c r="I296" s="668"/>
      <c r="J296" s="668"/>
      <c r="K296" s="668"/>
      <c r="L296" s="668"/>
      <c r="M296" s="298"/>
      <c r="N296" s="812"/>
      <c r="O296" s="812"/>
      <c r="P296" s="812"/>
      <c r="Q296" s="812"/>
      <c r="R296" s="812"/>
      <c r="S296" s="812"/>
      <c r="T296" s="668"/>
      <c r="U296" s="298"/>
      <c r="V296" s="668"/>
      <c r="W296" s="668"/>
      <c r="X296" s="668"/>
      <c r="Y296" s="298"/>
      <c r="Z296" s="668"/>
      <c r="AA296" s="668"/>
      <c r="AB296" s="668"/>
      <c r="AC296" s="668"/>
    </row>
    <row r="297" spans="1:29">
      <c r="A297" s="668"/>
      <c r="B297" s="668"/>
      <c r="C297" s="668"/>
      <c r="D297" s="668"/>
      <c r="E297" s="668"/>
      <c r="F297" s="668"/>
      <c r="G297" s="668"/>
      <c r="H297" s="668"/>
      <c r="I297" s="668"/>
      <c r="J297" s="668"/>
      <c r="K297" s="668"/>
      <c r="L297" s="668"/>
      <c r="M297" s="298"/>
      <c r="N297" s="812"/>
      <c r="O297" s="812"/>
      <c r="P297" s="812"/>
      <c r="Q297" s="812"/>
      <c r="R297" s="812"/>
      <c r="S297" s="812"/>
      <c r="T297" s="668"/>
      <c r="U297" s="298"/>
      <c r="V297" s="668"/>
      <c r="W297" s="668"/>
      <c r="X297" s="668"/>
      <c r="Y297" s="298"/>
      <c r="Z297" s="668"/>
      <c r="AA297" s="668"/>
      <c r="AB297" s="668"/>
      <c r="AC297" s="668"/>
    </row>
    <row r="298" spans="1:29">
      <c r="A298" s="668"/>
      <c r="B298" s="668"/>
      <c r="C298" s="668"/>
      <c r="D298" s="668"/>
      <c r="E298" s="668"/>
      <c r="F298" s="668"/>
      <c r="G298" s="668"/>
      <c r="H298" s="668"/>
      <c r="I298" s="668"/>
      <c r="J298" s="668"/>
      <c r="K298" s="668"/>
      <c r="L298" s="668"/>
      <c r="M298" s="298"/>
      <c r="N298" s="812"/>
      <c r="O298" s="812"/>
      <c r="P298" s="812"/>
      <c r="Q298" s="812"/>
      <c r="R298" s="812"/>
      <c r="S298" s="812"/>
      <c r="T298" s="668"/>
      <c r="U298" s="298"/>
      <c r="V298" s="668"/>
      <c r="W298" s="668"/>
      <c r="X298" s="668"/>
      <c r="Y298" s="298"/>
      <c r="Z298" s="668"/>
      <c r="AA298" s="668"/>
      <c r="AB298" s="668"/>
      <c r="AC298" s="668"/>
    </row>
    <row r="299" spans="1:29">
      <c r="A299" s="668"/>
      <c r="B299" s="668"/>
      <c r="C299" s="668"/>
      <c r="D299" s="668"/>
      <c r="E299" s="668"/>
      <c r="F299" s="668"/>
      <c r="G299" s="668"/>
      <c r="H299" s="668"/>
      <c r="I299" s="668"/>
      <c r="J299" s="668"/>
      <c r="K299" s="668"/>
      <c r="L299" s="668"/>
      <c r="M299" s="298"/>
      <c r="N299" s="812"/>
      <c r="O299" s="812"/>
      <c r="P299" s="812"/>
      <c r="Q299" s="812"/>
      <c r="R299" s="812"/>
      <c r="S299" s="812"/>
      <c r="T299" s="668"/>
      <c r="U299" s="298"/>
      <c r="V299" s="668"/>
      <c r="W299" s="668"/>
      <c r="X299" s="668"/>
      <c r="Y299" s="298"/>
      <c r="Z299" s="668"/>
      <c r="AA299" s="668"/>
      <c r="AB299" s="668"/>
      <c r="AC299" s="668"/>
    </row>
    <row r="300" spans="1:29">
      <c r="A300" s="668"/>
      <c r="B300" s="668"/>
      <c r="C300" s="668"/>
      <c r="D300" s="668"/>
      <c r="E300" s="668"/>
      <c r="F300" s="668"/>
      <c r="G300" s="668"/>
      <c r="H300" s="668"/>
      <c r="I300" s="668"/>
      <c r="J300" s="668"/>
      <c r="K300" s="668"/>
      <c r="L300" s="668"/>
      <c r="M300" s="298"/>
      <c r="N300" s="812"/>
      <c r="O300" s="812"/>
      <c r="P300" s="812"/>
      <c r="Q300" s="812"/>
      <c r="R300" s="812"/>
      <c r="S300" s="812"/>
      <c r="T300" s="668"/>
      <c r="U300" s="298"/>
      <c r="V300" s="668"/>
      <c r="W300" s="668"/>
      <c r="X300" s="668"/>
      <c r="Y300" s="298"/>
      <c r="Z300" s="668"/>
      <c r="AA300" s="668"/>
      <c r="AB300" s="668"/>
      <c r="AC300" s="668"/>
    </row>
    <row r="301" spans="1:29">
      <c r="A301" s="668"/>
      <c r="B301" s="668"/>
      <c r="C301" s="668"/>
      <c r="D301" s="668"/>
      <c r="E301" s="668"/>
      <c r="F301" s="668"/>
      <c r="G301" s="668"/>
      <c r="H301" s="668"/>
      <c r="I301" s="668"/>
      <c r="J301" s="668"/>
      <c r="K301" s="668"/>
      <c r="L301" s="668"/>
      <c r="M301" s="298"/>
      <c r="N301" s="812"/>
      <c r="O301" s="812"/>
      <c r="P301" s="812"/>
      <c r="Q301" s="812"/>
      <c r="R301" s="812"/>
      <c r="S301" s="812"/>
      <c r="T301" s="668"/>
      <c r="U301" s="298"/>
      <c r="V301" s="668"/>
      <c r="W301" s="668"/>
      <c r="X301" s="668"/>
      <c r="Y301" s="298"/>
      <c r="Z301" s="668"/>
      <c r="AA301" s="668"/>
      <c r="AB301" s="668"/>
      <c r="AC301" s="668"/>
    </row>
    <row r="302" spans="1:29">
      <c r="A302" s="668"/>
      <c r="B302" s="668"/>
      <c r="C302" s="668"/>
      <c r="D302" s="668"/>
      <c r="E302" s="668"/>
      <c r="F302" s="668"/>
      <c r="G302" s="668"/>
      <c r="H302" s="668"/>
      <c r="I302" s="668"/>
      <c r="J302" s="668"/>
      <c r="K302" s="668"/>
      <c r="L302" s="668"/>
      <c r="M302" s="298"/>
      <c r="N302" s="812"/>
      <c r="O302" s="812"/>
      <c r="P302" s="812"/>
      <c r="Q302" s="812"/>
      <c r="R302" s="812"/>
      <c r="S302" s="812"/>
      <c r="T302" s="668"/>
      <c r="U302" s="298"/>
      <c r="V302" s="668"/>
      <c r="W302" s="668"/>
      <c r="X302" s="668"/>
      <c r="Y302" s="298"/>
      <c r="Z302" s="668"/>
      <c r="AA302" s="668"/>
      <c r="AB302" s="668"/>
      <c r="AC302" s="668"/>
    </row>
    <row r="303" spans="1:29">
      <c r="A303" s="668"/>
      <c r="B303" s="668"/>
      <c r="C303" s="668"/>
      <c r="D303" s="668"/>
      <c r="E303" s="668"/>
      <c r="F303" s="668"/>
      <c r="G303" s="668"/>
      <c r="H303" s="668"/>
      <c r="I303" s="668"/>
      <c r="J303" s="668"/>
      <c r="K303" s="668"/>
      <c r="L303" s="668"/>
      <c r="M303" s="298"/>
      <c r="N303" s="812"/>
      <c r="O303" s="812"/>
      <c r="P303" s="812"/>
      <c r="Q303" s="812"/>
      <c r="R303" s="812"/>
      <c r="S303" s="812"/>
      <c r="T303" s="668"/>
      <c r="U303" s="298"/>
      <c r="V303" s="668"/>
      <c r="W303" s="668"/>
      <c r="X303" s="668"/>
      <c r="Y303" s="298"/>
      <c r="Z303" s="668"/>
      <c r="AA303" s="668"/>
      <c r="AB303" s="668"/>
      <c r="AC303" s="668"/>
    </row>
    <row r="304" spans="1:29">
      <c r="A304" s="668"/>
      <c r="B304" s="668"/>
      <c r="C304" s="668"/>
      <c r="D304" s="668"/>
      <c r="E304" s="668"/>
      <c r="F304" s="668"/>
      <c r="G304" s="668"/>
      <c r="H304" s="668"/>
      <c r="I304" s="668"/>
      <c r="J304" s="668"/>
      <c r="K304" s="668"/>
      <c r="L304" s="668"/>
      <c r="M304" s="298"/>
      <c r="N304" s="812"/>
      <c r="O304" s="812"/>
      <c r="P304" s="812"/>
      <c r="Q304" s="812"/>
      <c r="R304" s="812"/>
      <c r="S304" s="812"/>
      <c r="T304" s="668"/>
      <c r="U304" s="298"/>
      <c r="V304" s="668"/>
      <c r="W304" s="668"/>
      <c r="X304" s="668"/>
      <c r="Y304" s="298"/>
      <c r="Z304" s="668"/>
      <c r="AA304" s="668"/>
      <c r="AB304" s="668"/>
      <c r="AC304" s="668"/>
    </row>
    <row r="305" spans="1:29">
      <c r="A305" s="668"/>
      <c r="B305" s="668"/>
      <c r="C305" s="668"/>
      <c r="D305" s="668"/>
      <c r="E305" s="668"/>
      <c r="F305" s="668"/>
      <c r="G305" s="668"/>
      <c r="H305" s="668"/>
      <c r="I305" s="668"/>
      <c r="J305" s="668"/>
      <c r="K305" s="668"/>
      <c r="L305" s="668"/>
      <c r="M305" s="298"/>
      <c r="N305" s="812"/>
      <c r="O305" s="812"/>
      <c r="P305" s="812"/>
      <c r="Q305" s="812"/>
      <c r="R305" s="812"/>
      <c r="S305" s="812"/>
      <c r="T305" s="668"/>
      <c r="U305" s="298"/>
      <c r="V305" s="668"/>
      <c r="W305" s="668"/>
      <c r="X305" s="668"/>
      <c r="Y305" s="298"/>
      <c r="Z305" s="668"/>
      <c r="AA305" s="668"/>
      <c r="AB305" s="668"/>
      <c r="AC305" s="668"/>
    </row>
    <row r="306" spans="1:29">
      <c r="A306" s="668"/>
      <c r="B306" s="668"/>
      <c r="C306" s="668"/>
      <c r="D306" s="668"/>
      <c r="E306" s="668"/>
      <c r="F306" s="668"/>
      <c r="G306" s="668"/>
      <c r="H306" s="668"/>
      <c r="I306" s="668"/>
      <c r="J306" s="668"/>
      <c r="K306" s="668"/>
      <c r="L306" s="668"/>
      <c r="M306" s="298"/>
      <c r="N306" s="812"/>
      <c r="O306" s="812"/>
      <c r="P306" s="812"/>
      <c r="Q306" s="812"/>
      <c r="R306" s="812"/>
      <c r="S306" s="812"/>
      <c r="T306" s="668"/>
      <c r="U306" s="298"/>
      <c r="V306" s="668"/>
      <c r="W306" s="668"/>
      <c r="X306" s="668"/>
      <c r="Y306" s="298"/>
      <c r="Z306" s="668"/>
      <c r="AA306" s="668"/>
      <c r="AB306" s="668"/>
      <c r="AC306" s="668"/>
    </row>
    <row r="307" spans="1:29">
      <c r="A307" s="668"/>
      <c r="B307" s="668"/>
      <c r="C307" s="668"/>
      <c r="D307" s="668"/>
      <c r="E307" s="668"/>
      <c r="F307" s="668"/>
      <c r="G307" s="668"/>
      <c r="H307" s="668"/>
      <c r="I307" s="668"/>
      <c r="J307" s="668"/>
      <c r="K307" s="668"/>
      <c r="L307" s="668"/>
      <c r="M307" s="298"/>
      <c r="N307" s="812"/>
      <c r="O307" s="812"/>
      <c r="P307" s="812"/>
      <c r="Q307" s="812"/>
      <c r="R307" s="812"/>
      <c r="S307" s="812"/>
      <c r="T307" s="668"/>
      <c r="U307" s="298"/>
      <c r="V307" s="668"/>
      <c r="W307" s="668"/>
      <c r="X307" s="668"/>
      <c r="Y307" s="298"/>
      <c r="Z307" s="668"/>
      <c r="AA307" s="668"/>
      <c r="AB307" s="668"/>
      <c r="AC307" s="668"/>
    </row>
    <row r="308" spans="1:29">
      <c r="A308" s="668"/>
      <c r="B308" s="668"/>
      <c r="C308" s="668"/>
      <c r="D308" s="668"/>
      <c r="E308" s="668"/>
      <c r="F308" s="668"/>
      <c r="G308" s="668"/>
      <c r="H308" s="668"/>
      <c r="I308" s="668"/>
      <c r="J308" s="668"/>
      <c r="K308" s="668"/>
      <c r="L308" s="668"/>
      <c r="M308" s="298"/>
      <c r="N308" s="812"/>
      <c r="O308" s="812"/>
      <c r="P308" s="812"/>
      <c r="Q308" s="812"/>
      <c r="R308" s="812"/>
      <c r="S308" s="812"/>
      <c r="T308" s="668"/>
      <c r="U308" s="298"/>
      <c r="V308" s="668"/>
      <c r="W308" s="668"/>
      <c r="X308" s="668"/>
      <c r="Y308" s="298"/>
      <c r="Z308" s="668"/>
      <c r="AA308" s="668"/>
      <c r="AB308" s="668"/>
      <c r="AC308" s="668"/>
    </row>
    <row r="309" spans="1:29">
      <c r="A309" s="668"/>
      <c r="B309" s="668"/>
      <c r="C309" s="668"/>
      <c r="D309" s="668"/>
      <c r="E309" s="668"/>
      <c r="F309" s="668"/>
      <c r="G309" s="668"/>
      <c r="H309" s="668"/>
      <c r="I309" s="668"/>
      <c r="J309" s="668"/>
      <c r="K309" s="668"/>
      <c r="L309" s="668"/>
      <c r="M309" s="298"/>
      <c r="N309" s="812"/>
      <c r="O309" s="812"/>
      <c r="P309" s="812"/>
      <c r="Q309" s="812"/>
      <c r="R309" s="812"/>
      <c r="S309" s="812"/>
      <c r="T309" s="668"/>
      <c r="U309" s="298"/>
      <c r="V309" s="668"/>
      <c r="W309" s="668"/>
      <c r="X309" s="668"/>
      <c r="Y309" s="298"/>
      <c r="Z309" s="668"/>
      <c r="AA309" s="668"/>
      <c r="AB309" s="668"/>
      <c r="AC309" s="668"/>
    </row>
    <row r="310" spans="1:29">
      <c r="A310" s="668"/>
      <c r="B310" s="668"/>
      <c r="C310" s="668"/>
      <c r="D310" s="668"/>
      <c r="E310" s="668"/>
      <c r="F310" s="668"/>
      <c r="G310" s="668"/>
      <c r="H310" s="668"/>
      <c r="I310" s="668"/>
      <c r="J310" s="668"/>
      <c r="K310" s="668"/>
      <c r="L310" s="668"/>
      <c r="M310" s="298"/>
      <c r="N310" s="812"/>
      <c r="O310" s="812"/>
      <c r="P310" s="812"/>
      <c r="Q310" s="812"/>
      <c r="R310" s="812"/>
      <c r="S310" s="812"/>
      <c r="T310" s="668"/>
      <c r="U310" s="298"/>
      <c r="V310" s="668"/>
      <c r="W310" s="668"/>
      <c r="X310" s="668"/>
      <c r="Y310" s="298"/>
      <c r="Z310" s="668"/>
      <c r="AA310" s="668"/>
      <c r="AB310" s="668"/>
      <c r="AC310" s="668"/>
    </row>
    <row r="311" spans="1:29">
      <c r="A311" s="668"/>
      <c r="B311" s="668"/>
      <c r="C311" s="668"/>
      <c r="D311" s="668"/>
      <c r="E311" s="668"/>
      <c r="F311" s="668"/>
      <c r="G311" s="668"/>
      <c r="H311" s="668"/>
      <c r="I311" s="668"/>
      <c r="J311" s="668"/>
      <c r="K311" s="668"/>
      <c r="L311" s="668"/>
      <c r="M311" s="298"/>
      <c r="N311" s="812"/>
      <c r="O311" s="812"/>
      <c r="P311" s="812"/>
      <c r="Q311" s="812"/>
      <c r="R311" s="812"/>
      <c r="S311" s="812"/>
      <c r="T311" s="668"/>
      <c r="U311" s="298"/>
      <c r="V311" s="668"/>
      <c r="W311" s="668"/>
      <c r="X311" s="668"/>
      <c r="Y311" s="298"/>
      <c r="Z311" s="668"/>
      <c r="AA311" s="668"/>
      <c r="AB311" s="668"/>
      <c r="AC311" s="668"/>
    </row>
    <row r="312" spans="1:29">
      <c r="A312" s="668"/>
      <c r="B312" s="668"/>
      <c r="C312" s="668"/>
      <c r="D312" s="668"/>
      <c r="E312" s="668"/>
      <c r="F312" s="668"/>
      <c r="G312" s="668"/>
      <c r="H312" s="668"/>
      <c r="I312" s="668"/>
      <c r="J312" s="668"/>
      <c r="K312" s="668"/>
      <c r="L312" s="668"/>
      <c r="M312" s="298"/>
      <c r="N312" s="812"/>
      <c r="O312" s="812"/>
      <c r="P312" s="812"/>
      <c r="Q312" s="812"/>
      <c r="R312" s="812"/>
      <c r="S312" s="812"/>
      <c r="T312" s="668"/>
      <c r="U312" s="298"/>
      <c r="V312" s="668"/>
      <c r="W312" s="668"/>
      <c r="X312" s="668"/>
      <c r="Y312" s="298"/>
      <c r="Z312" s="668"/>
      <c r="AA312" s="668"/>
      <c r="AB312" s="668"/>
      <c r="AC312" s="668"/>
    </row>
    <row r="313" spans="1:29">
      <c r="A313" s="668"/>
      <c r="B313" s="668"/>
      <c r="C313" s="668"/>
      <c r="D313" s="668"/>
      <c r="E313" s="668"/>
      <c r="F313" s="668"/>
      <c r="G313" s="668"/>
      <c r="H313" s="668"/>
      <c r="I313" s="668"/>
      <c r="J313" s="668"/>
      <c r="K313" s="668"/>
      <c r="L313" s="668"/>
      <c r="M313" s="298"/>
      <c r="N313" s="812"/>
      <c r="O313" s="812"/>
      <c r="P313" s="812"/>
      <c r="Q313" s="812"/>
      <c r="R313" s="812"/>
      <c r="S313" s="812"/>
      <c r="T313" s="668"/>
      <c r="U313" s="298"/>
      <c r="V313" s="668"/>
      <c r="W313" s="668"/>
      <c r="X313" s="668"/>
      <c r="Y313" s="298"/>
      <c r="Z313" s="668"/>
      <c r="AA313" s="668"/>
      <c r="AB313" s="668"/>
      <c r="AC313" s="668"/>
    </row>
    <row r="314" spans="1:29">
      <c r="A314" s="668"/>
      <c r="B314" s="668"/>
      <c r="C314" s="668"/>
      <c r="D314" s="668"/>
      <c r="E314" s="668"/>
      <c r="F314" s="668"/>
      <c r="G314" s="668"/>
      <c r="H314" s="668"/>
      <c r="I314" s="668"/>
      <c r="J314" s="668"/>
      <c r="K314" s="668"/>
      <c r="L314" s="668"/>
      <c r="M314" s="298"/>
      <c r="N314" s="812"/>
      <c r="O314" s="812"/>
      <c r="P314" s="812"/>
      <c r="Q314" s="812"/>
      <c r="R314" s="812"/>
      <c r="S314" s="812"/>
      <c r="T314" s="668"/>
      <c r="U314" s="298"/>
      <c r="V314" s="668"/>
      <c r="W314" s="668"/>
      <c r="X314" s="668"/>
      <c r="Y314" s="298"/>
      <c r="Z314" s="668"/>
      <c r="AA314" s="668"/>
      <c r="AB314" s="668"/>
      <c r="AC314" s="668"/>
    </row>
    <row r="315" spans="1:29">
      <c r="A315" s="668"/>
      <c r="B315" s="668"/>
      <c r="C315" s="668"/>
      <c r="D315" s="668"/>
      <c r="E315" s="668"/>
      <c r="F315" s="668"/>
      <c r="G315" s="668"/>
      <c r="H315" s="668"/>
      <c r="I315" s="668"/>
      <c r="J315" s="668"/>
      <c r="K315" s="668"/>
      <c r="L315" s="668"/>
      <c r="M315" s="298"/>
      <c r="N315" s="812"/>
      <c r="O315" s="812"/>
      <c r="P315" s="812"/>
      <c r="Q315" s="812"/>
      <c r="R315" s="812"/>
      <c r="S315" s="812"/>
      <c r="T315" s="668"/>
      <c r="U315" s="298"/>
      <c r="V315" s="668"/>
      <c r="W315" s="668"/>
      <c r="X315" s="668"/>
      <c r="Y315" s="298"/>
      <c r="Z315" s="668"/>
      <c r="AA315" s="668"/>
      <c r="AB315" s="668"/>
      <c r="AC315" s="668"/>
    </row>
    <row r="316" spans="1:29">
      <c r="A316" s="668"/>
      <c r="B316" s="668"/>
      <c r="C316" s="668"/>
      <c r="D316" s="668"/>
      <c r="E316" s="668"/>
      <c r="F316" s="668"/>
      <c r="G316" s="668"/>
      <c r="H316" s="668"/>
      <c r="I316" s="668"/>
      <c r="J316" s="668"/>
      <c r="K316" s="668"/>
      <c r="L316" s="668"/>
      <c r="M316" s="298"/>
      <c r="N316" s="812"/>
      <c r="O316" s="812"/>
      <c r="P316" s="812"/>
      <c r="Q316" s="812"/>
      <c r="R316" s="812"/>
      <c r="S316" s="812"/>
      <c r="T316" s="668"/>
      <c r="U316" s="298"/>
      <c r="V316" s="668"/>
      <c r="W316" s="668"/>
      <c r="X316" s="668"/>
      <c r="Y316" s="298"/>
      <c r="Z316" s="668"/>
      <c r="AA316" s="668"/>
      <c r="AB316" s="668"/>
      <c r="AC316" s="668"/>
    </row>
    <row r="317" spans="1:29">
      <c r="A317" s="668"/>
      <c r="B317" s="668"/>
      <c r="C317" s="668"/>
      <c r="D317" s="668"/>
      <c r="E317" s="668"/>
      <c r="F317" s="668"/>
      <c r="G317" s="668"/>
      <c r="H317" s="668"/>
      <c r="I317" s="668"/>
      <c r="J317" s="668"/>
      <c r="K317" s="668"/>
      <c r="L317" s="668"/>
      <c r="M317" s="298"/>
      <c r="N317" s="812"/>
      <c r="O317" s="812"/>
      <c r="P317" s="812"/>
      <c r="Q317" s="812"/>
      <c r="R317" s="812"/>
      <c r="S317" s="812"/>
      <c r="T317" s="668"/>
      <c r="U317" s="298"/>
      <c r="V317" s="668"/>
      <c r="W317" s="668"/>
      <c r="X317" s="668"/>
      <c r="Y317" s="298"/>
      <c r="Z317" s="668"/>
      <c r="AA317" s="668"/>
      <c r="AB317" s="668"/>
      <c r="AC317" s="668"/>
    </row>
    <row r="318" spans="1:29">
      <c r="A318" s="668"/>
      <c r="B318" s="668"/>
      <c r="C318" s="668"/>
      <c r="D318" s="668"/>
      <c r="E318" s="668"/>
      <c r="F318" s="668"/>
      <c r="G318" s="668"/>
      <c r="H318" s="668"/>
      <c r="I318" s="668"/>
      <c r="J318" s="668"/>
      <c r="K318" s="668"/>
      <c r="L318" s="668"/>
      <c r="M318" s="298"/>
      <c r="N318" s="812"/>
      <c r="O318" s="812"/>
      <c r="P318" s="812"/>
      <c r="Q318" s="812"/>
      <c r="R318" s="812"/>
      <c r="S318" s="812"/>
      <c r="T318" s="668"/>
      <c r="U318" s="298"/>
      <c r="V318" s="668"/>
      <c r="W318" s="668"/>
      <c r="X318" s="668"/>
      <c r="Y318" s="298"/>
      <c r="Z318" s="668"/>
      <c r="AA318" s="668"/>
      <c r="AB318" s="668"/>
      <c r="AC318" s="668"/>
    </row>
    <row r="319" spans="1:29">
      <c r="A319" s="668"/>
      <c r="B319" s="668"/>
      <c r="C319" s="668"/>
      <c r="D319" s="668"/>
      <c r="E319" s="668"/>
      <c r="F319" s="668"/>
      <c r="G319" s="668"/>
      <c r="H319" s="668"/>
      <c r="I319" s="668"/>
      <c r="J319" s="668"/>
      <c r="K319" s="668"/>
      <c r="L319" s="668"/>
      <c r="M319" s="298"/>
      <c r="N319" s="812"/>
      <c r="O319" s="812"/>
      <c r="P319" s="812"/>
      <c r="Q319" s="812"/>
      <c r="R319" s="812"/>
      <c r="S319" s="812"/>
      <c r="T319" s="668"/>
      <c r="U319" s="298"/>
      <c r="V319" s="668"/>
      <c r="W319" s="668"/>
      <c r="X319" s="668"/>
      <c r="Y319" s="298"/>
      <c r="Z319" s="668"/>
      <c r="AA319" s="668"/>
      <c r="AB319" s="668"/>
      <c r="AC319" s="668"/>
    </row>
    <row r="320" spans="1:29">
      <c r="A320" s="668"/>
      <c r="B320" s="668"/>
      <c r="C320" s="668"/>
      <c r="D320" s="668"/>
      <c r="E320" s="668"/>
      <c r="F320" s="668"/>
      <c r="G320" s="668"/>
      <c r="H320" s="668"/>
      <c r="I320" s="668"/>
      <c r="J320" s="668"/>
      <c r="K320" s="668"/>
      <c r="L320" s="668"/>
      <c r="M320" s="298"/>
      <c r="N320" s="812"/>
      <c r="O320" s="812"/>
      <c r="P320" s="812"/>
      <c r="Q320" s="812"/>
      <c r="R320" s="812"/>
      <c r="S320" s="812"/>
      <c r="T320" s="668"/>
      <c r="U320" s="298"/>
      <c r="V320" s="668"/>
      <c r="W320" s="668"/>
      <c r="X320" s="668"/>
      <c r="Y320" s="298"/>
      <c r="Z320" s="668"/>
      <c r="AA320" s="668"/>
      <c r="AB320" s="668"/>
      <c r="AC320" s="668"/>
    </row>
    <row r="321" spans="1:29">
      <c r="A321" s="668"/>
      <c r="B321" s="668"/>
      <c r="C321" s="668"/>
      <c r="D321" s="668"/>
      <c r="E321" s="668"/>
      <c r="F321" s="668"/>
      <c r="G321" s="668"/>
      <c r="H321" s="668"/>
      <c r="I321" s="668"/>
      <c r="J321" s="668"/>
      <c r="K321" s="668"/>
      <c r="L321" s="668"/>
      <c r="M321" s="298"/>
      <c r="N321" s="812"/>
      <c r="O321" s="812"/>
      <c r="P321" s="812"/>
      <c r="Q321" s="812"/>
      <c r="R321" s="812"/>
      <c r="S321" s="812"/>
      <c r="T321" s="668"/>
      <c r="U321" s="298"/>
      <c r="V321" s="668"/>
      <c r="W321" s="668"/>
      <c r="X321" s="668"/>
      <c r="Y321" s="298"/>
      <c r="Z321" s="668"/>
      <c r="AA321" s="668"/>
      <c r="AB321" s="668"/>
      <c r="AC321" s="668"/>
    </row>
    <row r="322" spans="1:29">
      <c r="A322" s="668"/>
      <c r="B322" s="668"/>
      <c r="C322" s="668"/>
      <c r="D322" s="668"/>
      <c r="E322" s="668"/>
      <c r="F322" s="668"/>
      <c r="G322" s="668"/>
      <c r="H322" s="668"/>
      <c r="I322" s="668"/>
      <c r="J322" s="668"/>
      <c r="K322" s="668"/>
      <c r="L322" s="668"/>
      <c r="M322" s="298"/>
      <c r="N322" s="812"/>
      <c r="O322" s="812"/>
      <c r="P322" s="812"/>
      <c r="Q322" s="812"/>
      <c r="R322" s="812"/>
      <c r="S322" s="812"/>
      <c r="T322" s="668"/>
      <c r="U322" s="298"/>
      <c r="V322" s="668"/>
      <c r="W322" s="668"/>
      <c r="X322" s="668"/>
      <c r="Y322" s="298"/>
      <c r="Z322" s="668"/>
      <c r="AA322" s="668"/>
      <c r="AB322" s="668"/>
      <c r="AC322" s="668"/>
    </row>
    <row r="323" spans="1:29">
      <c r="A323" s="668"/>
      <c r="B323" s="668"/>
      <c r="C323" s="668"/>
      <c r="D323" s="668"/>
      <c r="E323" s="668"/>
      <c r="F323" s="668"/>
      <c r="G323" s="668"/>
      <c r="H323" s="668"/>
      <c r="I323" s="668"/>
      <c r="J323" s="668"/>
      <c r="K323" s="668"/>
      <c r="L323" s="668"/>
      <c r="M323" s="298"/>
      <c r="N323" s="812"/>
      <c r="O323" s="812"/>
      <c r="P323" s="812"/>
      <c r="Q323" s="812"/>
      <c r="R323" s="812"/>
      <c r="S323" s="812"/>
      <c r="T323" s="668"/>
      <c r="U323" s="298"/>
      <c r="V323" s="668"/>
      <c r="W323" s="668"/>
      <c r="X323" s="668"/>
      <c r="Y323" s="298"/>
      <c r="Z323" s="668"/>
      <c r="AA323" s="668"/>
      <c r="AB323" s="668"/>
      <c r="AC323" s="668"/>
    </row>
    <row r="324" spans="1:29">
      <c r="A324" s="668"/>
      <c r="B324" s="668"/>
      <c r="C324" s="668"/>
      <c r="D324" s="668"/>
      <c r="E324" s="668"/>
      <c r="F324" s="668"/>
      <c r="G324" s="668"/>
      <c r="H324" s="668"/>
      <c r="I324" s="668"/>
      <c r="J324" s="668"/>
      <c r="K324" s="668"/>
      <c r="L324" s="668"/>
      <c r="M324" s="298"/>
      <c r="N324" s="812"/>
      <c r="O324" s="812"/>
      <c r="P324" s="812"/>
      <c r="Q324" s="812"/>
      <c r="R324" s="812"/>
      <c r="S324" s="812"/>
      <c r="T324" s="668"/>
      <c r="U324" s="298"/>
      <c r="V324" s="668"/>
      <c r="W324" s="668"/>
      <c r="X324" s="668"/>
      <c r="Y324" s="298"/>
      <c r="Z324" s="668"/>
      <c r="AA324" s="668"/>
      <c r="AB324" s="668"/>
      <c r="AC324" s="668"/>
    </row>
    <row r="325" spans="1:29">
      <c r="A325" s="668"/>
      <c r="B325" s="668"/>
      <c r="C325" s="668"/>
      <c r="D325" s="668"/>
      <c r="E325" s="668"/>
      <c r="F325" s="668"/>
      <c r="G325" s="668"/>
      <c r="H325" s="668"/>
      <c r="I325" s="668"/>
      <c r="J325" s="668"/>
      <c r="K325" s="668"/>
      <c r="L325" s="668"/>
      <c r="M325" s="298"/>
      <c r="N325" s="812"/>
      <c r="O325" s="812"/>
      <c r="P325" s="812"/>
      <c r="Q325" s="812"/>
      <c r="R325" s="812"/>
      <c r="S325" s="812"/>
      <c r="T325" s="668"/>
      <c r="U325" s="298"/>
      <c r="V325" s="668"/>
      <c r="W325" s="668"/>
      <c r="X325" s="668"/>
      <c r="Y325" s="298"/>
      <c r="Z325" s="668"/>
      <c r="AA325" s="668"/>
      <c r="AB325" s="668"/>
      <c r="AC325" s="668"/>
    </row>
    <row r="326" spans="1:29">
      <c r="A326" s="668"/>
      <c r="B326" s="668"/>
      <c r="C326" s="668"/>
      <c r="D326" s="668"/>
      <c r="E326" s="668"/>
      <c r="F326" s="668"/>
      <c r="G326" s="668"/>
      <c r="H326" s="668"/>
      <c r="I326" s="668"/>
      <c r="J326" s="668"/>
      <c r="K326" s="668"/>
      <c r="L326" s="668"/>
      <c r="M326" s="298"/>
      <c r="N326" s="812"/>
      <c r="O326" s="812"/>
      <c r="P326" s="812"/>
      <c r="Q326" s="812"/>
      <c r="R326" s="812"/>
      <c r="S326" s="812"/>
      <c r="T326" s="668"/>
      <c r="U326" s="298"/>
      <c r="V326" s="668"/>
      <c r="W326" s="668"/>
      <c r="X326" s="668"/>
      <c r="Y326" s="298"/>
      <c r="Z326" s="668"/>
      <c r="AA326" s="668"/>
      <c r="AB326" s="668"/>
      <c r="AC326" s="668"/>
    </row>
    <row r="327" spans="1:29">
      <c r="A327" s="668"/>
      <c r="B327" s="668"/>
      <c r="C327" s="668"/>
      <c r="D327" s="668"/>
      <c r="E327" s="668"/>
      <c r="F327" s="668"/>
      <c r="G327" s="668"/>
      <c r="H327" s="668"/>
      <c r="I327" s="668"/>
      <c r="J327" s="668"/>
      <c r="K327" s="668"/>
      <c r="L327" s="668"/>
      <c r="M327" s="298"/>
      <c r="N327" s="812"/>
      <c r="O327" s="812"/>
      <c r="P327" s="812"/>
      <c r="Q327" s="812"/>
      <c r="R327" s="812"/>
      <c r="S327" s="812"/>
      <c r="T327" s="668"/>
      <c r="U327" s="298"/>
      <c r="V327" s="668"/>
      <c r="W327" s="668"/>
      <c r="X327" s="668"/>
      <c r="Y327" s="298"/>
      <c r="Z327" s="668"/>
      <c r="AA327" s="668"/>
      <c r="AB327" s="668"/>
      <c r="AC327" s="668"/>
    </row>
    <row r="328" spans="1:29">
      <c r="A328" s="668"/>
      <c r="B328" s="668"/>
      <c r="C328" s="668"/>
      <c r="D328" s="668"/>
      <c r="E328" s="668"/>
      <c r="F328" s="668"/>
      <c r="G328" s="668"/>
      <c r="H328" s="668"/>
      <c r="I328" s="668"/>
      <c r="J328" s="668"/>
      <c r="K328" s="668"/>
      <c r="L328" s="668"/>
      <c r="M328" s="298"/>
      <c r="N328" s="812"/>
      <c r="O328" s="812"/>
      <c r="P328" s="812"/>
      <c r="Q328" s="812"/>
      <c r="R328" s="812"/>
      <c r="S328" s="812"/>
      <c r="T328" s="668"/>
      <c r="U328" s="298"/>
      <c r="V328" s="668"/>
      <c r="W328" s="668"/>
      <c r="X328" s="668"/>
      <c r="Y328" s="298"/>
      <c r="Z328" s="668"/>
      <c r="AA328" s="668"/>
      <c r="AB328" s="668"/>
      <c r="AC328" s="668"/>
    </row>
    <row r="329" spans="1:29">
      <c r="A329" s="668"/>
      <c r="B329" s="668"/>
      <c r="C329" s="668"/>
      <c r="D329" s="668"/>
      <c r="E329" s="668"/>
      <c r="F329" s="668"/>
      <c r="G329" s="668"/>
      <c r="H329" s="668"/>
      <c r="I329" s="668"/>
      <c r="J329" s="668"/>
      <c r="K329" s="668"/>
      <c r="L329" s="668"/>
      <c r="M329" s="298"/>
      <c r="N329" s="812"/>
      <c r="O329" s="812"/>
      <c r="P329" s="812"/>
      <c r="Q329" s="812"/>
      <c r="R329" s="812"/>
      <c r="S329" s="812"/>
      <c r="T329" s="668"/>
      <c r="U329" s="298"/>
      <c r="V329" s="668"/>
      <c r="W329" s="668"/>
      <c r="X329" s="668"/>
      <c r="Y329" s="298"/>
      <c r="Z329" s="668"/>
      <c r="AA329" s="668"/>
      <c r="AB329" s="668"/>
      <c r="AC329" s="668"/>
    </row>
    <row r="330" spans="1:29">
      <c r="A330" s="668"/>
      <c r="B330" s="668"/>
      <c r="C330" s="668"/>
      <c r="D330" s="668"/>
      <c r="E330" s="668"/>
      <c r="F330" s="668"/>
      <c r="G330" s="668"/>
      <c r="H330" s="668"/>
      <c r="I330" s="668"/>
      <c r="J330" s="668"/>
      <c r="K330" s="668"/>
      <c r="L330" s="668"/>
      <c r="M330" s="298"/>
      <c r="N330" s="812"/>
      <c r="O330" s="812"/>
      <c r="P330" s="812"/>
      <c r="Q330" s="812"/>
      <c r="R330" s="812"/>
      <c r="S330" s="812"/>
      <c r="T330" s="668"/>
      <c r="U330" s="298"/>
      <c r="V330" s="668"/>
      <c r="W330" s="668"/>
      <c r="X330" s="668"/>
      <c r="Y330" s="298"/>
      <c r="Z330" s="668"/>
      <c r="AA330" s="668"/>
      <c r="AB330" s="668"/>
      <c r="AC330" s="668"/>
    </row>
    <row r="331" spans="1:29">
      <c r="A331" s="668"/>
      <c r="B331" s="668"/>
      <c r="C331" s="668"/>
      <c r="D331" s="668"/>
      <c r="E331" s="668"/>
      <c r="F331" s="668"/>
      <c r="G331" s="668"/>
      <c r="H331" s="668"/>
      <c r="I331" s="668"/>
      <c r="J331" s="668"/>
      <c r="K331" s="668"/>
      <c r="L331" s="668"/>
      <c r="M331" s="298"/>
      <c r="N331" s="812"/>
      <c r="O331" s="812"/>
      <c r="P331" s="812"/>
      <c r="Q331" s="812"/>
      <c r="R331" s="812"/>
      <c r="S331" s="812"/>
      <c r="T331" s="668"/>
      <c r="U331" s="298"/>
      <c r="V331" s="668"/>
      <c r="W331" s="668"/>
      <c r="X331" s="668"/>
      <c r="Y331" s="298"/>
      <c r="Z331" s="668"/>
      <c r="AA331" s="668"/>
      <c r="AB331" s="668"/>
      <c r="AC331" s="668"/>
    </row>
    <row r="332" spans="1:29">
      <c r="A332" s="668"/>
      <c r="B332" s="668"/>
      <c r="C332" s="668"/>
      <c r="D332" s="668"/>
      <c r="E332" s="668"/>
      <c r="F332" s="668"/>
      <c r="G332" s="668"/>
      <c r="H332" s="668"/>
      <c r="I332" s="668"/>
      <c r="J332" s="668"/>
      <c r="K332" s="668"/>
      <c r="L332" s="668"/>
      <c r="M332" s="298"/>
      <c r="N332" s="812"/>
      <c r="O332" s="812"/>
      <c r="P332" s="812"/>
      <c r="Q332" s="812"/>
      <c r="R332" s="812"/>
      <c r="S332" s="812"/>
      <c r="T332" s="668"/>
      <c r="U332" s="298"/>
      <c r="V332" s="668"/>
      <c r="W332" s="668"/>
      <c r="X332" s="668"/>
      <c r="Y332" s="298"/>
      <c r="Z332" s="668"/>
      <c r="AA332" s="668"/>
      <c r="AB332" s="668"/>
      <c r="AC332" s="668"/>
    </row>
    <row r="333" spans="1:29">
      <c r="A333" s="668"/>
      <c r="B333" s="668"/>
      <c r="C333" s="668"/>
      <c r="D333" s="668"/>
      <c r="E333" s="668"/>
      <c r="F333" s="668"/>
      <c r="G333" s="668"/>
      <c r="H333" s="668"/>
      <c r="I333" s="668"/>
      <c r="J333" s="668"/>
      <c r="K333" s="668"/>
      <c r="L333" s="668"/>
      <c r="M333" s="298"/>
      <c r="N333" s="812"/>
      <c r="O333" s="812"/>
      <c r="P333" s="812"/>
      <c r="Q333" s="812"/>
      <c r="R333" s="812"/>
      <c r="S333" s="812"/>
      <c r="T333" s="668"/>
      <c r="U333" s="298"/>
      <c r="V333" s="668"/>
      <c r="W333" s="668"/>
      <c r="X333" s="668"/>
      <c r="Y333" s="298"/>
      <c r="Z333" s="668"/>
      <c r="AA333" s="668"/>
      <c r="AB333" s="668"/>
      <c r="AC333" s="668"/>
    </row>
    <row r="334" spans="1:29">
      <c r="A334" s="668"/>
      <c r="B334" s="668"/>
      <c r="C334" s="668"/>
      <c r="D334" s="668"/>
      <c r="E334" s="668"/>
      <c r="F334" s="668"/>
      <c r="G334" s="668"/>
      <c r="H334" s="668"/>
      <c r="I334" s="668"/>
      <c r="J334" s="668"/>
      <c r="K334" s="668"/>
      <c r="L334" s="668"/>
      <c r="M334" s="298"/>
      <c r="N334" s="812"/>
      <c r="O334" s="812"/>
      <c r="P334" s="812"/>
      <c r="Q334" s="812"/>
      <c r="R334" s="812"/>
      <c r="S334" s="812"/>
      <c r="T334" s="668"/>
      <c r="U334" s="298"/>
      <c r="V334" s="668"/>
      <c r="W334" s="668"/>
      <c r="X334" s="668"/>
      <c r="Y334" s="298"/>
      <c r="Z334" s="668"/>
      <c r="AA334" s="668"/>
      <c r="AB334" s="668"/>
      <c r="AC334" s="668"/>
    </row>
    <row r="335" spans="1:29">
      <c r="A335" s="668"/>
      <c r="B335" s="668"/>
      <c r="C335" s="668"/>
      <c r="D335" s="668"/>
      <c r="E335" s="668"/>
      <c r="F335" s="668"/>
      <c r="G335" s="668"/>
      <c r="H335" s="668"/>
      <c r="I335" s="668"/>
      <c r="J335" s="668"/>
      <c r="K335" s="668"/>
      <c r="L335" s="668"/>
      <c r="M335" s="298"/>
      <c r="N335" s="812"/>
      <c r="O335" s="812"/>
      <c r="P335" s="812"/>
      <c r="Q335" s="812"/>
      <c r="R335" s="812"/>
      <c r="S335" s="812"/>
      <c r="T335" s="668"/>
      <c r="U335" s="298"/>
      <c r="V335" s="668"/>
      <c r="W335" s="668"/>
      <c r="X335" s="668"/>
      <c r="Y335" s="298"/>
      <c r="Z335" s="668"/>
      <c r="AA335" s="668"/>
      <c r="AB335" s="668"/>
      <c r="AC335" s="668"/>
    </row>
    <row r="336" spans="1:29">
      <c r="A336" s="668"/>
      <c r="B336" s="668"/>
      <c r="C336" s="668"/>
      <c r="D336" s="668"/>
      <c r="E336" s="668"/>
      <c r="F336" s="668"/>
      <c r="G336" s="668"/>
      <c r="H336" s="668"/>
      <c r="I336" s="668"/>
      <c r="J336" s="668"/>
      <c r="K336" s="668"/>
      <c r="L336" s="668"/>
      <c r="M336" s="298"/>
      <c r="N336" s="812"/>
      <c r="O336" s="812"/>
      <c r="P336" s="812"/>
      <c r="Q336" s="812"/>
      <c r="R336" s="812"/>
      <c r="S336" s="812"/>
      <c r="T336" s="668"/>
      <c r="U336" s="298"/>
      <c r="V336" s="668"/>
      <c r="W336" s="668"/>
      <c r="X336" s="668"/>
      <c r="Y336" s="298"/>
      <c r="Z336" s="668"/>
      <c r="AA336" s="668"/>
      <c r="AB336" s="668"/>
      <c r="AC336" s="668"/>
    </row>
    <row r="337" spans="1:29">
      <c r="A337" s="668"/>
      <c r="B337" s="668"/>
      <c r="C337" s="668"/>
      <c r="D337" s="668"/>
      <c r="E337" s="668"/>
      <c r="F337" s="668"/>
      <c r="G337" s="668"/>
      <c r="H337" s="668"/>
      <c r="I337" s="668"/>
      <c r="J337" s="668"/>
      <c r="K337" s="668"/>
      <c r="L337" s="668"/>
      <c r="M337" s="298"/>
      <c r="N337" s="812"/>
      <c r="O337" s="812"/>
      <c r="P337" s="812"/>
      <c r="Q337" s="812"/>
      <c r="R337" s="812"/>
      <c r="S337" s="812"/>
      <c r="T337" s="668"/>
      <c r="U337" s="298"/>
      <c r="V337" s="668"/>
      <c r="W337" s="668"/>
      <c r="X337" s="668"/>
      <c r="Y337" s="298"/>
      <c r="Z337" s="668"/>
      <c r="AA337" s="668"/>
      <c r="AB337" s="668"/>
      <c r="AC337" s="668"/>
    </row>
    <row r="338" spans="1:29">
      <c r="A338" s="668"/>
      <c r="B338" s="668"/>
      <c r="C338" s="668"/>
      <c r="D338" s="668"/>
      <c r="E338" s="668"/>
      <c r="F338" s="668"/>
      <c r="G338" s="668"/>
      <c r="H338" s="668"/>
      <c r="I338" s="668"/>
      <c r="J338" s="668"/>
      <c r="K338" s="668"/>
      <c r="L338" s="668"/>
      <c r="M338" s="298"/>
      <c r="N338" s="812"/>
      <c r="O338" s="812"/>
      <c r="P338" s="812"/>
      <c r="Q338" s="812"/>
      <c r="R338" s="812"/>
      <c r="S338" s="812"/>
      <c r="T338" s="668"/>
      <c r="U338" s="298"/>
      <c r="V338" s="668"/>
      <c r="W338" s="668"/>
      <c r="X338" s="668"/>
      <c r="Y338" s="298"/>
      <c r="Z338" s="668"/>
      <c r="AA338" s="668"/>
      <c r="AB338" s="668"/>
      <c r="AC338" s="668"/>
    </row>
    <row r="339" spans="1:29">
      <c r="A339" s="668"/>
      <c r="B339" s="668"/>
      <c r="C339" s="668"/>
      <c r="D339" s="668"/>
      <c r="E339" s="668"/>
      <c r="F339" s="668"/>
      <c r="G339" s="668"/>
      <c r="H339" s="668"/>
      <c r="I339" s="668"/>
      <c r="J339" s="668"/>
      <c r="K339" s="668"/>
      <c r="L339" s="668"/>
      <c r="M339" s="298"/>
      <c r="N339" s="812"/>
      <c r="O339" s="812"/>
      <c r="P339" s="812"/>
      <c r="Q339" s="812"/>
      <c r="R339" s="812"/>
      <c r="S339" s="812"/>
      <c r="T339" s="668"/>
      <c r="U339" s="298"/>
      <c r="V339" s="668"/>
      <c r="W339" s="668"/>
      <c r="X339" s="668"/>
      <c r="Y339" s="298"/>
      <c r="Z339" s="668"/>
      <c r="AA339" s="668"/>
      <c r="AB339" s="668"/>
      <c r="AC339" s="668"/>
    </row>
    <row r="340" spans="1:29">
      <c r="A340" s="668"/>
      <c r="B340" s="668"/>
      <c r="C340" s="668"/>
      <c r="D340" s="668"/>
      <c r="E340" s="668"/>
      <c r="F340" s="668"/>
      <c r="G340" s="668"/>
      <c r="H340" s="668"/>
      <c r="I340" s="668"/>
      <c r="J340" s="668"/>
      <c r="K340" s="668"/>
      <c r="L340" s="668"/>
      <c r="M340" s="298"/>
      <c r="N340" s="812"/>
      <c r="O340" s="812"/>
      <c r="P340" s="812"/>
      <c r="Q340" s="812"/>
      <c r="R340" s="812"/>
      <c r="S340" s="812"/>
      <c r="T340" s="668"/>
      <c r="U340" s="298"/>
      <c r="V340" s="668"/>
      <c r="W340" s="668"/>
      <c r="X340" s="668"/>
      <c r="Y340" s="298"/>
      <c r="Z340" s="668"/>
      <c r="AA340" s="668"/>
      <c r="AB340" s="668"/>
      <c r="AC340" s="668"/>
    </row>
    <row r="341" spans="1:29">
      <c r="A341" s="668"/>
      <c r="B341" s="668"/>
      <c r="C341" s="668"/>
      <c r="D341" s="668"/>
      <c r="E341" s="668"/>
      <c r="F341" s="668"/>
      <c r="G341" s="668"/>
      <c r="H341" s="668"/>
      <c r="I341" s="668"/>
      <c r="J341" s="668"/>
      <c r="K341" s="668"/>
      <c r="L341" s="668"/>
      <c r="M341" s="298"/>
      <c r="N341" s="812"/>
      <c r="O341" s="812"/>
      <c r="P341" s="812"/>
      <c r="Q341" s="812"/>
      <c r="R341" s="812"/>
      <c r="S341" s="812"/>
      <c r="T341" s="668"/>
      <c r="U341" s="298"/>
      <c r="V341" s="668"/>
      <c r="W341" s="668"/>
      <c r="X341" s="668"/>
      <c r="Y341" s="298"/>
      <c r="Z341" s="668"/>
      <c r="AA341" s="668"/>
      <c r="AB341" s="668"/>
      <c r="AC341" s="668"/>
    </row>
    <row r="342" spans="1:29">
      <c r="A342" s="668"/>
      <c r="B342" s="668"/>
      <c r="C342" s="668"/>
      <c r="D342" s="668"/>
      <c r="E342" s="668"/>
      <c r="F342" s="668"/>
      <c r="G342" s="668"/>
      <c r="H342" s="668"/>
      <c r="I342" s="668"/>
      <c r="J342" s="668"/>
      <c r="K342" s="668"/>
      <c r="L342" s="668"/>
      <c r="M342" s="298"/>
      <c r="N342" s="812"/>
      <c r="O342" s="812"/>
      <c r="P342" s="812"/>
      <c r="Q342" s="812"/>
      <c r="R342" s="812"/>
      <c r="S342" s="812"/>
      <c r="T342" s="668"/>
      <c r="U342" s="298"/>
      <c r="V342" s="668"/>
      <c r="W342" s="668"/>
      <c r="X342" s="668"/>
      <c r="Y342" s="298"/>
      <c r="Z342" s="668"/>
      <c r="AA342" s="668"/>
      <c r="AB342" s="668"/>
      <c r="AC342" s="668"/>
    </row>
    <row r="343" spans="1:29">
      <c r="A343" s="668"/>
      <c r="B343" s="668"/>
      <c r="C343" s="668"/>
      <c r="D343" s="668"/>
      <c r="E343" s="668"/>
      <c r="F343" s="668"/>
      <c r="G343" s="668"/>
      <c r="H343" s="668"/>
      <c r="I343" s="668"/>
      <c r="J343" s="668"/>
      <c r="K343" s="668"/>
      <c r="L343" s="668"/>
      <c r="M343" s="298"/>
      <c r="N343" s="812"/>
      <c r="O343" s="812"/>
      <c r="P343" s="812"/>
      <c r="Q343" s="812"/>
      <c r="R343" s="812"/>
      <c r="S343" s="812"/>
      <c r="T343" s="668"/>
      <c r="U343" s="298"/>
      <c r="V343" s="668"/>
      <c r="W343" s="668"/>
      <c r="X343" s="668"/>
      <c r="Y343" s="298"/>
      <c r="Z343" s="668"/>
      <c r="AA343" s="668"/>
      <c r="AB343" s="668"/>
      <c r="AC343" s="668"/>
    </row>
    <row r="344" spans="1:29">
      <c r="A344" s="668"/>
      <c r="B344" s="668"/>
      <c r="C344" s="668"/>
      <c r="D344" s="668"/>
      <c r="E344" s="668"/>
      <c r="F344" s="668"/>
      <c r="G344" s="668"/>
      <c r="H344" s="668"/>
      <c r="I344" s="668"/>
      <c r="J344" s="668"/>
      <c r="K344" s="668"/>
      <c r="L344" s="668"/>
      <c r="M344" s="298"/>
      <c r="N344" s="812"/>
      <c r="O344" s="812"/>
      <c r="P344" s="812"/>
      <c r="Q344" s="812"/>
      <c r="R344" s="812"/>
      <c r="S344" s="812"/>
      <c r="T344" s="668"/>
      <c r="U344" s="298"/>
      <c r="V344" s="668"/>
      <c r="W344" s="668"/>
      <c r="X344" s="668"/>
      <c r="Y344" s="298"/>
      <c r="Z344" s="668"/>
      <c r="AA344" s="668"/>
      <c r="AB344" s="668"/>
      <c r="AC344" s="668"/>
    </row>
    <row r="345" spans="1:29">
      <c r="A345" s="668"/>
      <c r="B345" s="668"/>
      <c r="C345" s="668"/>
      <c r="D345" s="668"/>
      <c r="E345" s="668"/>
      <c r="F345" s="668"/>
      <c r="G345" s="668"/>
      <c r="H345" s="668"/>
      <c r="I345" s="668"/>
      <c r="J345" s="668"/>
      <c r="K345" s="668"/>
      <c r="L345" s="668"/>
      <c r="M345" s="298"/>
      <c r="N345" s="812"/>
      <c r="O345" s="812"/>
      <c r="P345" s="812"/>
      <c r="Q345" s="812"/>
      <c r="R345" s="812"/>
      <c r="S345" s="812"/>
      <c r="T345" s="668"/>
      <c r="U345" s="298"/>
      <c r="V345" s="668"/>
      <c r="W345" s="668"/>
      <c r="X345" s="668"/>
      <c r="Y345" s="298"/>
      <c r="Z345" s="668"/>
      <c r="AA345" s="668"/>
      <c r="AB345" s="668"/>
      <c r="AC345" s="668"/>
    </row>
    <row r="346" spans="1:29">
      <c r="A346" s="668"/>
      <c r="B346" s="668"/>
      <c r="C346" s="668"/>
      <c r="D346" s="668"/>
      <c r="E346" s="668"/>
      <c r="F346" s="668"/>
      <c r="G346" s="668"/>
      <c r="H346" s="668"/>
      <c r="I346" s="668"/>
      <c r="J346" s="668"/>
      <c r="K346" s="668"/>
      <c r="L346" s="668"/>
      <c r="M346" s="298"/>
      <c r="N346" s="812"/>
      <c r="O346" s="812"/>
      <c r="P346" s="812"/>
      <c r="Q346" s="812"/>
      <c r="R346" s="812"/>
      <c r="S346" s="812"/>
      <c r="T346" s="668"/>
      <c r="U346" s="298"/>
      <c r="V346" s="668"/>
      <c r="W346" s="668"/>
      <c r="X346" s="668"/>
      <c r="Y346" s="298"/>
      <c r="Z346" s="668"/>
      <c r="AA346" s="668"/>
      <c r="AB346" s="668"/>
      <c r="AC346" s="668"/>
    </row>
    <row r="347" spans="1:29">
      <c r="A347" s="668"/>
      <c r="B347" s="668"/>
      <c r="C347" s="668"/>
      <c r="D347" s="668"/>
      <c r="E347" s="668"/>
      <c r="F347" s="668"/>
      <c r="G347" s="668"/>
      <c r="H347" s="668"/>
      <c r="I347" s="668"/>
      <c r="J347" s="668"/>
      <c r="K347" s="668"/>
      <c r="L347" s="668"/>
      <c r="M347" s="298"/>
      <c r="N347" s="812"/>
      <c r="O347" s="812"/>
      <c r="P347" s="812"/>
      <c r="Q347" s="812"/>
      <c r="R347" s="812"/>
      <c r="S347" s="812"/>
      <c r="T347" s="668"/>
      <c r="U347" s="298"/>
      <c r="V347" s="668"/>
      <c r="W347" s="668"/>
      <c r="X347" s="668"/>
      <c r="Y347" s="298"/>
      <c r="Z347" s="668"/>
      <c r="AA347" s="668"/>
      <c r="AB347" s="668"/>
      <c r="AC347" s="668"/>
    </row>
    <row r="348" spans="1:29">
      <c r="A348" s="668"/>
      <c r="B348" s="668"/>
      <c r="C348" s="668"/>
      <c r="D348" s="668"/>
      <c r="E348" s="668"/>
      <c r="F348" s="668"/>
      <c r="G348" s="668"/>
      <c r="H348" s="668"/>
      <c r="I348" s="668"/>
      <c r="J348" s="668"/>
      <c r="K348" s="668"/>
      <c r="L348" s="668"/>
      <c r="M348" s="298"/>
      <c r="N348" s="812"/>
      <c r="O348" s="812"/>
      <c r="P348" s="812"/>
      <c r="Q348" s="812"/>
      <c r="R348" s="812"/>
      <c r="S348" s="812"/>
      <c r="T348" s="668"/>
      <c r="U348" s="298"/>
      <c r="V348" s="668"/>
      <c r="W348" s="668"/>
      <c r="X348" s="668"/>
      <c r="Y348" s="298"/>
      <c r="Z348" s="668"/>
      <c r="AA348" s="668"/>
      <c r="AB348" s="668"/>
      <c r="AC348" s="668"/>
    </row>
    <row r="349" spans="1:29">
      <c r="A349" s="668"/>
      <c r="B349" s="668"/>
      <c r="C349" s="668"/>
      <c r="D349" s="668"/>
      <c r="E349" s="668"/>
      <c r="F349" s="668"/>
      <c r="G349" s="668"/>
      <c r="H349" s="668"/>
      <c r="I349" s="668"/>
      <c r="J349" s="668"/>
      <c r="K349" s="668"/>
      <c r="L349" s="668"/>
      <c r="M349" s="298"/>
      <c r="N349" s="812"/>
      <c r="O349" s="812"/>
      <c r="P349" s="812"/>
      <c r="Q349" s="812"/>
      <c r="R349" s="812"/>
      <c r="S349" s="812"/>
      <c r="T349" s="668"/>
      <c r="U349" s="298"/>
      <c r="V349" s="668"/>
      <c r="W349" s="668"/>
      <c r="X349" s="668"/>
      <c r="Y349" s="298"/>
      <c r="Z349" s="668"/>
      <c r="AA349" s="668"/>
      <c r="AB349" s="668"/>
      <c r="AC349" s="668"/>
    </row>
    <row r="350" spans="1:29">
      <c r="A350" s="668"/>
      <c r="B350" s="668"/>
      <c r="C350" s="668"/>
      <c r="D350" s="668"/>
      <c r="E350" s="668"/>
      <c r="F350" s="668"/>
      <c r="G350" s="668"/>
      <c r="H350" s="668"/>
      <c r="I350" s="668"/>
      <c r="J350" s="668"/>
      <c r="K350" s="668"/>
      <c r="L350" s="668"/>
      <c r="M350" s="298"/>
      <c r="N350" s="812"/>
      <c r="O350" s="812"/>
      <c r="P350" s="812"/>
      <c r="Q350" s="812"/>
      <c r="R350" s="812"/>
      <c r="S350" s="812"/>
      <c r="T350" s="668"/>
      <c r="U350" s="298"/>
      <c r="V350" s="668"/>
      <c r="W350" s="668"/>
      <c r="X350" s="668"/>
      <c r="Y350" s="298"/>
      <c r="Z350" s="668"/>
      <c r="AA350" s="668"/>
      <c r="AB350" s="668"/>
      <c r="AC350" s="668"/>
    </row>
    <row r="351" spans="1:29">
      <c r="A351" s="668"/>
      <c r="B351" s="668"/>
      <c r="C351" s="668"/>
      <c r="D351" s="668"/>
      <c r="E351" s="668"/>
      <c r="F351" s="668"/>
      <c r="G351" s="668"/>
      <c r="H351" s="668"/>
      <c r="I351" s="668"/>
      <c r="J351" s="668"/>
      <c r="K351" s="668"/>
      <c r="L351" s="668"/>
      <c r="M351" s="298"/>
      <c r="N351" s="812"/>
      <c r="O351" s="812"/>
      <c r="P351" s="812"/>
      <c r="Q351" s="812"/>
      <c r="R351" s="812"/>
      <c r="S351" s="812"/>
      <c r="T351" s="668"/>
      <c r="U351" s="298"/>
      <c r="V351" s="668"/>
      <c r="W351" s="668"/>
      <c r="X351" s="668"/>
      <c r="Y351" s="298"/>
      <c r="Z351" s="668"/>
      <c r="AA351" s="668"/>
      <c r="AB351" s="668"/>
      <c r="AC351" s="668"/>
    </row>
    <row r="352" spans="1:29">
      <c r="A352" s="668"/>
      <c r="B352" s="668"/>
      <c r="C352" s="668"/>
      <c r="D352" s="668"/>
      <c r="E352" s="668"/>
      <c r="F352" s="668"/>
      <c r="G352" s="668"/>
      <c r="H352" s="668"/>
      <c r="I352" s="668"/>
      <c r="J352" s="668"/>
      <c r="K352" s="668"/>
      <c r="L352" s="668"/>
      <c r="M352" s="298"/>
      <c r="N352" s="812"/>
      <c r="O352" s="812"/>
      <c r="P352" s="812"/>
      <c r="Q352" s="812"/>
      <c r="R352" s="812"/>
      <c r="S352" s="812"/>
      <c r="T352" s="668"/>
      <c r="U352" s="298"/>
      <c r="V352" s="668"/>
      <c r="W352" s="668"/>
      <c r="X352" s="668"/>
      <c r="Y352" s="298"/>
      <c r="Z352" s="668"/>
      <c r="AA352" s="668"/>
      <c r="AB352" s="668"/>
      <c r="AC352" s="668"/>
    </row>
    <row r="353" spans="1:29">
      <c r="A353" s="668"/>
      <c r="B353" s="668"/>
      <c r="C353" s="668"/>
      <c r="D353" s="668"/>
      <c r="E353" s="668"/>
      <c r="F353" s="668"/>
      <c r="G353" s="668"/>
      <c r="H353" s="668"/>
      <c r="I353" s="668"/>
      <c r="J353" s="668"/>
      <c r="K353" s="668"/>
      <c r="L353" s="668"/>
      <c r="M353" s="298"/>
      <c r="N353" s="812"/>
      <c r="O353" s="812"/>
      <c r="P353" s="812"/>
      <c r="Q353" s="812"/>
      <c r="R353" s="812"/>
      <c r="S353" s="812"/>
      <c r="T353" s="668"/>
      <c r="U353" s="298"/>
      <c r="V353" s="668"/>
      <c r="W353" s="668"/>
      <c r="X353" s="668"/>
      <c r="Y353" s="298"/>
      <c r="Z353" s="668"/>
      <c r="AA353" s="668"/>
      <c r="AB353" s="668"/>
      <c r="AC353" s="668"/>
    </row>
    <row r="354" spans="1:29">
      <c r="A354" s="668"/>
      <c r="B354" s="668"/>
      <c r="C354" s="668"/>
      <c r="D354" s="668"/>
      <c r="E354" s="668"/>
      <c r="F354" s="668"/>
      <c r="G354" s="668"/>
      <c r="H354" s="668"/>
      <c r="I354" s="668"/>
      <c r="J354" s="668"/>
      <c r="K354" s="668"/>
      <c r="L354" s="668"/>
      <c r="M354" s="298"/>
      <c r="N354" s="812"/>
      <c r="O354" s="812"/>
      <c r="P354" s="812"/>
      <c r="Q354" s="812"/>
      <c r="R354" s="812"/>
      <c r="S354" s="812"/>
      <c r="T354" s="668"/>
      <c r="U354" s="298"/>
      <c r="V354" s="668"/>
      <c r="W354" s="668"/>
      <c r="X354" s="668"/>
      <c r="Y354" s="298"/>
      <c r="Z354" s="668"/>
      <c r="AA354" s="668"/>
      <c r="AB354" s="668"/>
      <c r="AC354" s="668"/>
    </row>
    <row r="355" spans="1:29">
      <c r="A355" s="668"/>
      <c r="B355" s="668"/>
      <c r="C355" s="668"/>
      <c r="D355" s="668"/>
      <c r="E355" s="668"/>
      <c r="F355" s="668"/>
      <c r="G355" s="668"/>
      <c r="H355" s="668"/>
      <c r="I355" s="668"/>
      <c r="J355" s="668"/>
      <c r="K355" s="668"/>
      <c r="L355" s="668"/>
      <c r="M355" s="298"/>
      <c r="N355" s="812"/>
      <c r="O355" s="812"/>
      <c r="P355" s="812"/>
      <c r="Q355" s="812"/>
      <c r="R355" s="812"/>
      <c r="S355" s="812"/>
      <c r="T355" s="668"/>
      <c r="U355" s="298"/>
      <c r="V355" s="668"/>
      <c r="W355" s="668"/>
      <c r="X355" s="668"/>
      <c r="Y355" s="298"/>
      <c r="Z355" s="668"/>
      <c r="AA355" s="668"/>
      <c r="AB355" s="668"/>
      <c r="AC355" s="668"/>
    </row>
    <row r="356" spans="1:29">
      <c r="A356" s="668"/>
      <c r="B356" s="668"/>
      <c r="C356" s="668"/>
      <c r="D356" s="668"/>
      <c r="E356" s="668"/>
      <c r="F356" s="668"/>
      <c r="G356" s="668"/>
      <c r="H356" s="668"/>
      <c r="I356" s="668"/>
      <c r="J356" s="668"/>
      <c r="K356" s="668"/>
      <c r="L356" s="668"/>
      <c r="M356" s="298"/>
      <c r="N356" s="812"/>
      <c r="O356" s="812"/>
      <c r="P356" s="812"/>
      <c r="Q356" s="812"/>
      <c r="R356" s="812"/>
      <c r="S356" s="812"/>
      <c r="T356" s="668"/>
      <c r="U356" s="298"/>
      <c r="V356" s="668"/>
      <c r="W356" s="668"/>
      <c r="X356" s="668"/>
      <c r="Y356" s="298"/>
      <c r="Z356" s="668"/>
      <c r="AA356" s="668"/>
      <c r="AB356" s="668"/>
      <c r="AC356" s="668"/>
    </row>
    <row r="357" spans="1:29">
      <c r="A357" s="668"/>
      <c r="B357" s="668"/>
      <c r="C357" s="668"/>
      <c r="D357" s="668"/>
      <c r="E357" s="668"/>
      <c r="F357" s="668"/>
      <c r="G357" s="668"/>
      <c r="H357" s="668"/>
      <c r="I357" s="668"/>
      <c r="J357" s="668"/>
      <c r="K357" s="668"/>
      <c r="L357" s="668"/>
      <c r="M357" s="298"/>
      <c r="N357" s="812"/>
      <c r="O357" s="812"/>
      <c r="P357" s="812"/>
      <c r="Q357" s="812"/>
      <c r="R357" s="812"/>
      <c r="S357" s="812"/>
      <c r="T357" s="668"/>
      <c r="U357" s="298"/>
      <c r="V357" s="668"/>
      <c r="W357" s="668"/>
      <c r="X357" s="668"/>
      <c r="Y357" s="298"/>
      <c r="Z357" s="668"/>
      <c r="AA357" s="668"/>
      <c r="AB357" s="668"/>
      <c r="AC357" s="668"/>
    </row>
    <row r="358" spans="1:29">
      <c r="A358" s="668"/>
      <c r="B358" s="668"/>
      <c r="C358" s="668"/>
      <c r="D358" s="668"/>
      <c r="E358" s="668"/>
      <c r="F358" s="668"/>
      <c r="G358" s="668"/>
      <c r="H358" s="668"/>
      <c r="I358" s="668"/>
      <c r="J358" s="668"/>
      <c r="K358" s="668"/>
      <c r="L358" s="668"/>
      <c r="M358" s="298"/>
      <c r="N358" s="812"/>
      <c r="O358" s="812"/>
      <c r="P358" s="812"/>
      <c r="Q358" s="812"/>
      <c r="R358" s="812"/>
      <c r="S358" s="812"/>
      <c r="T358" s="668"/>
      <c r="U358" s="298"/>
      <c r="V358" s="668"/>
      <c r="W358" s="668"/>
      <c r="X358" s="668"/>
      <c r="Y358" s="298"/>
      <c r="Z358" s="668"/>
      <c r="AA358" s="668"/>
      <c r="AB358" s="668"/>
      <c r="AC358" s="668"/>
    </row>
    <row r="359" spans="1:29">
      <c r="A359" s="668"/>
      <c r="B359" s="668"/>
      <c r="C359" s="668"/>
      <c r="D359" s="668"/>
      <c r="E359" s="668"/>
      <c r="F359" s="668"/>
      <c r="G359" s="668"/>
      <c r="H359" s="668"/>
      <c r="I359" s="668"/>
      <c r="J359" s="668"/>
      <c r="K359" s="668"/>
      <c r="L359" s="668"/>
      <c r="M359" s="298"/>
      <c r="N359" s="812"/>
      <c r="O359" s="812"/>
      <c r="P359" s="812"/>
      <c r="Q359" s="812"/>
      <c r="R359" s="812"/>
      <c r="S359" s="812"/>
      <c r="T359" s="668"/>
      <c r="U359" s="298"/>
      <c r="V359" s="668"/>
      <c r="W359" s="668"/>
      <c r="X359" s="668"/>
      <c r="Y359" s="298"/>
      <c r="Z359" s="668"/>
      <c r="AA359" s="668"/>
      <c r="AB359" s="668"/>
      <c r="AC359" s="668"/>
    </row>
    <row r="360" spans="1:29">
      <c r="A360" s="668"/>
      <c r="B360" s="668"/>
      <c r="C360" s="668"/>
      <c r="D360" s="668"/>
      <c r="E360" s="668"/>
      <c r="F360" s="668"/>
      <c r="G360" s="668"/>
      <c r="H360" s="668"/>
      <c r="I360" s="668"/>
      <c r="J360" s="668"/>
      <c r="K360" s="668"/>
      <c r="L360" s="668"/>
      <c r="M360" s="298"/>
      <c r="N360" s="812"/>
      <c r="O360" s="812"/>
      <c r="P360" s="812"/>
      <c r="Q360" s="812"/>
      <c r="R360" s="812"/>
      <c r="S360" s="812"/>
      <c r="T360" s="668"/>
      <c r="U360" s="298"/>
      <c r="V360" s="668"/>
      <c r="W360" s="668"/>
      <c r="X360" s="668"/>
      <c r="Y360" s="298"/>
      <c r="Z360" s="668"/>
      <c r="AA360" s="668"/>
      <c r="AB360" s="668"/>
      <c r="AC360" s="668"/>
    </row>
    <row r="361" spans="1:29">
      <c r="A361" s="668"/>
      <c r="B361" s="668"/>
      <c r="C361" s="668"/>
      <c r="D361" s="668"/>
      <c r="E361" s="668"/>
      <c r="F361" s="668"/>
      <c r="G361" s="668"/>
      <c r="H361" s="668"/>
      <c r="I361" s="668"/>
      <c r="J361" s="668"/>
      <c r="K361" s="668"/>
      <c r="L361" s="668"/>
      <c r="M361" s="298"/>
      <c r="N361" s="812"/>
      <c r="O361" s="812"/>
      <c r="P361" s="812"/>
      <c r="Q361" s="812"/>
      <c r="R361" s="812"/>
      <c r="S361" s="812"/>
      <c r="T361" s="668"/>
      <c r="U361" s="298"/>
      <c r="V361" s="668"/>
      <c r="W361" s="668"/>
      <c r="X361" s="668"/>
      <c r="Y361" s="298"/>
      <c r="Z361" s="668"/>
      <c r="AA361" s="668"/>
      <c r="AB361" s="668"/>
      <c r="AC361" s="668"/>
    </row>
    <row r="362" spans="1:29">
      <c r="A362" s="668"/>
      <c r="B362" s="668"/>
      <c r="C362" s="668"/>
      <c r="D362" s="668"/>
      <c r="E362" s="668"/>
      <c r="F362" s="668"/>
      <c r="G362" s="668"/>
      <c r="H362" s="668"/>
      <c r="I362" s="668"/>
      <c r="J362" s="668"/>
      <c r="K362" s="668"/>
      <c r="L362" s="668"/>
      <c r="M362" s="298"/>
      <c r="N362" s="812"/>
      <c r="O362" s="812"/>
      <c r="P362" s="812"/>
      <c r="Q362" s="812"/>
      <c r="R362" s="812"/>
      <c r="S362" s="812"/>
      <c r="T362" s="668"/>
      <c r="U362" s="298"/>
      <c r="V362" s="668"/>
      <c r="W362" s="668"/>
      <c r="X362" s="668"/>
      <c r="Y362" s="298"/>
      <c r="Z362" s="668"/>
      <c r="AA362" s="668"/>
      <c r="AB362" s="668"/>
      <c r="AC362" s="668"/>
    </row>
    <row r="363" spans="1:29">
      <c r="A363" s="668"/>
      <c r="B363" s="668"/>
      <c r="C363" s="668"/>
      <c r="D363" s="668"/>
      <c r="E363" s="668"/>
      <c r="F363" s="668"/>
      <c r="G363" s="668"/>
      <c r="H363" s="668"/>
      <c r="I363" s="668"/>
      <c r="J363" s="668"/>
      <c r="K363" s="668"/>
      <c r="L363" s="668"/>
      <c r="M363" s="298"/>
      <c r="N363" s="812"/>
      <c r="O363" s="812"/>
      <c r="P363" s="812"/>
      <c r="Q363" s="812"/>
      <c r="R363" s="812"/>
      <c r="S363" s="812"/>
      <c r="T363" s="668"/>
      <c r="U363" s="298"/>
      <c r="V363" s="668"/>
      <c r="W363" s="668"/>
      <c r="X363" s="668"/>
      <c r="Y363" s="298"/>
      <c r="Z363" s="668"/>
      <c r="AA363" s="668"/>
      <c r="AB363" s="668"/>
      <c r="AC363" s="668"/>
    </row>
    <row r="364" spans="1:29">
      <c r="A364" s="668"/>
      <c r="B364" s="668"/>
      <c r="C364" s="668"/>
      <c r="D364" s="668"/>
      <c r="E364" s="668"/>
      <c r="F364" s="668"/>
      <c r="G364" s="668"/>
      <c r="H364" s="668"/>
      <c r="I364" s="668"/>
      <c r="J364" s="668"/>
      <c r="K364" s="668"/>
      <c r="L364" s="668"/>
      <c r="M364" s="298"/>
      <c r="N364" s="812"/>
      <c r="O364" s="812"/>
      <c r="P364" s="812"/>
      <c r="Q364" s="812"/>
      <c r="R364" s="812"/>
      <c r="S364" s="812"/>
      <c r="T364" s="668"/>
      <c r="U364" s="298"/>
      <c r="V364" s="668"/>
      <c r="W364" s="668"/>
      <c r="X364" s="668"/>
      <c r="Y364" s="298"/>
      <c r="Z364" s="668"/>
      <c r="AA364" s="668"/>
      <c r="AB364" s="668"/>
      <c r="AC364" s="668"/>
    </row>
    <row r="365" spans="1:29">
      <c r="A365" s="668"/>
      <c r="B365" s="668"/>
      <c r="C365" s="668"/>
      <c r="D365" s="668"/>
      <c r="E365" s="668"/>
      <c r="F365" s="668"/>
      <c r="G365" s="668"/>
      <c r="H365" s="668"/>
      <c r="I365" s="668"/>
      <c r="J365" s="668"/>
      <c r="K365" s="668"/>
      <c r="L365" s="668"/>
      <c r="M365" s="298"/>
      <c r="N365" s="812"/>
      <c r="O365" s="812"/>
      <c r="P365" s="812"/>
      <c r="Q365" s="812"/>
      <c r="R365" s="812"/>
      <c r="S365" s="812"/>
      <c r="T365" s="668"/>
      <c r="U365" s="298"/>
      <c r="V365" s="668"/>
      <c r="W365" s="668"/>
      <c r="X365" s="668"/>
      <c r="Y365" s="298"/>
      <c r="Z365" s="668"/>
      <c r="AA365" s="668"/>
      <c r="AB365" s="668"/>
      <c r="AC365" s="668"/>
    </row>
    <row r="366" spans="1:29">
      <c r="A366" s="668"/>
      <c r="B366" s="668"/>
      <c r="C366" s="668"/>
      <c r="D366" s="668"/>
      <c r="E366" s="668"/>
      <c r="F366" s="668"/>
      <c r="G366" s="668"/>
      <c r="H366" s="668"/>
      <c r="I366" s="668"/>
      <c r="J366" s="668"/>
      <c r="K366" s="668"/>
      <c r="L366" s="668"/>
      <c r="M366" s="298"/>
      <c r="N366" s="812"/>
      <c r="O366" s="812"/>
      <c r="P366" s="812"/>
      <c r="Q366" s="812"/>
      <c r="R366" s="812"/>
      <c r="S366" s="812"/>
      <c r="T366" s="668"/>
      <c r="U366" s="298"/>
      <c r="V366" s="668"/>
      <c r="W366" s="668"/>
      <c r="X366" s="668"/>
      <c r="Y366" s="298"/>
      <c r="Z366" s="668"/>
      <c r="AA366" s="668"/>
      <c r="AB366" s="668"/>
      <c r="AC366" s="668"/>
    </row>
    <row r="367" spans="1:29">
      <c r="A367" s="668"/>
      <c r="B367" s="668"/>
      <c r="C367" s="668"/>
      <c r="D367" s="668"/>
      <c r="E367" s="668"/>
      <c r="F367" s="668"/>
      <c r="G367" s="668"/>
      <c r="H367" s="668"/>
      <c r="I367" s="668"/>
      <c r="J367" s="668"/>
      <c r="K367" s="668"/>
      <c r="L367" s="668"/>
      <c r="M367" s="298"/>
      <c r="N367" s="812"/>
      <c r="O367" s="812"/>
      <c r="P367" s="812"/>
      <c r="Q367" s="812"/>
      <c r="R367" s="812"/>
      <c r="S367" s="812"/>
      <c r="T367" s="668"/>
      <c r="U367" s="298"/>
      <c r="V367" s="668"/>
      <c r="W367" s="668"/>
      <c r="X367" s="668"/>
      <c r="Y367" s="298"/>
      <c r="Z367" s="668"/>
      <c r="AA367" s="668"/>
      <c r="AB367" s="668"/>
      <c r="AC367" s="668"/>
    </row>
    <row r="368" spans="1:29">
      <c r="A368" s="668"/>
      <c r="B368" s="668"/>
      <c r="C368" s="668"/>
      <c r="D368" s="668"/>
      <c r="E368" s="668"/>
      <c r="F368" s="668"/>
      <c r="G368" s="668"/>
      <c r="H368" s="668"/>
      <c r="I368" s="668"/>
      <c r="J368" s="668"/>
      <c r="K368" s="668"/>
      <c r="L368" s="668"/>
      <c r="M368" s="298"/>
      <c r="N368" s="812"/>
      <c r="O368" s="812"/>
      <c r="P368" s="812"/>
      <c r="Q368" s="812"/>
      <c r="R368" s="812"/>
      <c r="S368" s="812"/>
      <c r="T368" s="668"/>
      <c r="U368" s="298"/>
      <c r="V368" s="668"/>
      <c r="W368" s="668"/>
      <c r="X368" s="668"/>
      <c r="Y368" s="298"/>
      <c r="Z368" s="668"/>
      <c r="AA368" s="668"/>
      <c r="AB368" s="668"/>
      <c r="AC368" s="668"/>
    </row>
    <row r="369" spans="1:29">
      <c r="A369" s="668"/>
      <c r="B369" s="668"/>
      <c r="C369" s="668"/>
      <c r="D369" s="668"/>
      <c r="E369" s="668"/>
      <c r="F369" s="668"/>
      <c r="G369" s="668"/>
      <c r="H369" s="668"/>
      <c r="I369" s="668"/>
      <c r="J369" s="668"/>
      <c r="K369" s="668"/>
      <c r="L369" s="668"/>
      <c r="M369" s="298"/>
      <c r="N369" s="812"/>
      <c r="O369" s="812"/>
      <c r="P369" s="812"/>
      <c r="Q369" s="812"/>
      <c r="R369" s="812"/>
      <c r="S369" s="812"/>
      <c r="T369" s="668"/>
      <c r="U369" s="298"/>
      <c r="V369" s="668"/>
      <c r="W369" s="668"/>
      <c r="X369" s="668"/>
      <c r="Y369" s="298"/>
      <c r="Z369" s="668"/>
      <c r="AA369" s="668"/>
      <c r="AB369" s="668"/>
      <c r="AC369" s="668"/>
    </row>
    <row r="370" spans="1:29">
      <c r="A370" s="668"/>
      <c r="B370" s="668"/>
      <c r="C370" s="668"/>
      <c r="D370" s="668"/>
      <c r="E370" s="668"/>
      <c r="F370" s="668"/>
      <c r="G370" s="668"/>
      <c r="H370" s="668"/>
      <c r="I370" s="668"/>
      <c r="J370" s="668"/>
      <c r="K370" s="668"/>
      <c r="L370" s="668"/>
      <c r="M370" s="298"/>
      <c r="N370" s="812"/>
      <c r="O370" s="812"/>
      <c r="P370" s="812"/>
      <c r="Q370" s="812"/>
      <c r="R370" s="812"/>
      <c r="S370" s="812"/>
      <c r="T370" s="668"/>
      <c r="U370" s="298"/>
      <c r="V370" s="668"/>
      <c r="W370" s="668"/>
      <c r="X370" s="668"/>
      <c r="Y370" s="298"/>
      <c r="Z370" s="668"/>
      <c r="AA370" s="668"/>
      <c r="AB370" s="668"/>
      <c r="AC370" s="668"/>
    </row>
    <row r="371" spans="1:29">
      <c r="A371" s="668"/>
      <c r="B371" s="668"/>
      <c r="C371" s="668"/>
      <c r="D371" s="668"/>
      <c r="E371" s="668"/>
      <c r="F371" s="668"/>
      <c r="G371" s="668"/>
      <c r="H371" s="668"/>
      <c r="I371" s="668"/>
      <c r="J371" s="668"/>
      <c r="K371" s="668"/>
      <c r="L371" s="668"/>
      <c r="M371" s="298"/>
      <c r="N371" s="812"/>
      <c r="O371" s="812"/>
      <c r="P371" s="812"/>
      <c r="Q371" s="812"/>
      <c r="R371" s="812"/>
      <c r="S371" s="812"/>
      <c r="T371" s="668"/>
      <c r="U371" s="298"/>
      <c r="V371" s="668"/>
      <c r="W371" s="668"/>
      <c r="X371" s="668"/>
      <c r="Y371" s="298"/>
      <c r="Z371" s="668"/>
      <c r="AA371" s="668"/>
      <c r="AB371" s="668"/>
      <c r="AC371" s="668"/>
    </row>
    <row r="372" spans="1:29">
      <c r="A372" s="668"/>
      <c r="B372" s="668"/>
      <c r="C372" s="668"/>
      <c r="D372" s="668"/>
      <c r="E372" s="668"/>
      <c r="F372" s="668"/>
      <c r="G372" s="668"/>
      <c r="H372" s="668"/>
      <c r="I372" s="668"/>
      <c r="J372" s="668"/>
      <c r="K372" s="668"/>
      <c r="L372" s="668"/>
      <c r="M372" s="298"/>
      <c r="N372" s="812"/>
      <c r="O372" s="812"/>
      <c r="P372" s="812"/>
      <c r="Q372" s="812"/>
      <c r="R372" s="812"/>
      <c r="S372" s="812"/>
      <c r="T372" s="668"/>
      <c r="U372" s="298"/>
      <c r="V372" s="668"/>
      <c r="W372" s="668"/>
      <c r="X372" s="668"/>
      <c r="Y372" s="298"/>
      <c r="Z372" s="668"/>
      <c r="AA372" s="668"/>
      <c r="AB372" s="668"/>
      <c r="AC372" s="668"/>
    </row>
    <row r="373" spans="1:29">
      <c r="A373" s="668"/>
      <c r="B373" s="668"/>
      <c r="C373" s="668"/>
      <c r="D373" s="668"/>
      <c r="E373" s="668"/>
      <c r="F373" s="668"/>
      <c r="G373" s="668"/>
      <c r="H373" s="668"/>
      <c r="I373" s="668"/>
      <c r="J373" s="668"/>
      <c r="K373" s="668"/>
      <c r="L373" s="668"/>
      <c r="M373" s="298"/>
      <c r="N373" s="812"/>
      <c r="O373" s="812"/>
      <c r="P373" s="812"/>
      <c r="Q373" s="812"/>
      <c r="R373" s="812"/>
      <c r="S373" s="812"/>
      <c r="T373" s="668"/>
      <c r="U373" s="298"/>
      <c r="V373" s="668"/>
      <c r="W373" s="668"/>
      <c r="X373" s="668"/>
      <c r="Y373" s="298"/>
      <c r="Z373" s="668"/>
      <c r="AA373" s="668"/>
      <c r="AB373" s="668"/>
      <c r="AC373" s="668"/>
    </row>
    <row r="374" spans="1:29">
      <c r="A374" s="668"/>
      <c r="B374" s="668"/>
      <c r="C374" s="668"/>
      <c r="D374" s="668"/>
      <c r="E374" s="668"/>
      <c r="F374" s="668"/>
      <c r="G374" s="668"/>
      <c r="H374" s="668"/>
      <c r="I374" s="668"/>
      <c r="J374" s="668"/>
      <c r="K374" s="668"/>
      <c r="L374" s="668"/>
      <c r="M374" s="298"/>
      <c r="N374" s="812"/>
      <c r="O374" s="812"/>
      <c r="P374" s="812"/>
      <c r="Q374" s="812"/>
      <c r="R374" s="812"/>
      <c r="S374" s="812"/>
      <c r="T374" s="668"/>
      <c r="U374" s="298"/>
      <c r="V374" s="668"/>
      <c r="W374" s="668"/>
      <c r="X374" s="668"/>
      <c r="Y374" s="298"/>
      <c r="Z374" s="668"/>
      <c r="AA374" s="668"/>
      <c r="AB374" s="668"/>
      <c r="AC374" s="668"/>
    </row>
    <row r="375" spans="1:29">
      <c r="A375" s="668"/>
      <c r="B375" s="668"/>
      <c r="C375" s="668"/>
      <c r="D375" s="668"/>
      <c r="E375" s="668"/>
      <c r="F375" s="668"/>
      <c r="G375" s="668"/>
      <c r="H375" s="668"/>
      <c r="I375" s="668"/>
      <c r="J375" s="668"/>
      <c r="K375" s="668"/>
      <c r="L375" s="668"/>
      <c r="M375" s="298"/>
      <c r="N375" s="812"/>
      <c r="O375" s="812"/>
      <c r="P375" s="812"/>
      <c r="Q375" s="812"/>
      <c r="R375" s="812"/>
      <c r="S375" s="812"/>
      <c r="T375" s="668"/>
      <c r="U375" s="298"/>
      <c r="V375" s="668"/>
      <c r="W375" s="668"/>
      <c r="X375" s="668"/>
      <c r="Y375" s="298"/>
      <c r="Z375" s="668"/>
      <c r="AA375" s="668"/>
      <c r="AB375" s="668"/>
      <c r="AC375" s="668"/>
    </row>
    <row r="376" spans="1:29">
      <c r="A376" s="668"/>
      <c r="B376" s="668"/>
      <c r="C376" s="668"/>
      <c r="D376" s="668"/>
      <c r="E376" s="668"/>
      <c r="F376" s="668"/>
      <c r="G376" s="668"/>
      <c r="H376" s="668"/>
      <c r="I376" s="668"/>
      <c r="J376" s="668"/>
      <c r="K376" s="668"/>
      <c r="L376" s="668"/>
      <c r="M376" s="298"/>
      <c r="N376" s="812"/>
      <c r="O376" s="812"/>
      <c r="P376" s="812"/>
      <c r="Q376" s="812"/>
      <c r="R376" s="812"/>
      <c r="S376" s="812"/>
      <c r="T376" s="668"/>
      <c r="U376" s="298"/>
      <c r="V376" s="668"/>
      <c r="W376" s="668"/>
      <c r="X376" s="668"/>
      <c r="Y376" s="298"/>
      <c r="Z376" s="668"/>
      <c r="AA376" s="668"/>
      <c r="AB376" s="668"/>
      <c r="AC376" s="668"/>
    </row>
    <row r="377" spans="1:29">
      <c r="A377" s="668"/>
      <c r="B377" s="668"/>
      <c r="C377" s="668"/>
      <c r="D377" s="668"/>
      <c r="E377" s="668"/>
      <c r="F377" s="668"/>
      <c r="G377" s="668"/>
      <c r="H377" s="668"/>
      <c r="I377" s="668"/>
      <c r="J377" s="668"/>
      <c r="K377" s="668"/>
      <c r="L377" s="668"/>
      <c r="M377" s="298"/>
      <c r="N377" s="812"/>
      <c r="O377" s="812"/>
      <c r="P377" s="812"/>
      <c r="Q377" s="812"/>
      <c r="R377" s="812"/>
      <c r="S377" s="812"/>
      <c r="T377" s="668"/>
      <c r="U377" s="298"/>
      <c r="V377" s="668"/>
      <c r="W377" s="668"/>
      <c r="X377" s="668"/>
      <c r="Y377" s="298"/>
      <c r="Z377" s="668"/>
      <c r="AA377" s="668"/>
      <c r="AB377" s="668"/>
      <c r="AC377" s="668"/>
    </row>
    <row r="378" spans="1:29">
      <c r="A378" s="668"/>
      <c r="B378" s="668"/>
      <c r="C378" s="668"/>
      <c r="D378" s="668"/>
      <c r="E378" s="668"/>
      <c r="F378" s="668"/>
      <c r="G378" s="668"/>
      <c r="H378" s="668"/>
      <c r="I378" s="668"/>
      <c r="J378" s="668"/>
      <c r="K378" s="668"/>
      <c r="L378" s="668"/>
      <c r="M378" s="298"/>
      <c r="N378" s="812"/>
      <c r="O378" s="812"/>
      <c r="P378" s="812"/>
      <c r="Q378" s="812"/>
      <c r="R378" s="812"/>
      <c r="S378" s="812"/>
      <c r="T378" s="668"/>
      <c r="U378" s="298"/>
      <c r="V378" s="668"/>
      <c r="W378" s="668"/>
      <c r="X378" s="668"/>
      <c r="Y378" s="298"/>
      <c r="Z378" s="668"/>
      <c r="AA378" s="668"/>
      <c r="AB378" s="668"/>
      <c r="AC378" s="668"/>
    </row>
    <row r="379" spans="1:29">
      <c r="A379" s="668"/>
      <c r="B379" s="668"/>
      <c r="C379" s="668"/>
      <c r="D379" s="668"/>
      <c r="E379" s="668"/>
      <c r="F379" s="668"/>
      <c r="G379" s="668"/>
      <c r="H379" s="668"/>
      <c r="I379" s="668"/>
      <c r="J379" s="668"/>
      <c r="K379" s="668"/>
      <c r="L379" s="668"/>
      <c r="M379" s="298"/>
      <c r="N379" s="812"/>
      <c r="O379" s="812"/>
      <c r="P379" s="812"/>
      <c r="Q379" s="812"/>
      <c r="R379" s="812"/>
      <c r="S379" s="812"/>
      <c r="T379" s="668"/>
      <c r="U379" s="298"/>
      <c r="V379" s="668"/>
      <c r="W379" s="668"/>
      <c r="X379" s="668"/>
      <c r="Y379" s="298"/>
      <c r="Z379" s="668"/>
      <c r="AA379" s="668"/>
      <c r="AB379" s="668"/>
      <c r="AC379" s="668"/>
    </row>
    <row r="380" spans="1:29">
      <c r="A380" s="668"/>
      <c r="B380" s="668"/>
      <c r="C380" s="668"/>
      <c r="D380" s="668"/>
      <c r="E380" s="668"/>
      <c r="F380" s="668"/>
      <c r="G380" s="668"/>
      <c r="H380" s="668"/>
      <c r="I380" s="668"/>
      <c r="J380" s="668"/>
      <c r="K380" s="668"/>
      <c r="L380" s="668"/>
      <c r="M380" s="298"/>
      <c r="N380" s="812"/>
      <c r="O380" s="812"/>
      <c r="P380" s="812"/>
      <c r="Q380" s="812"/>
      <c r="R380" s="812"/>
      <c r="S380" s="812"/>
      <c r="T380" s="668"/>
      <c r="U380" s="298"/>
      <c r="V380" s="668"/>
      <c r="W380" s="668"/>
      <c r="X380" s="668"/>
      <c r="Y380" s="298"/>
      <c r="Z380" s="668"/>
      <c r="AA380" s="668"/>
      <c r="AB380" s="668"/>
      <c r="AC380" s="668"/>
    </row>
    <row r="381" spans="1:29">
      <c r="A381" s="668"/>
      <c r="B381" s="668"/>
      <c r="C381" s="668"/>
      <c r="D381" s="668"/>
      <c r="E381" s="668"/>
      <c r="F381" s="668"/>
      <c r="G381" s="668"/>
      <c r="H381" s="668"/>
      <c r="I381" s="668"/>
      <c r="J381" s="668"/>
      <c r="K381" s="668"/>
      <c r="L381" s="668"/>
      <c r="M381" s="298"/>
      <c r="N381" s="812"/>
      <c r="O381" s="812"/>
      <c r="P381" s="812"/>
      <c r="Q381" s="812"/>
      <c r="R381" s="812"/>
      <c r="S381" s="812"/>
      <c r="T381" s="668"/>
      <c r="U381" s="298"/>
      <c r="V381" s="668"/>
      <c r="W381" s="668"/>
      <c r="X381" s="668"/>
      <c r="Y381" s="298"/>
      <c r="Z381" s="668"/>
      <c r="AA381" s="668"/>
      <c r="AB381" s="668"/>
      <c r="AC381" s="668"/>
    </row>
    <row r="382" spans="1:29">
      <c r="A382" s="668"/>
      <c r="B382" s="668"/>
      <c r="C382" s="668"/>
      <c r="D382" s="668"/>
      <c r="E382" s="668"/>
      <c r="F382" s="668"/>
      <c r="G382" s="668"/>
      <c r="H382" s="668"/>
      <c r="I382" s="668"/>
      <c r="J382" s="668"/>
      <c r="K382" s="668"/>
      <c r="L382" s="668"/>
      <c r="M382" s="298"/>
      <c r="N382" s="812"/>
      <c r="O382" s="812"/>
      <c r="P382" s="812"/>
      <c r="Q382" s="812"/>
      <c r="R382" s="812"/>
      <c r="S382" s="812"/>
      <c r="T382" s="668"/>
      <c r="U382" s="298"/>
      <c r="V382" s="668"/>
      <c r="W382" s="668"/>
      <c r="X382" s="668"/>
      <c r="Y382" s="298"/>
      <c r="Z382" s="668"/>
      <c r="AA382" s="668"/>
      <c r="AB382" s="668"/>
      <c r="AC382" s="668"/>
    </row>
    <row r="383" spans="1:29">
      <c r="A383" s="668"/>
      <c r="B383" s="668"/>
      <c r="C383" s="668"/>
      <c r="D383" s="668"/>
      <c r="E383" s="668"/>
      <c r="F383" s="668"/>
      <c r="G383" s="668"/>
      <c r="H383" s="668"/>
      <c r="I383" s="668"/>
      <c r="J383" s="668"/>
      <c r="K383" s="668"/>
      <c r="L383" s="668"/>
      <c r="M383" s="298"/>
      <c r="N383" s="812"/>
      <c r="O383" s="812"/>
      <c r="P383" s="812"/>
      <c r="Q383" s="812"/>
      <c r="R383" s="812"/>
      <c r="S383" s="812"/>
      <c r="T383" s="668"/>
      <c r="U383" s="298"/>
      <c r="V383" s="668"/>
      <c r="W383" s="668"/>
      <c r="X383" s="668"/>
      <c r="Y383" s="298"/>
      <c r="Z383" s="668"/>
      <c r="AA383" s="668"/>
      <c r="AB383" s="668"/>
      <c r="AC383" s="668"/>
    </row>
    <row r="384" spans="1:29">
      <c r="A384" s="668"/>
      <c r="B384" s="668"/>
      <c r="C384" s="668"/>
      <c r="D384" s="668"/>
      <c r="E384" s="668"/>
      <c r="F384" s="668"/>
      <c r="G384" s="668"/>
      <c r="H384" s="668"/>
      <c r="I384" s="668"/>
      <c r="J384" s="668"/>
      <c r="K384" s="668"/>
      <c r="L384" s="668"/>
      <c r="M384" s="298"/>
      <c r="N384" s="812"/>
      <c r="O384" s="812"/>
      <c r="P384" s="812"/>
      <c r="Q384" s="812"/>
      <c r="R384" s="812"/>
      <c r="S384" s="812"/>
      <c r="T384" s="668"/>
      <c r="U384" s="298"/>
      <c r="V384" s="668"/>
      <c r="W384" s="668"/>
      <c r="X384" s="668"/>
      <c r="Y384" s="298"/>
      <c r="Z384" s="668"/>
      <c r="AA384" s="668"/>
      <c r="AB384" s="668"/>
      <c r="AC384" s="668"/>
    </row>
    <row r="385" spans="1:29">
      <c r="A385" s="668"/>
      <c r="B385" s="668"/>
      <c r="C385" s="668"/>
      <c r="D385" s="668"/>
      <c r="E385" s="668"/>
      <c r="F385" s="668"/>
      <c r="G385" s="668"/>
      <c r="H385" s="668"/>
      <c r="I385" s="668"/>
      <c r="J385" s="668"/>
      <c r="K385" s="668"/>
      <c r="L385" s="668"/>
      <c r="M385" s="298"/>
      <c r="N385" s="812"/>
      <c r="O385" s="812"/>
      <c r="P385" s="812"/>
      <c r="Q385" s="812"/>
      <c r="R385" s="812"/>
      <c r="S385" s="812"/>
      <c r="T385" s="668"/>
      <c r="U385" s="298"/>
      <c r="V385" s="668"/>
      <c r="W385" s="668"/>
      <c r="X385" s="668"/>
      <c r="Y385" s="298"/>
      <c r="Z385" s="668"/>
      <c r="AA385" s="668"/>
      <c r="AB385" s="668"/>
      <c r="AC385" s="668"/>
    </row>
    <row r="386" spans="1:29">
      <c r="A386" s="668"/>
      <c r="B386" s="668"/>
      <c r="C386" s="668"/>
      <c r="D386" s="668"/>
      <c r="E386" s="668"/>
      <c r="F386" s="668"/>
      <c r="G386" s="668"/>
      <c r="H386" s="668"/>
      <c r="I386" s="668"/>
      <c r="J386" s="668"/>
      <c r="K386" s="668"/>
      <c r="L386" s="668"/>
      <c r="M386" s="298"/>
      <c r="N386" s="812"/>
      <c r="O386" s="812"/>
      <c r="P386" s="812"/>
      <c r="Q386" s="812"/>
      <c r="R386" s="812"/>
      <c r="S386" s="812"/>
      <c r="T386" s="668"/>
      <c r="U386" s="298"/>
      <c r="V386" s="668"/>
      <c r="W386" s="668"/>
      <c r="X386" s="668"/>
      <c r="Y386" s="298"/>
      <c r="Z386" s="668"/>
      <c r="AA386" s="668"/>
      <c r="AB386" s="668"/>
      <c r="AC386" s="668"/>
    </row>
    <row r="387" spans="1:29">
      <c r="A387" s="668"/>
      <c r="B387" s="668"/>
      <c r="C387" s="668"/>
      <c r="D387" s="668"/>
      <c r="E387" s="668"/>
      <c r="F387" s="668"/>
      <c r="G387" s="668"/>
      <c r="H387" s="668"/>
      <c r="I387" s="668"/>
      <c r="J387" s="668"/>
      <c r="K387" s="668"/>
      <c r="L387" s="668"/>
      <c r="M387" s="298"/>
      <c r="N387" s="812"/>
      <c r="O387" s="812"/>
      <c r="P387" s="812"/>
      <c r="Q387" s="812"/>
      <c r="R387" s="812"/>
      <c r="S387" s="812"/>
      <c r="T387" s="668"/>
      <c r="U387" s="298"/>
      <c r="V387" s="668"/>
      <c r="W387" s="668"/>
      <c r="X387" s="668"/>
      <c r="Y387" s="298"/>
      <c r="Z387" s="668"/>
      <c r="AA387" s="668"/>
      <c r="AB387" s="668"/>
      <c r="AC387" s="668"/>
    </row>
    <row r="388" spans="1:29">
      <c r="A388" s="668"/>
      <c r="B388" s="668"/>
      <c r="C388" s="668"/>
      <c r="D388" s="668"/>
      <c r="E388" s="668"/>
      <c r="F388" s="668"/>
      <c r="G388" s="668"/>
      <c r="H388" s="668"/>
      <c r="I388" s="668"/>
      <c r="J388" s="668"/>
      <c r="K388" s="668"/>
      <c r="L388" s="668"/>
      <c r="M388" s="298"/>
      <c r="N388" s="812"/>
      <c r="O388" s="812"/>
      <c r="P388" s="812"/>
      <c r="Q388" s="812"/>
      <c r="R388" s="812"/>
      <c r="S388" s="812"/>
      <c r="T388" s="668"/>
      <c r="U388" s="298"/>
      <c r="V388" s="668"/>
      <c r="W388" s="668"/>
      <c r="X388" s="668"/>
      <c r="Y388" s="298"/>
      <c r="Z388" s="668"/>
      <c r="AA388" s="668"/>
      <c r="AB388" s="668"/>
      <c r="AC388" s="668"/>
    </row>
    <row r="389" spans="1:29">
      <c r="A389" s="668"/>
      <c r="B389" s="668"/>
      <c r="C389" s="668"/>
      <c r="D389" s="668"/>
      <c r="E389" s="668"/>
      <c r="F389" s="668"/>
      <c r="G389" s="668"/>
      <c r="H389" s="668"/>
      <c r="I389" s="668"/>
      <c r="J389" s="668"/>
      <c r="K389" s="668"/>
      <c r="L389" s="668"/>
      <c r="M389" s="298"/>
      <c r="N389" s="812"/>
      <c r="O389" s="812"/>
      <c r="P389" s="812"/>
      <c r="Q389" s="812"/>
      <c r="R389" s="812"/>
      <c r="S389" s="812"/>
      <c r="T389" s="668"/>
      <c r="U389" s="298"/>
      <c r="V389" s="668"/>
      <c r="W389" s="668"/>
      <c r="X389" s="668"/>
      <c r="Y389" s="298"/>
      <c r="Z389" s="668"/>
      <c r="AA389" s="668"/>
      <c r="AB389" s="668"/>
      <c r="AC389" s="668"/>
    </row>
    <row r="390" spans="1:29">
      <c r="A390" s="668"/>
      <c r="B390" s="668"/>
      <c r="C390" s="668"/>
      <c r="D390" s="668"/>
      <c r="E390" s="668"/>
      <c r="F390" s="668"/>
      <c r="G390" s="668"/>
      <c r="H390" s="668"/>
      <c r="I390" s="668"/>
      <c r="J390" s="668"/>
      <c r="K390" s="668"/>
      <c r="L390" s="668"/>
      <c r="M390" s="298"/>
      <c r="N390" s="812"/>
      <c r="O390" s="812"/>
      <c r="P390" s="812"/>
      <c r="Q390" s="812"/>
      <c r="R390" s="812"/>
      <c r="S390" s="812"/>
      <c r="T390" s="668"/>
      <c r="U390" s="298"/>
      <c r="V390" s="668"/>
      <c r="W390" s="668"/>
      <c r="X390" s="668"/>
      <c r="Y390" s="298"/>
      <c r="Z390" s="668"/>
      <c r="AA390" s="668"/>
      <c r="AB390" s="668"/>
      <c r="AC390" s="668"/>
    </row>
    <row r="391" spans="1:29">
      <c r="A391" s="668"/>
      <c r="B391" s="668"/>
      <c r="C391" s="668"/>
      <c r="D391" s="668"/>
      <c r="E391" s="668"/>
      <c r="F391" s="668"/>
      <c r="G391" s="668"/>
      <c r="H391" s="668"/>
      <c r="I391" s="668"/>
      <c r="J391" s="668"/>
      <c r="K391" s="668"/>
      <c r="L391" s="668"/>
      <c r="M391" s="298"/>
      <c r="N391" s="812"/>
      <c r="O391" s="812"/>
      <c r="P391" s="812"/>
      <c r="Q391" s="812"/>
      <c r="R391" s="812"/>
      <c r="S391" s="812"/>
      <c r="T391" s="668"/>
      <c r="U391" s="298"/>
      <c r="V391" s="668"/>
      <c r="W391" s="668"/>
      <c r="X391" s="668"/>
      <c r="Y391" s="298"/>
      <c r="Z391" s="668"/>
      <c r="AA391" s="668"/>
      <c r="AB391" s="668"/>
      <c r="AC391" s="668"/>
    </row>
    <row r="392" spans="1:29">
      <c r="A392" s="668"/>
      <c r="B392" s="668"/>
      <c r="C392" s="668"/>
      <c r="D392" s="668"/>
      <c r="E392" s="668"/>
      <c r="F392" s="668"/>
      <c r="G392" s="668"/>
      <c r="H392" s="668"/>
      <c r="I392" s="668"/>
      <c r="J392" s="668"/>
      <c r="K392" s="668"/>
      <c r="L392" s="668"/>
      <c r="M392" s="298"/>
      <c r="N392" s="812"/>
      <c r="O392" s="812"/>
      <c r="P392" s="812"/>
      <c r="Q392" s="812"/>
      <c r="R392" s="812"/>
      <c r="S392" s="812"/>
      <c r="T392" s="668"/>
      <c r="U392" s="298"/>
      <c r="V392" s="668"/>
      <c r="W392" s="668"/>
      <c r="X392" s="668"/>
      <c r="Y392" s="298"/>
      <c r="Z392" s="668"/>
      <c r="AA392" s="668"/>
      <c r="AB392" s="668"/>
      <c r="AC392" s="668"/>
    </row>
    <row r="393" spans="1:29">
      <c r="A393" s="668"/>
      <c r="B393" s="668"/>
      <c r="C393" s="668"/>
      <c r="D393" s="668"/>
      <c r="E393" s="668"/>
      <c r="F393" s="668"/>
      <c r="G393" s="668"/>
      <c r="H393" s="668"/>
      <c r="I393" s="668"/>
      <c r="J393" s="668"/>
      <c r="K393" s="668"/>
      <c r="L393" s="668"/>
      <c r="M393" s="298"/>
      <c r="N393" s="812"/>
      <c r="O393" s="812"/>
      <c r="P393" s="812"/>
      <c r="Q393" s="812"/>
      <c r="R393" s="812"/>
      <c r="S393" s="812"/>
      <c r="T393" s="668"/>
      <c r="U393" s="298"/>
      <c r="V393" s="668"/>
      <c r="W393" s="668"/>
      <c r="X393" s="668"/>
      <c r="Y393" s="298"/>
      <c r="Z393" s="668"/>
      <c r="AA393" s="668"/>
      <c r="AB393" s="668"/>
      <c r="AC393" s="668"/>
    </row>
    <row r="394" spans="1:29">
      <c r="A394" s="668"/>
      <c r="B394" s="668"/>
      <c r="C394" s="668"/>
      <c r="D394" s="668"/>
      <c r="E394" s="668"/>
      <c r="F394" s="668"/>
      <c r="G394" s="668"/>
      <c r="H394" s="668"/>
      <c r="I394" s="668"/>
      <c r="J394" s="668"/>
      <c r="K394" s="668"/>
      <c r="L394" s="668"/>
      <c r="M394" s="298"/>
      <c r="N394" s="812"/>
      <c r="O394" s="812"/>
      <c r="P394" s="812"/>
      <c r="Q394" s="812"/>
      <c r="R394" s="812"/>
      <c r="S394" s="812"/>
      <c r="T394" s="668"/>
      <c r="U394" s="298"/>
      <c r="V394" s="668"/>
      <c r="W394" s="668"/>
      <c r="X394" s="668"/>
      <c r="Y394" s="298"/>
      <c r="Z394" s="668"/>
      <c r="AA394" s="668"/>
      <c r="AB394" s="668"/>
      <c r="AC394" s="668"/>
    </row>
    <row r="395" spans="1:29">
      <c r="A395" s="668"/>
      <c r="B395" s="668"/>
      <c r="C395" s="668"/>
      <c r="D395" s="668"/>
      <c r="E395" s="668"/>
      <c r="F395" s="668"/>
      <c r="G395" s="668"/>
      <c r="H395" s="668"/>
      <c r="I395" s="668"/>
      <c r="J395" s="668"/>
      <c r="K395" s="668"/>
      <c r="L395" s="668"/>
      <c r="M395" s="298"/>
      <c r="N395" s="812"/>
      <c r="O395" s="812"/>
      <c r="P395" s="812"/>
      <c r="Q395" s="812"/>
      <c r="R395" s="812"/>
      <c r="S395" s="812"/>
      <c r="T395" s="668"/>
      <c r="U395" s="298"/>
      <c r="V395" s="668"/>
      <c r="W395" s="668"/>
      <c r="X395" s="668"/>
      <c r="Y395" s="298"/>
      <c r="Z395" s="668"/>
      <c r="AA395" s="668"/>
      <c r="AB395" s="668"/>
      <c r="AC395" s="668"/>
    </row>
    <row r="396" spans="1:29">
      <c r="A396" s="668"/>
      <c r="B396" s="668"/>
      <c r="C396" s="668"/>
      <c r="D396" s="668"/>
      <c r="E396" s="668"/>
      <c r="F396" s="668"/>
      <c r="G396" s="668"/>
      <c r="H396" s="668"/>
      <c r="I396" s="668"/>
      <c r="J396" s="668"/>
      <c r="K396" s="668"/>
      <c r="L396" s="668"/>
      <c r="M396" s="298"/>
      <c r="N396" s="812"/>
      <c r="O396" s="812"/>
      <c r="P396" s="812"/>
      <c r="Q396" s="812"/>
      <c r="R396" s="812"/>
      <c r="S396" s="812"/>
      <c r="T396" s="668"/>
      <c r="U396" s="298"/>
      <c r="V396" s="668"/>
      <c r="W396" s="668"/>
      <c r="X396" s="668"/>
      <c r="Y396" s="298"/>
      <c r="Z396" s="668"/>
      <c r="AA396" s="668"/>
      <c r="AB396" s="668"/>
      <c r="AC396" s="668"/>
    </row>
    <row r="397" spans="1:29">
      <c r="A397" s="668"/>
      <c r="B397" s="668"/>
      <c r="C397" s="668"/>
      <c r="D397" s="668"/>
      <c r="E397" s="668"/>
      <c r="F397" s="668"/>
      <c r="G397" s="668"/>
      <c r="H397" s="668"/>
      <c r="I397" s="668"/>
      <c r="J397" s="668"/>
      <c r="K397" s="668"/>
      <c r="L397" s="668"/>
      <c r="M397" s="298"/>
      <c r="N397" s="812"/>
      <c r="O397" s="812"/>
      <c r="P397" s="812"/>
      <c r="Q397" s="812"/>
      <c r="R397" s="812"/>
      <c r="S397" s="812"/>
      <c r="T397" s="668"/>
      <c r="U397" s="298"/>
      <c r="V397" s="668"/>
      <c r="W397" s="668"/>
      <c r="X397" s="668"/>
      <c r="Y397" s="298"/>
      <c r="Z397" s="668"/>
      <c r="AA397" s="668"/>
      <c r="AB397" s="668"/>
      <c r="AC397" s="668"/>
    </row>
    <row r="398" spans="1:29">
      <c r="A398" s="668"/>
      <c r="B398" s="668"/>
      <c r="C398" s="668"/>
      <c r="D398" s="668"/>
      <c r="E398" s="668"/>
      <c r="F398" s="668"/>
      <c r="G398" s="668"/>
      <c r="H398" s="668"/>
      <c r="I398" s="668"/>
      <c r="J398" s="668"/>
      <c r="K398" s="668"/>
      <c r="L398" s="668"/>
      <c r="M398" s="298"/>
      <c r="N398" s="812"/>
      <c r="O398" s="812"/>
      <c r="P398" s="812"/>
      <c r="Q398" s="812"/>
      <c r="R398" s="812"/>
      <c r="S398" s="812"/>
      <c r="T398" s="668"/>
      <c r="U398" s="298"/>
      <c r="V398" s="668"/>
      <c r="W398" s="668"/>
      <c r="X398" s="668"/>
      <c r="Y398" s="298"/>
      <c r="Z398" s="668"/>
      <c r="AA398" s="668"/>
      <c r="AB398" s="668"/>
      <c r="AC398" s="668"/>
    </row>
    <row r="399" spans="1:29">
      <c r="A399" s="668"/>
      <c r="B399" s="668"/>
      <c r="C399" s="668"/>
      <c r="D399" s="668"/>
      <c r="E399" s="668"/>
      <c r="F399" s="668"/>
      <c r="G399" s="668"/>
      <c r="H399" s="668"/>
      <c r="I399" s="668"/>
      <c r="J399" s="668"/>
      <c r="K399" s="668"/>
      <c r="L399" s="668"/>
      <c r="M399" s="298"/>
      <c r="N399" s="812"/>
      <c r="O399" s="812"/>
      <c r="P399" s="812"/>
      <c r="Q399" s="812"/>
      <c r="R399" s="812"/>
      <c r="S399" s="812"/>
      <c r="T399" s="668"/>
      <c r="U399" s="298"/>
      <c r="V399" s="668"/>
      <c r="W399" s="668"/>
      <c r="X399" s="668"/>
      <c r="Y399" s="298"/>
      <c r="Z399" s="668"/>
      <c r="AA399" s="668"/>
      <c r="AB399" s="668"/>
      <c r="AC399" s="668"/>
    </row>
    <row r="400" spans="1:29">
      <c r="A400" s="668"/>
      <c r="B400" s="668"/>
      <c r="C400" s="668"/>
      <c r="D400" s="668"/>
      <c r="E400" s="668"/>
      <c r="F400" s="668"/>
      <c r="G400" s="668"/>
      <c r="H400" s="668"/>
      <c r="I400" s="668"/>
      <c r="J400" s="668"/>
      <c r="K400" s="668"/>
      <c r="L400" s="668"/>
      <c r="M400" s="298"/>
      <c r="N400" s="812"/>
      <c r="O400" s="812"/>
      <c r="P400" s="812"/>
      <c r="Q400" s="812"/>
      <c r="R400" s="812"/>
      <c r="S400" s="812"/>
      <c r="T400" s="668"/>
      <c r="U400" s="298"/>
      <c r="V400" s="668"/>
      <c r="W400" s="668"/>
      <c r="X400" s="668"/>
      <c r="Y400" s="298"/>
      <c r="Z400" s="668"/>
      <c r="AA400" s="668"/>
      <c r="AB400" s="668"/>
      <c r="AC400" s="668"/>
    </row>
    <row r="401" spans="1:29">
      <c r="A401" s="668"/>
      <c r="B401" s="668"/>
      <c r="C401" s="668"/>
      <c r="D401" s="668"/>
      <c r="E401" s="668"/>
      <c r="F401" s="668"/>
      <c r="G401" s="668"/>
      <c r="H401" s="668"/>
      <c r="I401" s="668"/>
      <c r="J401" s="668"/>
      <c r="K401" s="668"/>
      <c r="L401" s="668"/>
      <c r="M401" s="298"/>
      <c r="N401" s="812"/>
      <c r="O401" s="812"/>
      <c r="P401" s="812"/>
      <c r="Q401" s="812"/>
      <c r="R401" s="812"/>
      <c r="S401" s="812"/>
      <c r="T401" s="668"/>
      <c r="U401" s="298"/>
      <c r="V401" s="668"/>
      <c r="W401" s="668"/>
      <c r="X401" s="668"/>
      <c r="Y401" s="298"/>
      <c r="Z401" s="668"/>
      <c r="AA401" s="668"/>
      <c r="AB401" s="668"/>
      <c r="AC401" s="668"/>
    </row>
    <row r="402" spans="1:29">
      <c r="A402" s="668"/>
      <c r="B402" s="668"/>
      <c r="C402" s="668"/>
      <c r="D402" s="668"/>
      <c r="E402" s="668"/>
      <c r="F402" s="668"/>
      <c r="G402" s="668"/>
      <c r="H402" s="668"/>
      <c r="I402" s="668"/>
      <c r="J402" s="668"/>
      <c r="K402" s="668"/>
      <c r="L402" s="668"/>
      <c r="M402" s="298"/>
      <c r="N402" s="812"/>
      <c r="O402" s="812"/>
      <c r="P402" s="812"/>
      <c r="Q402" s="812"/>
      <c r="R402" s="812"/>
      <c r="S402" s="812"/>
      <c r="T402" s="668"/>
      <c r="U402" s="298"/>
      <c r="V402" s="668"/>
      <c r="W402" s="668"/>
      <c r="X402" s="668"/>
      <c r="Y402" s="298"/>
      <c r="Z402" s="668"/>
      <c r="AA402" s="668"/>
      <c r="AB402" s="668"/>
      <c r="AC402" s="668"/>
    </row>
    <row r="403" spans="1:29">
      <c r="A403" s="668"/>
      <c r="B403" s="668"/>
      <c r="C403" s="668"/>
      <c r="D403" s="668"/>
      <c r="E403" s="668"/>
      <c r="F403" s="668"/>
      <c r="G403" s="668"/>
      <c r="H403" s="668"/>
      <c r="I403" s="668"/>
      <c r="J403" s="668"/>
      <c r="K403" s="668"/>
      <c r="L403" s="668"/>
      <c r="M403" s="298"/>
      <c r="N403" s="812"/>
      <c r="O403" s="812"/>
      <c r="P403" s="812"/>
      <c r="Q403" s="812"/>
      <c r="R403" s="812"/>
      <c r="S403" s="812"/>
      <c r="T403" s="668"/>
      <c r="U403" s="298"/>
      <c r="V403" s="668"/>
      <c r="W403" s="668"/>
      <c r="X403" s="668"/>
      <c r="Y403" s="298"/>
      <c r="Z403" s="668"/>
      <c r="AA403" s="668"/>
      <c r="AB403" s="668"/>
      <c r="AC403" s="668"/>
    </row>
    <row r="404" spans="1:29">
      <c r="A404" s="668"/>
      <c r="B404" s="668"/>
      <c r="C404" s="668"/>
      <c r="D404" s="668"/>
      <c r="E404" s="668"/>
      <c r="F404" s="668"/>
      <c r="G404" s="668"/>
      <c r="H404" s="668"/>
      <c r="I404" s="668"/>
      <c r="J404" s="668"/>
      <c r="K404" s="668"/>
      <c r="L404" s="668"/>
      <c r="M404" s="298"/>
      <c r="N404" s="812"/>
      <c r="O404" s="812"/>
      <c r="P404" s="812"/>
      <c r="Q404" s="812"/>
      <c r="R404" s="812"/>
      <c r="S404" s="812"/>
      <c r="T404" s="668"/>
      <c r="U404" s="298"/>
      <c r="V404" s="668"/>
      <c r="W404" s="668"/>
      <c r="X404" s="668"/>
      <c r="Y404" s="298"/>
      <c r="Z404" s="668"/>
      <c r="AA404" s="668"/>
      <c r="AB404" s="668"/>
      <c r="AC404" s="668"/>
    </row>
    <row r="405" spans="1:29">
      <c r="A405" s="668"/>
      <c r="B405" s="668"/>
      <c r="C405" s="668"/>
      <c r="D405" s="668"/>
      <c r="E405" s="668"/>
      <c r="F405" s="668"/>
      <c r="G405" s="668"/>
      <c r="H405" s="668"/>
      <c r="I405" s="668"/>
      <c r="J405" s="668"/>
      <c r="K405" s="668"/>
      <c r="L405" s="668"/>
      <c r="M405" s="298"/>
      <c r="N405" s="812"/>
      <c r="O405" s="812"/>
      <c r="P405" s="812"/>
      <c r="Q405" s="812"/>
      <c r="R405" s="812"/>
      <c r="S405" s="812"/>
      <c r="T405" s="668"/>
      <c r="U405" s="298"/>
      <c r="V405" s="668"/>
      <c r="W405" s="668"/>
      <c r="X405" s="668"/>
      <c r="Y405" s="298"/>
      <c r="Z405" s="668"/>
      <c r="AA405" s="668"/>
      <c r="AB405" s="668"/>
      <c r="AC405" s="668"/>
    </row>
    <row r="406" spans="1:29">
      <c r="A406" s="668"/>
      <c r="B406" s="668"/>
      <c r="C406" s="668"/>
      <c r="D406" s="668"/>
      <c r="E406" s="668"/>
      <c r="F406" s="668"/>
      <c r="G406" s="668"/>
      <c r="H406" s="668"/>
      <c r="I406" s="668"/>
      <c r="J406" s="668"/>
      <c r="K406" s="668"/>
      <c r="L406" s="668"/>
      <c r="M406" s="298"/>
      <c r="N406" s="812"/>
      <c r="O406" s="812"/>
      <c r="P406" s="812"/>
      <c r="Q406" s="812"/>
      <c r="R406" s="812"/>
      <c r="S406" s="812"/>
      <c r="T406" s="668"/>
      <c r="U406" s="298"/>
      <c r="V406" s="668"/>
      <c r="W406" s="668"/>
      <c r="X406" s="668"/>
      <c r="Y406" s="298"/>
      <c r="Z406" s="668"/>
      <c r="AA406" s="668"/>
      <c r="AB406" s="668"/>
      <c r="AC406" s="668"/>
    </row>
    <row r="407" spans="1:29">
      <c r="A407" s="668"/>
      <c r="B407" s="668"/>
      <c r="C407" s="668"/>
      <c r="D407" s="668"/>
      <c r="E407" s="668"/>
      <c r="F407" s="668"/>
      <c r="G407" s="668"/>
      <c r="H407" s="668"/>
      <c r="I407" s="668"/>
      <c r="J407" s="668"/>
      <c r="K407" s="668"/>
      <c r="L407" s="668"/>
      <c r="M407" s="298"/>
      <c r="N407" s="812"/>
      <c r="O407" s="812"/>
      <c r="P407" s="812"/>
      <c r="Q407" s="812"/>
      <c r="R407" s="812"/>
      <c r="S407" s="812"/>
      <c r="T407" s="668"/>
      <c r="U407" s="298"/>
      <c r="V407" s="668"/>
      <c r="W407" s="668"/>
      <c r="X407" s="668"/>
      <c r="Y407" s="298"/>
      <c r="Z407" s="668"/>
      <c r="AA407" s="668"/>
      <c r="AB407" s="668"/>
      <c r="AC407" s="668"/>
    </row>
    <row r="408" spans="1:29">
      <c r="A408" s="668"/>
      <c r="B408" s="668"/>
      <c r="C408" s="668"/>
      <c r="D408" s="668"/>
      <c r="E408" s="668"/>
      <c r="F408" s="668"/>
      <c r="G408" s="668"/>
      <c r="H408" s="668"/>
      <c r="I408" s="668"/>
      <c r="J408" s="668"/>
      <c r="K408" s="668"/>
      <c r="L408" s="668"/>
      <c r="M408" s="298"/>
      <c r="N408" s="812"/>
      <c r="O408" s="812"/>
      <c r="P408" s="812"/>
      <c r="Q408" s="812"/>
      <c r="R408" s="812"/>
      <c r="S408" s="812"/>
      <c r="T408" s="668"/>
      <c r="U408" s="298"/>
      <c r="V408" s="668"/>
      <c r="W408" s="668"/>
      <c r="X408" s="668"/>
      <c r="Y408" s="298"/>
      <c r="Z408" s="668"/>
      <c r="AA408" s="668"/>
      <c r="AB408" s="668"/>
      <c r="AC408" s="668"/>
    </row>
    <row r="409" spans="1:29">
      <c r="A409" s="668"/>
      <c r="B409" s="668"/>
      <c r="C409" s="668"/>
      <c r="D409" s="668"/>
      <c r="E409" s="668"/>
      <c r="F409" s="668"/>
      <c r="G409" s="668"/>
      <c r="H409" s="668"/>
      <c r="I409" s="668"/>
      <c r="J409" s="668"/>
      <c r="K409" s="668"/>
      <c r="L409" s="668"/>
      <c r="M409" s="298"/>
      <c r="N409" s="812"/>
      <c r="O409" s="812"/>
      <c r="P409" s="812"/>
      <c r="Q409" s="812"/>
      <c r="R409" s="812"/>
      <c r="S409" s="812"/>
      <c r="T409" s="668"/>
      <c r="U409" s="298"/>
      <c r="V409" s="668"/>
      <c r="W409" s="668"/>
      <c r="X409" s="668"/>
      <c r="Y409" s="298"/>
      <c r="Z409" s="668"/>
      <c r="AA409" s="668"/>
      <c r="AB409" s="668"/>
      <c r="AC409" s="668"/>
    </row>
    <row r="410" spans="1:29">
      <c r="A410" s="668"/>
      <c r="B410" s="668"/>
      <c r="C410" s="668"/>
      <c r="D410" s="668"/>
      <c r="E410" s="668"/>
      <c r="F410" s="668"/>
      <c r="G410" s="668"/>
      <c r="H410" s="668"/>
      <c r="I410" s="668"/>
      <c r="J410" s="668"/>
      <c r="K410" s="668"/>
      <c r="L410" s="668"/>
      <c r="M410" s="298"/>
      <c r="N410" s="812"/>
      <c r="O410" s="812"/>
      <c r="P410" s="812"/>
      <c r="Q410" s="812"/>
      <c r="R410" s="812"/>
      <c r="S410" s="812"/>
      <c r="T410" s="668"/>
      <c r="U410" s="298"/>
      <c r="V410" s="668"/>
      <c r="W410" s="668"/>
      <c r="X410" s="668"/>
      <c r="Y410" s="298"/>
      <c r="Z410" s="668"/>
      <c r="AA410" s="668"/>
      <c r="AB410" s="668"/>
      <c r="AC410" s="668"/>
    </row>
    <row r="411" spans="1:29">
      <c r="A411" s="668"/>
      <c r="B411" s="668"/>
      <c r="C411" s="668"/>
      <c r="D411" s="668"/>
      <c r="E411" s="668"/>
      <c r="F411" s="668"/>
      <c r="G411" s="668"/>
      <c r="H411" s="668"/>
      <c r="I411" s="668"/>
      <c r="J411" s="668"/>
      <c r="K411" s="668"/>
      <c r="L411" s="668"/>
      <c r="M411" s="298"/>
      <c r="N411" s="812"/>
      <c r="O411" s="812"/>
      <c r="P411" s="812"/>
      <c r="Q411" s="812"/>
      <c r="R411" s="812"/>
      <c r="S411" s="812"/>
      <c r="T411" s="668"/>
      <c r="U411" s="298"/>
      <c r="V411" s="668"/>
      <c r="W411" s="668"/>
      <c r="X411" s="668"/>
      <c r="Y411" s="298"/>
      <c r="Z411" s="668"/>
      <c r="AA411" s="668"/>
      <c r="AB411" s="668"/>
      <c r="AC411" s="668"/>
    </row>
    <row r="412" spans="1:29">
      <c r="A412" s="668"/>
      <c r="B412" s="668"/>
      <c r="C412" s="668"/>
      <c r="D412" s="668"/>
      <c r="E412" s="668"/>
      <c r="F412" s="668"/>
      <c r="G412" s="668"/>
      <c r="H412" s="668"/>
      <c r="I412" s="668"/>
      <c r="J412" s="668"/>
      <c r="K412" s="668"/>
      <c r="L412" s="668"/>
      <c r="M412" s="298"/>
      <c r="N412" s="812"/>
      <c r="O412" s="812"/>
      <c r="P412" s="812"/>
      <c r="Q412" s="812"/>
      <c r="R412" s="812"/>
      <c r="S412" s="812"/>
      <c r="T412" s="668"/>
      <c r="U412" s="298"/>
      <c r="V412" s="668"/>
      <c r="W412" s="668"/>
      <c r="X412" s="668"/>
      <c r="Y412" s="298"/>
      <c r="Z412" s="668"/>
      <c r="AA412" s="668"/>
      <c r="AB412" s="668"/>
      <c r="AC412" s="668"/>
    </row>
    <row r="413" spans="1:29">
      <c r="A413" s="668"/>
      <c r="B413" s="668"/>
      <c r="C413" s="668"/>
      <c r="D413" s="668"/>
      <c r="E413" s="668"/>
      <c r="F413" s="668"/>
      <c r="G413" s="668"/>
      <c r="H413" s="668"/>
      <c r="I413" s="668"/>
      <c r="J413" s="668"/>
      <c r="K413" s="668"/>
      <c r="L413" s="668"/>
      <c r="M413" s="298"/>
      <c r="N413" s="812"/>
      <c r="O413" s="812"/>
      <c r="P413" s="812"/>
      <c r="Q413" s="812"/>
      <c r="R413" s="812"/>
      <c r="S413" s="812"/>
      <c r="T413" s="668"/>
      <c r="U413" s="298"/>
      <c r="V413" s="668"/>
      <c r="W413" s="668"/>
      <c r="X413" s="668"/>
      <c r="Y413" s="298"/>
      <c r="Z413" s="668"/>
      <c r="AA413" s="668"/>
      <c r="AB413" s="668"/>
      <c r="AC413" s="668"/>
    </row>
    <row r="414" spans="1:29">
      <c r="A414" s="668"/>
      <c r="B414" s="668"/>
      <c r="C414" s="668"/>
      <c r="D414" s="668"/>
      <c r="E414" s="668"/>
      <c r="F414" s="668"/>
      <c r="G414" s="668"/>
      <c r="H414" s="668"/>
      <c r="I414" s="668"/>
      <c r="J414" s="668"/>
      <c r="K414" s="668"/>
      <c r="L414" s="668"/>
      <c r="M414" s="298"/>
      <c r="N414" s="812"/>
      <c r="O414" s="812"/>
      <c r="P414" s="812"/>
      <c r="Q414" s="812"/>
      <c r="R414" s="812"/>
      <c r="S414" s="812"/>
      <c r="T414" s="668"/>
      <c r="U414" s="298"/>
      <c r="V414" s="668"/>
      <c r="W414" s="668"/>
      <c r="X414" s="668"/>
      <c r="Y414" s="298"/>
      <c r="Z414" s="668"/>
      <c r="AA414" s="668"/>
      <c r="AB414" s="668"/>
      <c r="AC414" s="668"/>
    </row>
    <row r="415" spans="1:29">
      <c r="A415" s="668"/>
      <c r="B415" s="668"/>
      <c r="C415" s="668"/>
      <c r="D415" s="668"/>
      <c r="E415" s="668"/>
      <c r="F415" s="668"/>
      <c r="G415" s="668"/>
      <c r="H415" s="668"/>
      <c r="I415" s="668"/>
      <c r="J415" s="668"/>
      <c r="K415" s="668"/>
      <c r="L415" s="668"/>
      <c r="M415" s="298"/>
      <c r="N415" s="812"/>
      <c r="O415" s="812"/>
      <c r="P415" s="812"/>
      <c r="Q415" s="812"/>
      <c r="R415" s="812"/>
      <c r="S415" s="812"/>
      <c r="T415" s="668"/>
      <c r="U415" s="298"/>
      <c r="V415" s="668"/>
      <c r="W415" s="668"/>
      <c r="X415" s="668"/>
      <c r="Y415" s="298"/>
      <c r="Z415" s="668"/>
      <c r="AA415" s="668"/>
      <c r="AB415" s="668"/>
      <c r="AC415" s="668"/>
    </row>
    <row r="416" spans="1:29">
      <c r="A416" s="668"/>
      <c r="B416" s="668"/>
      <c r="C416" s="668"/>
      <c r="D416" s="668"/>
      <c r="E416" s="668"/>
      <c r="F416" s="668"/>
      <c r="G416" s="668"/>
      <c r="H416" s="668"/>
      <c r="I416" s="668"/>
      <c r="J416" s="668"/>
      <c r="K416" s="668"/>
      <c r="L416" s="668"/>
      <c r="M416" s="298"/>
      <c r="N416" s="812"/>
      <c r="O416" s="812"/>
      <c r="P416" s="812"/>
      <c r="Q416" s="812"/>
      <c r="R416" s="812"/>
      <c r="S416" s="812"/>
      <c r="T416" s="668"/>
      <c r="U416" s="298"/>
      <c r="V416" s="668"/>
      <c r="W416" s="668"/>
      <c r="X416" s="668"/>
      <c r="Y416" s="298"/>
      <c r="Z416" s="668"/>
      <c r="AA416" s="668"/>
      <c r="AB416" s="668"/>
      <c r="AC416" s="668"/>
    </row>
    <row r="417" spans="1:29">
      <c r="A417" s="668"/>
      <c r="B417" s="668"/>
      <c r="C417" s="668"/>
      <c r="D417" s="668"/>
      <c r="E417" s="668"/>
      <c r="F417" s="668"/>
      <c r="G417" s="668"/>
      <c r="H417" s="668"/>
      <c r="I417" s="668"/>
      <c r="J417" s="668"/>
      <c r="K417" s="668"/>
      <c r="L417" s="668"/>
      <c r="M417" s="298"/>
      <c r="N417" s="812"/>
      <c r="O417" s="812"/>
      <c r="P417" s="812"/>
      <c r="Q417" s="812"/>
      <c r="R417" s="812"/>
      <c r="S417" s="812"/>
      <c r="T417" s="668"/>
      <c r="U417" s="298"/>
      <c r="V417" s="668"/>
      <c r="W417" s="668"/>
      <c r="X417" s="668"/>
      <c r="Y417" s="298"/>
      <c r="Z417" s="668"/>
      <c r="AA417" s="668"/>
      <c r="AB417" s="668"/>
      <c r="AC417" s="668"/>
    </row>
    <row r="418" spans="1:29">
      <c r="A418" s="668"/>
      <c r="B418" s="668"/>
      <c r="C418" s="668"/>
      <c r="D418" s="668"/>
      <c r="E418" s="668"/>
      <c r="F418" s="668"/>
      <c r="G418" s="668"/>
      <c r="H418" s="668"/>
      <c r="I418" s="668"/>
      <c r="J418" s="668"/>
      <c r="K418" s="668"/>
      <c r="L418" s="668"/>
      <c r="M418" s="298"/>
      <c r="N418" s="812"/>
      <c r="O418" s="812"/>
      <c r="P418" s="812"/>
      <c r="Q418" s="812"/>
      <c r="R418" s="812"/>
      <c r="S418" s="812"/>
      <c r="T418" s="668"/>
      <c r="U418" s="298"/>
      <c r="V418" s="668"/>
      <c r="W418" s="668"/>
      <c r="X418" s="668"/>
      <c r="Y418" s="298"/>
      <c r="Z418" s="668"/>
      <c r="AA418" s="668"/>
      <c r="AB418" s="668"/>
      <c r="AC418" s="668"/>
    </row>
    <row r="419" spans="1:29">
      <c r="A419" s="668"/>
      <c r="B419" s="668"/>
      <c r="C419" s="668"/>
      <c r="D419" s="668"/>
      <c r="E419" s="668"/>
      <c r="F419" s="668"/>
      <c r="G419" s="668"/>
      <c r="H419" s="668"/>
      <c r="I419" s="668"/>
      <c r="J419" s="668"/>
      <c r="K419" s="668"/>
      <c r="L419" s="668"/>
      <c r="M419" s="298"/>
      <c r="N419" s="812"/>
      <c r="O419" s="812"/>
      <c r="P419" s="812"/>
      <c r="Q419" s="812"/>
      <c r="R419" s="812"/>
      <c r="S419" s="812"/>
      <c r="T419" s="668"/>
      <c r="U419" s="298"/>
      <c r="V419" s="668"/>
      <c r="W419" s="668"/>
      <c r="X419" s="668"/>
      <c r="Y419" s="298"/>
      <c r="Z419" s="668"/>
      <c r="AA419" s="668"/>
      <c r="AB419" s="668"/>
      <c r="AC419" s="668"/>
    </row>
    <row r="420" spans="1:29">
      <c r="A420" s="668"/>
      <c r="B420" s="668"/>
      <c r="C420" s="668"/>
      <c r="D420" s="668"/>
      <c r="E420" s="668"/>
      <c r="F420" s="668"/>
      <c r="G420" s="668"/>
      <c r="H420" s="668"/>
      <c r="I420" s="668"/>
      <c r="J420" s="668"/>
      <c r="K420" s="668"/>
      <c r="L420" s="668"/>
      <c r="M420" s="298"/>
      <c r="N420" s="812"/>
      <c r="O420" s="812"/>
      <c r="P420" s="812"/>
      <c r="Q420" s="812"/>
      <c r="R420" s="812"/>
      <c r="S420" s="812"/>
      <c r="T420" s="668"/>
      <c r="U420" s="298"/>
      <c r="V420" s="668"/>
      <c r="W420" s="668"/>
      <c r="X420" s="668"/>
      <c r="Y420" s="298"/>
      <c r="Z420" s="668"/>
      <c r="AA420" s="668"/>
      <c r="AB420" s="668"/>
      <c r="AC420" s="668"/>
    </row>
    <row r="421" spans="1:29">
      <c r="A421" s="668"/>
      <c r="B421" s="668"/>
      <c r="C421" s="668"/>
      <c r="D421" s="668"/>
      <c r="E421" s="668"/>
      <c r="F421" s="668"/>
      <c r="G421" s="668"/>
      <c r="H421" s="668"/>
      <c r="I421" s="668"/>
      <c r="J421" s="668"/>
      <c r="K421" s="668"/>
      <c r="L421" s="668"/>
      <c r="M421" s="298"/>
      <c r="N421" s="812"/>
      <c r="O421" s="812"/>
      <c r="P421" s="812"/>
      <c r="Q421" s="812"/>
      <c r="R421" s="812"/>
      <c r="S421" s="812"/>
      <c r="T421" s="668"/>
      <c r="U421" s="298"/>
      <c r="V421" s="668"/>
      <c r="W421" s="668"/>
      <c r="X421" s="668"/>
      <c r="Y421" s="298"/>
      <c r="Z421" s="668"/>
      <c r="AA421" s="668"/>
      <c r="AB421" s="668"/>
      <c r="AC421" s="668"/>
    </row>
    <row r="422" spans="1:29">
      <c r="A422" s="668"/>
      <c r="B422" s="668"/>
      <c r="C422" s="668"/>
      <c r="D422" s="668"/>
      <c r="E422" s="668"/>
      <c r="F422" s="668"/>
      <c r="G422" s="668"/>
      <c r="H422" s="668"/>
      <c r="I422" s="668"/>
      <c r="J422" s="668"/>
      <c r="K422" s="668"/>
      <c r="L422" s="668"/>
      <c r="M422" s="298"/>
      <c r="N422" s="812"/>
      <c r="O422" s="812"/>
      <c r="P422" s="812"/>
      <c r="Q422" s="812"/>
      <c r="R422" s="812"/>
      <c r="S422" s="812"/>
      <c r="T422" s="668"/>
      <c r="U422" s="298"/>
      <c r="V422" s="668"/>
      <c r="W422" s="668"/>
      <c r="X422" s="668"/>
      <c r="Y422" s="298"/>
      <c r="Z422" s="668"/>
      <c r="AA422" s="668"/>
      <c r="AB422" s="668"/>
      <c r="AC422" s="668"/>
    </row>
    <row r="423" spans="1:29">
      <c r="A423" s="668"/>
      <c r="B423" s="668"/>
      <c r="C423" s="668"/>
      <c r="D423" s="668"/>
      <c r="E423" s="668"/>
      <c r="F423" s="668"/>
      <c r="G423" s="668"/>
      <c r="H423" s="668"/>
      <c r="I423" s="668"/>
      <c r="J423" s="668"/>
      <c r="K423" s="668"/>
      <c r="L423" s="668"/>
      <c r="M423" s="298"/>
      <c r="N423" s="812"/>
      <c r="O423" s="812"/>
      <c r="P423" s="812"/>
      <c r="Q423" s="812"/>
      <c r="R423" s="812"/>
      <c r="S423" s="812"/>
      <c r="T423" s="668"/>
      <c r="U423" s="298"/>
      <c r="V423" s="668"/>
      <c r="W423" s="668"/>
      <c r="X423" s="668"/>
      <c r="Y423" s="298"/>
      <c r="Z423" s="668"/>
      <c r="AA423" s="668"/>
      <c r="AB423" s="668"/>
      <c r="AC423" s="668"/>
    </row>
    <row r="424" spans="1:29">
      <c r="A424" s="668"/>
      <c r="B424" s="668"/>
      <c r="C424" s="668"/>
      <c r="D424" s="668"/>
      <c r="E424" s="668"/>
      <c r="F424" s="668"/>
      <c r="G424" s="668"/>
      <c r="H424" s="668"/>
      <c r="I424" s="668"/>
      <c r="J424" s="668"/>
      <c r="K424" s="668"/>
      <c r="L424" s="668"/>
      <c r="M424" s="298"/>
      <c r="N424" s="812"/>
      <c r="O424" s="812"/>
      <c r="P424" s="812"/>
      <c r="Q424" s="812"/>
      <c r="R424" s="812"/>
      <c r="S424" s="812"/>
      <c r="T424" s="668"/>
      <c r="U424" s="298"/>
      <c r="V424" s="668"/>
      <c r="W424" s="668"/>
      <c r="X424" s="668"/>
      <c r="Y424" s="298"/>
      <c r="Z424" s="668"/>
      <c r="AA424" s="668"/>
      <c r="AB424" s="668"/>
      <c r="AC424" s="668"/>
    </row>
    <row r="425" spans="1:29">
      <c r="A425" s="668"/>
      <c r="B425" s="668"/>
      <c r="C425" s="668"/>
      <c r="D425" s="668"/>
      <c r="E425" s="668"/>
      <c r="F425" s="668"/>
      <c r="G425" s="668"/>
      <c r="H425" s="668"/>
      <c r="I425" s="668"/>
      <c r="J425" s="668"/>
      <c r="K425" s="668"/>
      <c r="L425" s="668"/>
      <c r="M425" s="298"/>
      <c r="N425" s="812"/>
      <c r="O425" s="812"/>
      <c r="P425" s="812"/>
      <c r="Q425" s="812"/>
      <c r="R425" s="812"/>
      <c r="S425" s="812"/>
      <c r="T425" s="668"/>
      <c r="U425" s="298"/>
      <c r="V425" s="668"/>
      <c r="W425" s="668"/>
      <c r="X425" s="668"/>
      <c r="Y425" s="298"/>
      <c r="Z425" s="668"/>
      <c r="AA425" s="668"/>
      <c r="AB425" s="668"/>
      <c r="AC425" s="668"/>
    </row>
    <row r="426" spans="1:29">
      <c r="A426" s="668"/>
      <c r="B426" s="668"/>
      <c r="C426" s="668"/>
      <c r="D426" s="668"/>
      <c r="E426" s="668"/>
      <c r="F426" s="668"/>
      <c r="G426" s="668"/>
      <c r="H426" s="668"/>
      <c r="I426" s="668"/>
      <c r="J426" s="668"/>
      <c r="K426" s="668"/>
      <c r="L426" s="668"/>
      <c r="M426" s="298"/>
      <c r="N426" s="812"/>
      <c r="O426" s="812"/>
      <c r="P426" s="812"/>
      <c r="Q426" s="812"/>
      <c r="R426" s="812"/>
      <c r="S426" s="812"/>
      <c r="T426" s="668"/>
      <c r="U426" s="298"/>
      <c r="V426" s="668"/>
      <c r="W426" s="668"/>
      <c r="X426" s="668"/>
      <c r="Y426" s="298"/>
      <c r="Z426" s="668"/>
      <c r="AA426" s="668"/>
      <c r="AB426" s="668"/>
      <c r="AC426" s="668"/>
    </row>
    <row r="427" spans="1:29">
      <c r="A427" s="668"/>
      <c r="B427" s="668"/>
      <c r="C427" s="668"/>
      <c r="D427" s="668"/>
      <c r="E427" s="668"/>
      <c r="F427" s="668"/>
      <c r="G427" s="668"/>
      <c r="H427" s="668"/>
      <c r="I427" s="668"/>
      <c r="J427" s="668"/>
      <c r="K427" s="668"/>
      <c r="L427" s="668"/>
      <c r="M427" s="298"/>
      <c r="N427" s="812"/>
      <c r="O427" s="812"/>
      <c r="P427" s="812"/>
      <c r="Q427" s="812"/>
      <c r="R427" s="812"/>
      <c r="S427" s="812"/>
      <c r="T427" s="668"/>
      <c r="U427" s="298"/>
      <c r="V427" s="668"/>
      <c r="W427" s="668"/>
      <c r="X427" s="668"/>
      <c r="Y427" s="298"/>
      <c r="Z427" s="668"/>
      <c r="AA427" s="668"/>
      <c r="AB427" s="668"/>
      <c r="AC427" s="668"/>
    </row>
    <row r="428" spans="1:29">
      <c r="A428" s="668"/>
      <c r="B428" s="668"/>
      <c r="C428" s="668"/>
      <c r="D428" s="668"/>
      <c r="E428" s="668"/>
      <c r="F428" s="668"/>
      <c r="G428" s="668"/>
      <c r="H428" s="668"/>
      <c r="I428" s="668"/>
      <c r="J428" s="668"/>
      <c r="K428" s="668"/>
      <c r="L428" s="668"/>
      <c r="M428" s="298"/>
      <c r="N428" s="812"/>
      <c r="O428" s="812"/>
      <c r="P428" s="812"/>
      <c r="Q428" s="812"/>
      <c r="R428" s="812"/>
      <c r="S428" s="812"/>
      <c r="T428" s="668"/>
      <c r="U428" s="298"/>
      <c r="V428" s="668"/>
      <c r="W428" s="668"/>
      <c r="X428" s="668"/>
      <c r="Y428" s="298"/>
      <c r="Z428" s="668"/>
      <c r="AA428" s="668"/>
      <c r="AB428" s="668"/>
      <c r="AC428" s="668"/>
    </row>
    <row r="429" spans="1:29">
      <c r="A429" s="668"/>
      <c r="B429" s="668"/>
      <c r="C429" s="668"/>
      <c r="D429" s="668"/>
      <c r="E429" s="668"/>
      <c r="F429" s="668"/>
      <c r="G429" s="668"/>
      <c r="H429" s="668"/>
      <c r="I429" s="668"/>
      <c r="J429" s="668"/>
      <c r="K429" s="668"/>
      <c r="L429" s="668"/>
      <c r="M429" s="298"/>
      <c r="N429" s="812"/>
      <c r="O429" s="812"/>
      <c r="P429" s="812"/>
      <c r="Q429" s="812"/>
      <c r="R429" s="812"/>
      <c r="S429" s="812"/>
      <c r="T429" s="668"/>
      <c r="U429" s="298"/>
      <c r="V429" s="668"/>
      <c r="W429" s="668"/>
      <c r="X429" s="668"/>
      <c r="Y429" s="298"/>
      <c r="Z429" s="668"/>
      <c r="AA429" s="668"/>
      <c r="AB429" s="668"/>
      <c r="AC429" s="668"/>
    </row>
    <row r="430" spans="1:29">
      <c r="A430" s="668"/>
      <c r="B430" s="668"/>
      <c r="C430" s="668"/>
      <c r="D430" s="668"/>
      <c r="E430" s="668"/>
      <c r="F430" s="668"/>
      <c r="G430" s="668"/>
      <c r="H430" s="668"/>
      <c r="I430" s="668"/>
      <c r="J430" s="668"/>
      <c r="K430" s="668"/>
      <c r="L430" s="668"/>
      <c r="M430" s="298"/>
      <c r="N430" s="812"/>
      <c r="O430" s="812"/>
      <c r="P430" s="812"/>
      <c r="Q430" s="812"/>
      <c r="R430" s="812"/>
      <c r="S430" s="812"/>
      <c r="T430" s="668"/>
      <c r="U430" s="298"/>
      <c r="V430" s="668"/>
      <c r="W430" s="668"/>
      <c r="X430" s="668"/>
      <c r="Y430" s="298"/>
      <c r="Z430" s="668"/>
      <c r="AA430" s="668"/>
      <c r="AB430" s="668"/>
      <c r="AC430" s="668"/>
    </row>
    <row r="431" spans="1:29">
      <c r="A431" s="668"/>
      <c r="B431" s="668"/>
      <c r="C431" s="668"/>
      <c r="D431" s="668"/>
      <c r="E431" s="668"/>
      <c r="F431" s="668"/>
      <c r="G431" s="668"/>
      <c r="H431" s="668"/>
      <c r="I431" s="668"/>
      <c r="J431" s="668"/>
      <c r="K431" s="668"/>
      <c r="L431" s="668"/>
      <c r="M431" s="298"/>
      <c r="N431" s="812"/>
      <c r="O431" s="812"/>
      <c r="P431" s="812"/>
      <c r="Q431" s="812"/>
      <c r="R431" s="812"/>
      <c r="S431" s="812"/>
      <c r="T431" s="668"/>
      <c r="U431" s="298"/>
      <c r="V431" s="668"/>
      <c r="W431" s="668"/>
      <c r="X431" s="668"/>
      <c r="Y431" s="298"/>
      <c r="Z431" s="668"/>
      <c r="AA431" s="668"/>
      <c r="AB431" s="668"/>
      <c r="AC431" s="668"/>
    </row>
    <row r="432" spans="1:29">
      <c r="A432" s="668"/>
      <c r="B432" s="668"/>
      <c r="C432" s="668"/>
      <c r="D432" s="668"/>
      <c r="E432" s="668"/>
      <c r="F432" s="668"/>
      <c r="G432" s="668"/>
      <c r="H432" s="668"/>
      <c r="I432" s="668"/>
      <c r="J432" s="668"/>
      <c r="K432" s="668"/>
      <c r="L432" s="668"/>
      <c r="M432" s="298"/>
      <c r="N432" s="812"/>
      <c r="O432" s="812"/>
      <c r="P432" s="812"/>
      <c r="Q432" s="812"/>
      <c r="R432" s="812"/>
      <c r="S432" s="812"/>
      <c r="T432" s="668"/>
      <c r="U432" s="298"/>
      <c r="V432" s="668"/>
      <c r="W432" s="668"/>
      <c r="X432" s="668"/>
      <c r="Y432" s="298"/>
      <c r="Z432" s="668"/>
      <c r="AA432" s="668"/>
      <c r="AB432" s="668"/>
      <c r="AC432" s="668"/>
    </row>
    <row r="433" spans="1:29">
      <c r="A433" s="668"/>
      <c r="B433" s="668"/>
      <c r="C433" s="668"/>
      <c r="D433" s="668"/>
      <c r="E433" s="668"/>
      <c r="F433" s="668"/>
      <c r="G433" s="668"/>
      <c r="H433" s="668"/>
      <c r="I433" s="668"/>
      <c r="J433" s="668"/>
      <c r="K433" s="668"/>
      <c r="L433" s="668"/>
      <c r="M433" s="298"/>
      <c r="N433" s="812"/>
      <c r="O433" s="812"/>
      <c r="P433" s="812"/>
      <c r="Q433" s="812"/>
      <c r="R433" s="812"/>
      <c r="S433" s="812"/>
      <c r="T433" s="668"/>
      <c r="U433" s="298"/>
      <c r="V433" s="668"/>
      <c r="W433" s="668"/>
      <c r="X433" s="668"/>
      <c r="Y433" s="298"/>
      <c r="Z433" s="668"/>
      <c r="AA433" s="668"/>
      <c r="AB433" s="668"/>
      <c r="AC433" s="668"/>
    </row>
    <row r="434" spans="1:29">
      <c r="A434" s="668"/>
      <c r="B434" s="668"/>
      <c r="C434" s="668"/>
      <c r="D434" s="668"/>
      <c r="E434" s="668"/>
      <c r="F434" s="668"/>
      <c r="G434" s="668"/>
      <c r="H434" s="668"/>
      <c r="I434" s="668"/>
      <c r="J434" s="668"/>
      <c r="K434" s="668"/>
      <c r="L434" s="668"/>
      <c r="M434" s="298"/>
      <c r="N434" s="812"/>
      <c r="O434" s="812"/>
      <c r="P434" s="812"/>
      <c r="Q434" s="812"/>
      <c r="R434" s="812"/>
      <c r="S434" s="812"/>
      <c r="T434" s="668"/>
      <c r="U434" s="298"/>
      <c r="V434" s="668"/>
      <c r="W434" s="668"/>
      <c r="X434" s="668"/>
      <c r="Y434" s="298"/>
      <c r="Z434" s="668"/>
      <c r="AA434" s="668"/>
      <c r="AB434" s="668"/>
      <c r="AC434" s="668"/>
    </row>
    <row r="435" spans="1:29">
      <c r="A435" s="668"/>
      <c r="B435" s="668"/>
      <c r="C435" s="668"/>
      <c r="D435" s="668"/>
      <c r="E435" s="668"/>
      <c r="F435" s="668"/>
      <c r="G435" s="668"/>
      <c r="H435" s="668"/>
      <c r="I435" s="668"/>
      <c r="J435" s="668"/>
      <c r="K435" s="668"/>
      <c r="L435" s="668"/>
      <c r="M435" s="298"/>
      <c r="N435" s="812"/>
      <c r="O435" s="812"/>
      <c r="P435" s="812"/>
      <c r="Q435" s="812"/>
      <c r="R435" s="812"/>
      <c r="S435" s="812"/>
      <c r="T435" s="668"/>
      <c r="U435" s="298"/>
      <c r="V435" s="668"/>
      <c r="W435" s="668"/>
      <c r="X435" s="668"/>
      <c r="Y435" s="298"/>
      <c r="Z435" s="668"/>
      <c r="AA435" s="668"/>
      <c r="AB435" s="668"/>
      <c r="AC435" s="668"/>
    </row>
    <row r="436" spans="1:29">
      <c r="A436" s="668"/>
      <c r="B436" s="668"/>
      <c r="C436" s="668"/>
      <c r="D436" s="668"/>
      <c r="E436" s="668"/>
      <c r="F436" s="668"/>
      <c r="G436" s="668"/>
      <c r="H436" s="668"/>
      <c r="I436" s="668"/>
      <c r="J436" s="668"/>
      <c r="K436" s="668"/>
      <c r="L436" s="668"/>
      <c r="M436" s="298"/>
      <c r="N436" s="812"/>
      <c r="O436" s="812"/>
      <c r="P436" s="812"/>
      <c r="Q436" s="812"/>
      <c r="R436" s="812"/>
      <c r="S436" s="812"/>
      <c r="T436" s="668"/>
      <c r="U436" s="298"/>
      <c r="V436" s="668"/>
      <c r="W436" s="668"/>
      <c r="X436" s="668"/>
      <c r="Y436" s="298"/>
      <c r="Z436" s="668"/>
      <c r="AA436" s="668"/>
      <c r="AB436" s="668"/>
      <c r="AC436" s="668"/>
    </row>
    <row r="437" spans="1:29">
      <c r="A437" s="668"/>
      <c r="B437" s="668"/>
      <c r="C437" s="668"/>
      <c r="D437" s="668"/>
      <c r="E437" s="668"/>
      <c r="F437" s="668"/>
      <c r="G437" s="668"/>
      <c r="H437" s="668"/>
      <c r="I437" s="668"/>
      <c r="J437" s="668"/>
      <c r="K437" s="668"/>
      <c r="L437" s="668"/>
      <c r="M437" s="298"/>
      <c r="N437" s="812"/>
      <c r="O437" s="812"/>
      <c r="P437" s="812"/>
      <c r="Q437" s="812"/>
      <c r="R437" s="812"/>
      <c r="S437" s="812"/>
      <c r="T437" s="668"/>
      <c r="U437" s="298"/>
      <c r="V437" s="668"/>
      <c r="W437" s="668"/>
      <c r="X437" s="668"/>
      <c r="Y437" s="298"/>
      <c r="Z437" s="668"/>
      <c r="AA437" s="668"/>
      <c r="AB437" s="668"/>
      <c r="AC437" s="668"/>
    </row>
    <row r="438" spans="1:29">
      <c r="A438" s="668"/>
      <c r="B438" s="668"/>
      <c r="C438" s="668"/>
      <c r="D438" s="668"/>
      <c r="E438" s="668"/>
      <c r="F438" s="668"/>
      <c r="G438" s="668"/>
      <c r="H438" s="668"/>
      <c r="I438" s="668"/>
      <c r="J438" s="668"/>
      <c r="K438" s="668"/>
      <c r="L438" s="668"/>
      <c r="M438" s="298"/>
      <c r="N438" s="812"/>
      <c r="O438" s="812"/>
      <c r="P438" s="812"/>
      <c r="Q438" s="812"/>
      <c r="R438" s="812"/>
      <c r="S438" s="812"/>
      <c r="T438" s="668"/>
      <c r="U438" s="298"/>
      <c r="V438" s="668"/>
      <c r="W438" s="668"/>
      <c r="X438" s="668"/>
      <c r="Y438" s="298"/>
      <c r="Z438" s="668"/>
      <c r="AA438" s="668"/>
      <c r="AB438" s="668"/>
      <c r="AC438" s="668"/>
    </row>
    <row r="439" spans="1:29">
      <c r="A439" s="668"/>
      <c r="B439" s="668"/>
      <c r="C439" s="668"/>
      <c r="D439" s="668"/>
      <c r="E439" s="668"/>
      <c r="F439" s="668"/>
      <c r="G439" s="668"/>
      <c r="H439" s="668"/>
      <c r="I439" s="668"/>
      <c r="J439" s="668"/>
      <c r="K439" s="668"/>
      <c r="L439" s="668"/>
      <c r="M439" s="298"/>
      <c r="N439" s="812"/>
      <c r="O439" s="812"/>
      <c r="P439" s="812"/>
      <c r="Q439" s="812"/>
      <c r="R439" s="812"/>
      <c r="S439" s="812"/>
      <c r="T439" s="668"/>
      <c r="U439" s="298"/>
      <c r="V439" s="668"/>
      <c r="W439" s="668"/>
      <c r="X439" s="668"/>
      <c r="Y439" s="298"/>
      <c r="Z439" s="668"/>
      <c r="AA439" s="668"/>
      <c r="AB439" s="668"/>
      <c r="AC439" s="668"/>
    </row>
    <row r="440" spans="1:29">
      <c r="A440" s="668"/>
      <c r="B440" s="668"/>
      <c r="C440" s="668"/>
      <c r="D440" s="668"/>
      <c r="E440" s="668"/>
      <c r="F440" s="668"/>
      <c r="G440" s="668"/>
      <c r="H440" s="668"/>
      <c r="I440" s="668"/>
      <c r="J440" s="668"/>
      <c r="K440" s="668"/>
      <c r="L440" s="668"/>
      <c r="M440" s="298"/>
      <c r="N440" s="812"/>
      <c r="O440" s="812"/>
      <c r="P440" s="812"/>
      <c r="Q440" s="812"/>
      <c r="R440" s="812"/>
      <c r="S440" s="812"/>
      <c r="T440" s="668"/>
      <c r="U440" s="298"/>
      <c r="V440" s="668"/>
      <c r="W440" s="668"/>
      <c r="X440" s="668"/>
      <c r="Y440" s="298"/>
      <c r="Z440" s="668"/>
      <c r="AA440" s="668"/>
      <c r="AB440" s="668"/>
      <c r="AC440" s="668"/>
    </row>
    <row r="441" spans="1:29">
      <c r="A441" s="668"/>
      <c r="B441" s="668"/>
      <c r="C441" s="668"/>
      <c r="D441" s="668"/>
      <c r="E441" s="668"/>
      <c r="F441" s="668"/>
      <c r="G441" s="668"/>
      <c r="H441" s="668"/>
      <c r="I441" s="668"/>
      <c r="J441" s="668"/>
      <c r="K441" s="668"/>
      <c r="L441" s="668"/>
      <c r="M441" s="298"/>
      <c r="N441" s="812"/>
      <c r="O441" s="812"/>
      <c r="P441" s="812"/>
      <c r="Q441" s="812"/>
      <c r="R441" s="812"/>
      <c r="S441" s="812"/>
      <c r="T441" s="668"/>
      <c r="U441" s="298"/>
      <c r="V441" s="668"/>
      <c r="W441" s="668"/>
      <c r="X441" s="668"/>
      <c r="Y441" s="298"/>
      <c r="Z441" s="668"/>
      <c r="AA441" s="668"/>
      <c r="AB441" s="668"/>
      <c r="AC441" s="668"/>
    </row>
    <row r="442" spans="1:29">
      <c r="A442" s="668"/>
      <c r="B442" s="668"/>
      <c r="C442" s="668"/>
      <c r="D442" s="668"/>
      <c r="E442" s="668"/>
      <c r="F442" s="668"/>
      <c r="G442" s="668"/>
      <c r="H442" s="668"/>
      <c r="I442" s="668"/>
      <c r="J442" s="668"/>
      <c r="K442" s="668"/>
      <c r="L442" s="668"/>
      <c r="M442" s="298"/>
      <c r="N442" s="812"/>
      <c r="O442" s="812"/>
      <c r="P442" s="812"/>
      <c r="Q442" s="812"/>
      <c r="R442" s="812"/>
      <c r="S442" s="812"/>
      <c r="T442" s="668"/>
      <c r="U442" s="298"/>
      <c r="V442" s="668"/>
      <c r="W442" s="668"/>
      <c r="X442" s="668"/>
      <c r="Y442" s="298"/>
      <c r="Z442" s="668"/>
      <c r="AA442" s="668"/>
      <c r="AB442" s="668"/>
      <c r="AC442" s="668"/>
    </row>
    <row r="443" spans="1:29">
      <c r="A443" s="668"/>
      <c r="B443" s="668"/>
      <c r="C443" s="668"/>
      <c r="D443" s="668"/>
      <c r="E443" s="668"/>
      <c r="F443" s="668"/>
      <c r="G443" s="668"/>
      <c r="H443" s="668"/>
      <c r="I443" s="668"/>
      <c r="J443" s="668"/>
      <c r="K443" s="668"/>
      <c r="L443" s="668"/>
      <c r="M443" s="298"/>
      <c r="N443" s="812"/>
      <c r="O443" s="812"/>
      <c r="P443" s="812"/>
      <c r="Q443" s="812"/>
      <c r="R443" s="812"/>
      <c r="S443" s="812"/>
      <c r="T443" s="668"/>
      <c r="U443" s="298"/>
      <c r="V443" s="668"/>
      <c r="W443" s="668"/>
      <c r="X443" s="668"/>
      <c r="Y443" s="298"/>
      <c r="Z443" s="668"/>
      <c r="AA443" s="668"/>
      <c r="AB443" s="668"/>
      <c r="AC443" s="668"/>
    </row>
    <row r="444" spans="1:29">
      <c r="A444" s="668"/>
      <c r="B444" s="668"/>
      <c r="C444" s="668"/>
      <c r="D444" s="668"/>
      <c r="E444" s="668"/>
      <c r="F444" s="668"/>
      <c r="G444" s="668"/>
      <c r="H444" s="668"/>
      <c r="I444" s="668"/>
      <c r="J444" s="668"/>
      <c r="K444" s="668"/>
      <c r="L444" s="668"/>
      <c r="M444" s="298"/>
      <c r="N444" s="812"/>
      <c r="O444" s="812"/>
      <c r="P444" s="812"/>
      <c r="Q444" s="812"/>
      <c r="R444" s="812"/>
      <c r="S444" s="812"/>
      <c r="T444" s="668"/>
      <c r="U444" s="298"/>
      <c r="V444" s="668"/>
      <c r="W444" s="668"/>
      <c r="X444" s="668"/>
      <c r="Y444" s="298"/>
      <c r="Z444" s="668"/>
      <c r="AA444" s="668"/>
      <c r="AB444" s="668"/>
      <c r="AC444" s="668"/>
    </row>
    <row r="445" spans="1:29">
      <c r="A445" s="668"/>
      <c r="B445" s="668"/>
      <c r="C445" s="668"/>
      <c r="D445" s="668"/>
      <c r="E445" s="668"/>
      <c r="F445" s="668"/>
      <c r="G445" s="668"/>
      <c r="H445" s="668"/>
      <c r="I445" s="668"/>
      <c r="J445" s="668"/>
      <c r="K445" s="668"/>
      <c r="L445" s="668"/>
      <c r="M445" s="298"/>
      <c r="N445" s="812"/>
      <c r="O445" s="812"/>
      <c r="P445" s="812"/>
      <c r="Q445" s="812"/>
      <c r="R445" s="812"/>
      <c r="S445" s="812"/>
      <c r="T445" s="668"/>
      <c r="U445" s="298"/>
      <c r="V445" s="668"/>
      <c r="W445" s="668"/>
      <c r="X445" s="668"/>
      <c r="Y445" s="298"/>
      <c r="Z445" s="668"/>
      <c r="AA445" s="668"/>
      <c r="AB445" s="668"/>
      <c r="AC445" s="668"/>
    </row>
    <row r="446" spans="1:29">
      <c r="A446" s="668"/>
      <c r="B446" s="668"/>
      <c r="C446" s="668"/>
      <c r="D446" s="668"/>
      <c r="E446" s="668"/>
      <c r="F446" s="668"/>
      <c r="G446" s="668"/>
      <c r="H446" s="668"/>
      <c r="I446" s="668"/>
      <c r="J446" s="668"/>
      <c r="K446" s="668"/>
      <c r="L446" s="668"/>
      <c r="M446" s="298"/>
      <c r="N446" s="812"/>
      <c r="O446" s="812"/>
      <c r="P446" s="812"/>
      <c r="Q446" s="812"/>
      <c r="R446" s="812"/>
      <c r="S446" s="812"/>
      <c r="T446" s="668"/>
      <c r="U446" s="298"/>
      <c r="V446" s="668"/>
      <c r="W446" s="668"/>
      <c r="X446" s="668"/>
      <c r="Y446" s="298"/>
      <c r="Z446" s="668"/>
      <c r="AA446" s="668"/>
      <c r="AB446" s="668"/>
      <c r="AC446" s="668"/>
    </row>
    <row r="447" spans="1:29">
      <c r="A447" s="668"/>
      <c r="B447" s="668"/>
      <c r="C447" s="668"/>
      <c r="D447" s="668"/>
      <c r="E447" s="668"/>
      <c r="F447" s="668"/>
      <c r="G447" s="668"/>
      <c r="H447" s="668"/>
      <c r="I447" s="668"/>
      <c r="J447" s="668"/>
      <c r="K447" s="668"/>
      <c r="L447" s="668"/>
      <c r="M447" s="298"/>
      <c r="N447" s="812"/>
      <c r="O447" s="812"/>
      <c r="P447" s="812"/>
      <c r="Q447" s="812"/>
      <c r="R447" s="812"/>
      <c r="S447" s="812"/>
      <c r="T447" s="668"/>
      <c r="U447" s="298"/>
      <c r="V447" s="668"/>
      <c r="W447" s="668"/>
      <c r="X447" s="668"/>
      <c r="Y447" s="298"/>
      <c r="Z447" s="668"/>
      <c r="AA447" s="668"/>
      <c r="AB447" s="668"/>
      <c r="AC447" s="668"/>
    </row>
    <row r="448" spans="1:29">
      <c r="A448" s="668"/>
      <c r="B448" s="668"/>
      <c r="C448" s="668"/>
      <c r="D448" s="668"/>
      <c r="E448" s="668"/>
      <c r="F448" s="668"/>
      <c r="G448" s="668"/>
      <c r="H448" s="668"/>
      <c r="I448" s="668"/>
      <c r="J448" s="668"/>
      <c r="K448" s="668"/>
      <c r="L448" s="668"/>
      <c r="M448" s="298"/>
      <c r="N448" s="812"/>
      <c r="O448" s="812"/>
      <c r="P448" s="812"/>
      <c r="Q448" s="812"/>
      <c r="R448" s="812"/>
      <c r="S448" s="812"/>
      <c r="T448" s="668"/>
      <c r="U448" s="298"/>
      <c r="V448" s="668"/>
      <c r="W448" s="668"/>
      <c r="X448" s="668"/>
      <c r="Y448" s="298"/>
      <c r="Z448" s="668"/>
      <c r="AA448" s="668"/>
      <c r="AB448" s="668"/>
      <c r="AC448" s="668"/>
    </row>
    <row r="449" spans="1:29">
      <c r="A449" s="668"/>
      <c r="B449" s="668"/>
      <c r="C449" s="668"/>
      <c r="D449" s="668"/>
      <c r="E449" s="668"/>
      <c r="F449" s="668"/>
      <c r="G449" s="668"/>
      <c r="H449" s="668"/>
      <c r="I449" s="668"/>
      <c r="J449" s="668"/>
      <c r="K449" s="668"/>
      <c r="L449" s="668"/>
      <c r="M449" s="298"/>
      <c r="N449" s="812"/>
      <c r="O449" s="812"/>
      <c r="P449" s="812"/>
      <c r="Q449" s="812"/>
      <c r="R449" s="812"/>
      <c r="S449" s="812"/>
      <c r="T449" s="668"/>
      <c r="U449" s="298"/>
      <c r="V449" s="668"/>
      <c r="W449" s="668"/>
      <c r="X449" s="668"/>
      <c r="Y449" s="298"/>
      <c r="Z449" s="668"/>
      <c r="AA449" s="668"/>
      <c r="AB449" s="668"/>
      <c r="AC449" s="668"/>
    </row>
    <row r="450" spans="1:29">
      <c r="A450" s="668"/>
      <c r="B450" s="668"/>
      <c r="C450" s="668"/>
      <c r="D450" s="668"/>
      <c r="E450" s="668"/>
      <c r="F450" s="668"/>
      <c r="G450" s="668"/>
      <c r="H450" s="668"/>
      <c r="I450" s="668"/>
      <c r="J450" s="668"/>
      <c r="K450" s="668"/>
      <c r="L450" s="668"/>
      <c r="M450" s="298"/>
      <c r="N450" s="812"/>
      <c r="O450" s="812"/>
      <c r="P450" s="812"/>
      <c r="Q450" s="812"/>
      <c r="R450" s="812"/>
      <c r="S450" s="812"/>
      <c r="T450" s="668"/>
      <c r="U450" s="298"/>
      <c r="V450" s="668"/>
      <c r="W450" s="668"/>
      <c r="X450" s="668"/>
      <c r="Y450" s="298"/>
      <c r="Z450" s="668"/>
      <c r="AA450" s="668"/>
      <c r="AB450" s="668"/>
      <c r="AC450" s="668"/>
    </row>
    <row r="451" spans="1:29">
      <c r="A451" s="668"/>
      <c r="B451" s="668"/>
      <c r="C451" s="668"/>
      <c r="D451" s="668"/>
      <c r="E451" s="668"/>
      <c r="F451" s="668"/>
      <c r="G451" s="668"/>
      <c r="H451" s="668"/>
      <c r="I451" s="668"/>
      <c r="J451" s="668"/>
      <c r="K451" s="668"/>
      <c r="L451" s="668"/>
      <c r="M451" s="298"/>
      <c r="N451" s="812"/>
      <c r="O451" s="812"/>
      <c r="P451" s="812"/>
      <c r="Q451" s="812"/>
      <c r="R451" s="812"/>
      <c r="S451" s="812"/>
      <c r="T451" s="668"/>
      <c r="U451" s="298"/>
      <c r="V451" s="668"/>
      <c r="W451" s="668"/>
      <c r="X451" s="668"/>
      <c r="Y451" s="298"/>
      <c r="Z451" s="668"/>
      <c r="AA451" s="668"/>
      <c r="AB451" s="668"/>
      <c r="AC451" s="668"/>
    </row>
    <row r="452" spans="1:29">
      <c r="A452" s="668"/>
      <c r="B452" s="668"/>
      <c r="C452" s="668"/>
      <c r="D452" s="668"/>
      <c r="E452" s="668"/>
      <c r="F452" s="668"/>
      <c r="G452" s="668"/>
      <c r="H452" s="668"/>
      <c r="I452" s="668"/>
      <c r="J452" s="668"/>
      <c r="K452" s="668"/>
      <c r="L452" s="668"/>
      <c r="M452" s="298"/>
      <c r="N452" s="812"/>
      <c r="O452" s="812"/>
      <c r="P452" s="812"/>
      <c r="Q452" s="812"/>
      <c r="R452" s="812"/>
      <c r="S452" s="812"/>
      <c r="T452" s="668"/>
      <c r="U452" s="298"/>
      <c r="V452" s="668"/>
      <c r="W452" s="668"/>
      <c r="X452" s="668"/>
      <c r="Y452" s="298"/>
      <c r="Z452" s="668"/>
      <c r="AA452" s="668"/>
      <c r="AB452" s="668"/>
      <c r="AC452" s="668"/>
    </row>
    <row r="453" spans="1:29">
      <c r="A453" s="668"/>
      <c r="B453" s="668"/>
      <c r="C453" s="668"/>
      <c r="D453" s="668"/>
      <c r="E453" s="668"/>
      <c r="F453" s="668"/>
      <c r="G453" s="668"/>
      <c r="H453" s="668"/>
      <c r="I453" s="668"/>
      <c r="J453" s="668"/>
      <c r="K453" s="668"/>
      <c r="L453" s="668"/>
      <c r="M453" s="298"/>
      <c r="N453" s="812"/>
      <c r="O453" s="812"/>
      <c r="P453" s="812"/>
      <c r="Q453" s="812"/>
      <c r="R453" s="812"/>
      <c r="S453" s="812"/>
      <c r="T453" s="668"/>
      <c r="U453" s="298"/>
      <c r="V453" s="668"/>
      <c r="W453" s="668"/>
      <c r="X453" s="668"/>
      <c r="Y453" s="298"/>
      <c r="Z453" s="668"/>
      <c r="AA453" s="668"/>
      <c r="AB453" s="668"/>
      <c r="AC453" s="668"/>
    </row>
    <row r="454" spans="1:29">
      <c r="A454" s="668"/>
      <c r="B454" s="668"/>
      <c r="C454" s="668"/>
      <c r="D454" s="668"/>
      <c r="E454" s="668"/>
      <c r="F454" s="668"/>
      <c r="G454" s="668"/>
      <c r="H454" s="668"/>
      <c r="I454" s="668"/>
      <c r="J454" s="668"/>
      <c r="K454" s="668"/>
      <c r="L454" s="668"/>
      <c r="M454" s="298"/>
      <c r="N454" s="812"/>
      <c r="O454" s="812"/>
      <c r="P454" s="812"/>
      <c r="Q454" s="812"/>
      <c r="R454" s="812"/>
      <c r="S454" s="812"/>
      <c r="T454" s="668"/>
      <c r="U454" s="298"/>
      <c r="V454" s="668"/>
      <c r="W454" s="668"/>
      <c r="X454" s="668"/>
      <c r="Y454" s="298"/>
      <c r="Z454" s="668"/>
      <c r="AA454" s="668"/>
      <c r="AB454" s="668"/>
      <c r="AC454" s="668"/>
    </row>
    <row r="455" spans="1:29">
      <c r="A455" s="668"/>
      <c r="B455" s="668"/>
      <c r="C455" s="668"/>
      <c r="D455" s="668"/>
      <c r="E455" s="668"/>
      <c r="F455" s="668"/>
      <c r="G455" s="668"/>
      <c r="H455" s="668"/>
      <c r="I455" s="668"/>
      <c r="J455" s="668"/>
      <c r="K455" s="668"/>
      <c r="L455" s="668"/>
      <c r="M455" s="298"/>
      <c r="N455" s="812"/>
      <c r="O455" s="812"/>
      <c r="P455" s="812"/>
      <c r="Q455" s="812"/>
      <c r="R455" s="812"/>
      <c r="S455" s="812"/>
      <c r="T455" s="668"/>
      <c r="U455" s="298"/>
      <c r="V455" s="668"/>
      <c r="W455" s="668"/>
      <c r="X455" s="668"/>
      <c r="Y455" s="298"/>
      <c r="Z455" s="668"/>
      <c r="AA455" s="668"/>
      <c r="AB455" s="668"/>
      <c r="AC455" s="668"/>
    </row>
    <row r="456" spans="1:29">
      <c r="A456" s="668"/>
      <c r="B456" s="668"/>
      <c r="C456" s="668"/>
      <c r="D456" s="668"/>
      <c r="E456" s="668"/>
      <c r="F456" s="668"/>
      <c r="G456" s="668"/>
      <c r="H456" s="668"/>
      <c r="I456" s="668"/>
      <c r="J456" s="668"/>
      <c r="K456" s="668"/>
      <c r="L456" s="668"/>
      <c r="M456" s="298"/>
      <c r="N456" s="812"/>
      <c r="O456" s="812"/>
      <c r="P456" s="812"/>
      <c r="Q456" s="812"/>
      <c r="R456" s="812"/>
      <c r="S456" s="812"/>
      <c r="T456" s="668"/>
      <c r="U456" s="298"/>
      <c r="V456" s="668"/>
      <c r="W456" s="668"/>
      <c r="X456" s="668"/>
      <c r="Y456" s="298"/>
      <c r="Z456" s="668"/>
      <c r="AA456" s="668"/>
      <c r="AB456" s="668"/>
      <c r="AC456" s="668"/>
    </row>
    <row r="457" spans="1:29">
      <c r="A457" s="668"/>
      <c r="B457" s="668"/>
      <c r="C457" s="668"/>
      <c r="D457" s="668"/>
      <c r="E457" s="668"/>
      <c r="F457" s="668"/>
      <c r="G457" s="668"/>
      <c r="H457" s="668"/>
      <c r="I457" s="668"/>
      <c r="J457" s="668"/>
      <c r="K457" s="668"/>
      <c r="L457" s="668"/>
      <c r="M457" s="298"/>
      <c r="N457" s="812"/>
      <c r="O457" s="812"/>
      <c r="P457" s="812"/>
      <c r="Q457" s="812"/>
      <c r="R457" s="812"/>
      <c r="S457" s="812"/>
      <c r="T457" s="668"/>
      <c r="U457" s="298"/>
      <c r="V457" s="668"/>
      <c r="W457" s="668"/>
      <c r="X457" s="668"/>
      <c r="Y457" s="298"/>
      <c r="Z457" s="668"/>
      <c r="AA457" s="668"/>
      <c r="AB457" s="668"/>
      <c r="AC457" s="668"/>
    </row>
    <row r="458" spans="1:29">
      <c r="A458" s="668"/>
      <c r="B458" s="668"/>
      <c r="C458" s="668"/>
      <c r="D458" s="668"/>
      <c r="E458" s="668"/>
      <c r="F458" s="668"/>
      <c r="G458" s="668"/>
      <c r="H458" s="668"/>
      <c r="I458" s="668"/>
      <c r="J458" s="668"/>
      <c r="K458" s="668"/>
      <c r="L458" s="668"/>
      <c r="M458" s="298"/>
      <c r="N458" s="812"/>
      <c r="O458" s="812"/>
      <c r="P458" s="812"/>
      <c r="Q458" s="812"/>
      <c r="R458" s="812"/>
      <c r="S458" s="812"/>
      <c r="T458" s="668"/>
      <c r="U458" s="298"/>
      <c r="V458" s="668"/>
      <c r="W458" s="668"/>
      <c r="X458" s="668"/>
      <c r="Y458" s="298"/>
      <c r="Z458" s="668"/>
      <c r="AA458" s="668"/>
      <c r="AB458" s="668"/>
      <c r="AC458" s="668"/>
    </row>
    <row r="459" spans="1:29">
      <c r="A459" s="668"/>
      <c r="B459" s="668"/>
      <c r="C459" s="668"/>
      <c r="D459" s="668"/>
      <c r="E459" s="668"/>
      <c r="F459" s="668"/>
      <c r="G459" s="668"/>
      <c r="H459" s="668"/>
      <c r="I459" s="668"/>
      <c r="J459" s="668"/>
      <c r="K459" s="668"/>
      <c r="L459" s="668"/>
      <c r="M459" s="298"/>
      <c r="N459" s="812"/>
      <c r="O459" s="812"/>
      <c r="P459" s="812"/>
      <c r="Q459" s="812"/>
      <c r="R459" s="812"/>
      <c r="S459" s="812"/>
      <c r="T459" s="668"/>
      <c r="U459" s="298"/>
      <c r="V459" s="668"/>
      <c r="W459" s="668"/>
      <c r="X459" s="668"/>
      <c r="Y459" s="298"/>
      <c r="Z459" s="668"/>
      <c r="AA459" s="668"/>
      <c r="AB459" s="668"/>
      <c r="AC459" s="668"/>
    </row>
    <row r="460" spans="1:29">
      <c r="A460" s="668"/>
      <c r="B460" s="668"/>
      <c r="C460" s="668"/>
      <c r="D460" s="668"/>
      <c r="E460" s="668"/>
      <c r="F460" s="668"/>
      <c r="G460" s="668"/>
      <c r="H460" s="668"/>
      <c r="I460" s="668"/>
      <c r="J460" s="668"/>
      <c r="K460" s="668"/>
      <c r="L460" s="668"/>
      <c r="M460" s="298"/>
      <c r="N460" s="812"/>
      <c r="O460" s="812"/>
      <c r="P460" s="812"/>
      <c r="Q460" s="812"/>
      <c r="R460" s="812"/>
      <c r="S460" s="812"/>
      <c r="T460" s="668"/>
      <c r="U460" s="298"/>
      <c r="V460" s="668"/>
      <c r="W460" s="668"/>
      <c r="X460" s="668"/>
      <c r="Y460" s="298"/>
      <c r="Z460" s="668"/>
      <c r="AA460" s="668"/>
      <c r="AB460" s="668"/>
      <c r="AC460" s="668"/>
    </row>
    <row r="461" spans="1:29">
      <c r="A461" s="668"/>
      <c r="B461" s="668"/>
      <c r="C461" s="668"/>
      <c r="D461" s="668"/>
      <c r="E461" s="668"/>
      <c r="F461" s="668"/>
      <c r="G461" s="668"/>
      <c r="H461" s="668"/>
      <c r="I461" s="668"/>
      <c r="J461" s="668"/>
      <c r="K461" s="668"/>
      <c r="L461" s="668"/>
      <c r="M461" s="298"/>
      <c r="N461" s="812"/>
      <c r="O461" s="812"/>
      <c r="P461" s="812"/>
      <c r="Q461" s="812"/>
      <c r="R461" s="812"/>
      <c r="S461" s="812"/>
      <c r="T461" s="668"/>
      <c r="U461" s="298"/>
      <c r="V461" s="668"/>
      <c r="W461" s="668"/>
      <c r="X461" s="668"/>
      <c r="Y461" s="298"/>
      <c r="Z461" s="668"/>
      <c r="AA461" s="668"/>
      <c r="AB461" s="668"/>
      <c r="AC461" s="668"/>
    </row>
    <row r="462" spans="1:29">
      <c r="A462" s="668"/>
      <c r="B462" s="668"/>
      <c r="C462" s="668"/>
      <c r="D462" s="668"/>
      <c r="E462" s="668"/>
      <c r="F462" s="668"/>
      <c r="G462" s="668"/>
      <c r="H462" s="668"/>
      <c r="I462" s="668"/>
      <c r="J462" s="668"/>
      <c r="K462" s="668"/>
      <c r="L462" s="668"/>
      <c r="M462" s="298"/>
      <c r="N462" s="812"/>
      <c r="O462" s="812"/>
      <c r="P462" s="812"/>
      <c r="Q462" s="812"/>
      <c r="R462" s="812"/>
      <c r="S462" s="812"/>
      <c r="T462" s="668"/>
      <c r="U462" s="298"/>
      <c r="V462" s="668"/>
      <c r="W462" s="668"/>
      <c r="X462" s="668"/>
      <c r="Y462" s="298"/>
      <c r="Z462" s="668"/>
      <c r="AA462" s="668"/>
      <c r="AB462" s="668"/>
      <c r="AC462" s="668"/>
    </row>
    <row r="463" spans="1:29">
      <c r="A463" s="668"/>
      <c r="B463" s="668"/>
      <c r="C463" s="668"/>
      <c r="D463" s="668"/>
      <c r="E463" s="668"/>
      <c r="F463" s="668"/>
      <c r="G463" s="668"/>
      <c r="H463" s="668"/>
      <c r="I463" s="668"/>
      <c r="J463" s="668"/>
      <c r="K463" s="668"/>
      <c r="L463" s="668"/>
      <c r="M463" s="298"/>
      <c r="N463" s="812"/>
      <c r="O463" s="812"/>
      <c r="P463" s="812"/>
      <c r="Q463" s="812"/>
      <c r="R463" s="812"/>
      <c r="S463" s="812"/>
      <c r="T463" s="668"/>
      <c r="U463" s="298"/>
      <c r="V463" s="668"/>
      <c r="W463" s="668"/>
      <c r="X463" s="668"/>
      <c r="Y463" s="298"/>
      <c r="Z463" s="668"/>
      <c r="AA463" s="668"/>
      <c r="AB463" s="668"/>
      <c r="AC463" s="668"/>
    </row>
    <row r="464" spans="1:29">
      <c r="A464" s="668"/>
      <c r="B464" s="668"/>
      <c r="C464" s="668"/>
      <c r="D464" s="668"/>
      <c r="E464" s="668"/>
      <c r="F464" s="668"/>
      <c r="G464" s="668"/>
      <c r="H464" s="668"/>
      <c r="I464" s="668"/>
      <c r="J464" s="668"/>
      <c r="K464" s="668"/>
      <c r="L464" s="668"/>
      <c r="M464" s="298"/>
      <c r="N464" s="812"/>
      <c r="O464" s="812"/>
      <c r="P464" s="812"/>
      <c r="Q464" s="812"/>
      <c r="R464" s="812"/>
      <c r="S464" s="812"/>
      <c r="T464" s="668"/>
      <c r="U464" s="298"/>
      <c r="V464" s="668"/>
      <c r="W464" s="668"/>
      <c r="X464" s="668"/>
      <c r="Y464" s="298"/>
      <c r="Z464" s="668"/>
      <c r="AA464" s="668"/>
      <c r="AB464" s="668"/>
      <c r="AC464" s="668"/>
    </row>
    <row r="465" spans="1:29">
      <c r="A465" s="668"/>
      <c r="B465" s="668"/>
      <c r="C465" s="668"/>
      <c r="D465" s="668"/>
      <c r="E465" s="668"/>
      <c r="F465" s="668"/>
      <c r="G465" s="668"/>
      <c r="H465" s="668"/>
      <c r="I465" s="668"/>
      <c r="J465" s="668"/>
      <c r="K465" s="668"/>
      <c r="L465" s="668"/>
      <c r="M465" s="298"/>
      <c r="N465" s="812"/>
      <c r="O465" s="812"/>
      <c r="P465" s="812"/>
      <c r="Q465" s="812"/>
      <c r="R465" s="812"/>
      <c r="S465" s="812"/>
      <c r="T465" s="668"/>
      <c r="U465" s="298"/>
      <c r="V465" s="668"/>
      <c r="W465" s="668"/>
      <c r="X465" s="668"/>
      <c r="Y465" s="298"/>
      <c r="Z465" s="668"/>
      <c r="AA465" s="668"/>
      <c r="AB465" s="668"/>
      <c r="AC465" s="668"/>
    </row>
    <row r="466" spans="1:29">
      <c r="A466" s="668"/>
      <c r="B466" s="668"/>
      <c r="C466" s="668"/>
      <c r="D466" s="668"/>
      <c r="E466" s="668"/>
      <c r="F466" s="668"/>
      <c r="G466" s="668"/>
      <c r="H466" s="668"/>
      <c r="I466" s="668"/>
      <c r="J466" s="668"/>
      <c r="K466" s="668"/>
      <c r="L466" s="668"/>
      <c r="M466" s="298"/>
      <c r="N466" s="812"/>
      <c r="O466" s="812"/>
      <c r="P466" s="812"/>
      <c r="Q466" s="812"/>
      <c r="R466" s="812"/>
      <c r="S466" s="812"/>
      <c r="T466" s="668"/>
      <c r="U466" s="298"/>
      <c r="V466" s="668"/>
      <c r="W466" s="668"/>
      <c r="X466" s="668"/>
      <c r="Y466" s="298"/>
      <c r="Z466" s="668"/>
      <c r="AA466" s="668"/>
      <c r="AB466" s="668"/>
      <c r="AC466" s="668"/>
    </row>
    <row r="467" spans="1:29">
      <c r="A467" s="668"/>
      <c r="B467" s="668"/>
      <c r="C467" s="668"/>
      <c r="D467" s="668"/>
      <c r="E467" s="668"/>
      <c r="F467" s="668"/>
      <c r="G467" s="668"/>
      <c r="H467" s="668"/>
      <c r="I467" s="668"/>
      <c r="J467" s="668"/>
      <c r="K467" s="668"/>
      <c r="L467" s="668"/>
      <c r="M467" s="298"/>
      <c r="N467" s="812"/>
      <c r="O467" s="812"/>
      <c r="P467" s="812"/>
      <c r="Q467" s="812"/>
      <c r="R467" s="812"/>
      <c r="S467" s="812"/>
      <c r="T467" s="668"/>
      <c r="U467" s="298"/>
      <c r="V467" s="668"/>
      <c r="W467" s="668"/>
      <c r="X467" s="668"/>
      <c r="Y467" s="298"/>
      <c r="Z467" s="668"/>
      <c r="AA467" s="668"/>
      <c r="AB467" s="668"/>
      <c r="AC467" s="668"/>
    </row>
    <row r="468" spans="1:29">
      <c r="A468" s="668"/>
      <c r="B468" s="668"/>
      <c r="C468" s="668"/>
      <c r="D468" s="668"/>
      <c r="E468" s="668"/>
      <c r="F468" s="668"/>
      <c r="G468" s="668"/>
      <c r="H468" s="668"/>
      <c r="I468" s="668"/>
      <c r="J468" s="668"/>
      <c r="K468" s="668"/>
      <c r="L468" s="668"/>
      <c r="M468" s="298"/>
      <c r="N468" s="812"/>
      <c r="O468" s="812"/>
      <c r="P468" s="812"/>
      <c r="Q468" s="812"/>
      <c r="R468" s="812"/>
      <c r="S468" s="812"/>
      <c r="T468" s="668"/>
      <c r="U468" s="298"/>
      <c r="V468" s="668"/>
      <c r="W468" s="668"/>
      <c r="X468" s="668"/>
      <c r="Y468" s="298"/>
      <c r="Z468" s="668"/>
      <c r="AA468" s="668"/>
      <c r="AB468" s="668"/>
      <c r="AC468" s="668"/>
    </row>
    <row r="469" spans="1:29">
      <c r="A469" s="668"/>
      <c r="B469" s="668"/>
      <c r="C469" s="668"/>
      <c r="D469" s="668"/>
      <c r="E469" s="668"/>
      <c r="F469" s="668"/>
      <c r="G469" s="668"/>
      <c r="H469" s="668"/>
      <c r="I469" s="668"/>
      <c r="J469" s="668"/>
      <c r="K469" s="668"/>
      <c r="L469" s="668"/>
      <c r="M469" s="298"/>
      <c r="N469" s="812"/>
      <c r="O469" s="812"/>
      <c r="P469" s="812"/>
      <c r="Q469" s="812"/>
      <c r="R469" s="812"/>
      <c r="S469" s="812"/>
      <c r="T469" s="668"/>
      <c r="U469" s="298"/>
      <c r="V469" s="668"/>
      <c r="W469" s="668"/>
      <c r="X469" s="668"/>
      <c r="Y469" s="298"/>
      <c r="Z469" s="668"/>
      <c r="AA469" s="668"/>
      <c r="AB469" s="668"/>
      <c r="AC469" s="668"/>
    </row>
    <row r="470" spans="1:29">
      <c r="A470" s="668"/>
      <c r="B470" s="668"/>
      <c r="C470" s="668"/>
      <c r="D470" s="668"/>
      <c r="E470" s="668"/>
      <c r="F470" s="668"/>
      <c r="G470" s="668"/>
      <c r="H470" s="668"/>
      <c r="I470" s="668"/>
      <c r="J470" s="668"/>
      <c r="K470" s="668"/>
      <c r="L470" s="668"/>
      <c r="M470" s="298"/>
      <c r="N470" s="812"/>
      <c r="O470" s="812"/>
      <c r="P470" s="812"/>
      <c r="Q470" s="812"/>
      <c r="R470" s="812"/>
      <c r="S470" s="812"/>
      <c r="T470" s="668"/>
      <c r="U470" s="298"/>
      <c r="V470" s="668"/>
      <c r="W470" s="668"/>
      <c r="X470" s="668"/>
      <c r="Y470" s="298"/>
      <c r="Z470" s="668"/>
      <c r="AA470" s="668"/>
      <c r="AB470" s="668"/>
      <c r="AC470" s="668"/>
    </row>
    <row r="471" spans="1:29">
      <c r="A471" s="668"/>
      <c r="B471" s="668"/>
      <c r="C471" s="668"/>
      <c r="D471" s="668"/>
      <c r="E471" s="668"/>
      <c r="F471" s="668"/>
      <c r="G471" s="668"/>
      <c r="H471" s="668"/>
      <c r="I471" s="668"/>
      <c r="J471" s="668"/>
      <c r="K471" s="668"/>
      <c r="L471" s="668"/>
      <c r="M471" s="298"/>
      <c r="N471" s="812"/>
      <c r="O471" s="812"/>
      <c r="P471" s="812"/>
      <c r="Q471" s="812"/>
      <c r="R471" s="812"/>
      <c r="S471" s="812"/>
      <c r="T471" s="668"/>
      <c r="U471" s="298"/>
      <c r="V471" s="668"/>
      <c r="W471" s="668"/>
      <c r="X471" s="668"/>
      <c r="Y471" s="298"/>
      <c r="Z471" s="668"/>
      <c r="AA471" s="668"/>
      <c r="AB471" s="668"/>
      <c r="AC471" s="668"/>
    </row>
    <row r="472" spans="1:29">
      <c r="A472" s="668"/>
      <c r="B472" s="668"/>
      <c r="C472" s="668"/>
      <c r="D472" s="668"/>
      <c r="E472" s="668"/>
      <c r="F472" s="668"/>
      <c r="G472" s="668"/>
      <c r="H472" s="668"/>
      <c r="I472" s="668"/>
      <c r="J472" s="668"/>
      <c r="K472" s="668"/>
      <c r="L472" s="668"/>
      <c r="M472" s="298"/>
      <c r="N472" s="812"/>
      <c r="O472" s="812"/>
      <c r="P472" s="812"/>
      <c r="Q472" s="812"/>
      <c r="R472" s="812"/>
      <c r="S472" s="812"/>
      <c r="T472" s="668"/>
      <c r="U472" s="298"/>
      <c r="V472" s="668"/>
      <c r="W472" s="668"/>
      <c r="X472" s="668"/>
      <c r="Y472" s="298"/>
      <c r="Z472" s="668"/>
      <c r="AA472" s="668"/>
      <c r="AB472" s="668"/>
      <c r="AC472" s="668"/>
    </row>
    <row r="473" spans="1:29">
      <c r="A473" s="668"/>
      <c r="B473" s="668"/>
      <c r="C473" s="668"/>
      <c r="D473" s="668"/>
      <c r="E473" s="668"/>
      <c r="F473" s="668"/>
      <c r="G473" s="668"/>
      <c r="H473" s="668"/>
      <c r="I473" s="668"/>
      <c r="J473" s="668"/>
      <c r="K473" s="668"/>
      <c r="L473" s="668"/>
      <c r="M473" s="298"/>
      <c r="N473" s="812"/>
      <c r="O473" s="812"/>
      <c r="P473" s="812"/>
      <c r="Q473" s="812"/>
      <c r="R473" s="812"/>
      <c r="S473" s="812"/>
      <c r="T473" s="668"/>
      <c r="U473" s="298"/>
      <c r="V473" s="668"/>
      <c r="W473" s="668"/>
      <c r="X473" s="668"/>
      <c r="Y473" s="298"/>
      <c r="Z473" s="668"/>
      <c r="AA473" s="668"/>
      <c r="AB473" s="668"/>
      <c r="AC473" s="668"/>
    </row>
    <row r="474" spans="1:29">
      <c r="A474" s="668"/>
      <c r="B474" s="668"/>
      <c r="C474" s="668"/>
      <c r="D474" s="668"/>
      <c r="E474" s="668"/>
      <c r="F474" s="668"/>
      <c r="G474" s="668"/>
      <c r="H474" s="668"/>
      <c r="I474" s="668"/>
      <c r="J474" s="668"/>
      <c r="K474" s="668"/>
      <c r="L474" s="668"/>
      <c r="M474" s="298"/>
      <c r="N474" s="812"/>
      <c r="O474" s="812"/>
      <c r="P474" s="812"/>
      <c r="Q474" s="812"/>
      <c r="R474" s="812"/>
      <c r="S474" s="812"/>
      <c r="T474" s="668"/>
      <c r="U474" s="298"/>
      <c r="V474" s="668"/>
      <c r="W474" s="668"/>
      <c r="X474" s="668"/>
      <c r="Y474" s="298"/>
      <c r="Z474" s="668"/>
      <c r="AA474" s="668"/>
      <c r="AB474" s="668"/>
      <c r="AC474" s="668"/>
    </row>
    <row r="475" spans="1:29">
      <c r="A475" s="668"/>
      <c r="B475" s="668"/>
      <c r="C475" s="668"/>
      <c r="D475" s="668"/>
      <c r="E475" s="668"/>
      <c r="F475" s="668"/>
      <c r="G475" s="668"/>
      <c r="H475" s="668"/>
      <c r="I475" s="668"/>
      <c r="J475" s="668"/>
      <c r="K475" s="668"/>
      <c r="L475" s="668"/>
      <c r="M475" s="298"/>
      <c r="N475" s="812"/>
      <c r="O475" s="812"/>
      <c r="P475" s="812"/>
      <c r="Q475" s="812"/>
      <c r="R475" s="812"/>
      <c r="S475" s="812"/>
      <c r="T475" s="668"/>
      <c r="U475" s="298"/>
      <c r="V475" s="668"/>
      <c r="W475" s="668"/>
      <c r="X475" s="668"/>
      <c r="Y475" s="298"/>
      <c r="Z475" s="668"/>
      <c r="AA475" s="668"/>
      <c r="AB475" s="668"/>
      <c r="AC475" s="668"/>
    </row>
    <row r="476" spans="1:29">
      <c r="A476" s="668"/>
      <c r="B476" s="668"/>
      <c r="C476" s="668"/>
      <c r="D476" s="668"/>
      <c r="E476" s="668"/>
      <c r="F476" s="668"/>
      <c r="G476" s="668"/>
      <c r="H476" s="668"/>
      <c r="I476" s="668"/>
      <c r="J476" s="668"/>
      <c r="K476" s="668"/>
      <c r="L476" s="668"/>
      <c r="M476" s="298"/>
      <c r="N476" s="812"/>
      <c r="O476" s="812"/>
      <c r="P476" s="812"/>
      <c r="Q476" s="812"/>
      <c r="R476" s="812"/>
      <c r="S476" s="812"/>
      <c r="T476" s="668"/>
      <c r="U476" s="298"/>
      <c r="V476" s="668"/>
      <c r="W476" s="668"/>
      <c r="X476" s="668"/>
      <c r="Y476" s="298"/>
      <c r="Z476" s="668"/>
      <c r="AA476" s="668"/>
      <c r="AB476" s="668"/>
      <c r="AC476" s="668"/>
    </row>
    <row r="477" spans="1:29">
      <c r="A477" s="668"/>
      <c r="B477" s="668"/>
      <c r="C477" s="668"/>
      <c r="D477" s="668"/>
      <c r="E477" s="668"/>
      <c r="F477" s="668"/>
      <c r="G477" s="668"/>
      <c r="H477" s="668"/>
      <c r="I477" s="668"/>
      <c r="J477" s="668"/>
      <c r="K477" s="668"/>
      <c r="L477" s="668"/>
      <c r="M477" s="298"/>
      <c r="N477" s="812"/>
      <c r="O477" s="812"/>
      <c r="P477" s="812"/>
      <c r="Q477" s="812"/>
      <c r="R477" s="812"/>
      <c r="S477" s="812"/>
      <c r="T477" s="668"/>
      <c r="U477" s="298"/>
      <c r="V477" s="668"/>
      <c r="W477" s="668"/>
      <c r="X477" s="668"/>
      <c r="Y477" s="298"/>
      <c r="Z477" s="668"/>
      <c r="AA477" s="668"/>
      <c r="AB477" s="668"/>
      <c r="AC477" s="668"/>
    </row>
    <row r="478" spans="1:29">
      <c r="A478" s="668"/>
      <c r="B478" s="668"/>
      <c r="C478" s="668"/>
      <c r="D478" s="668"/>
      <c r="E478" s="668"/>
      <c r="F478" s="668"/>
      <c r="G478" s="668"/>
      <c r="H478" s="668"/>
      <c r="I478" s="668"/>
      <c r="J478" s="668"/>
      <c r="K478" s="668"/>
      <c r="L478" s="668"/>
      <c r="M478" s="298"/>
      <c r="N478" s="812"/>
      <c r="O478" s="812"/>
      <c r="P478" s="812"/>
      <c r="Q478" s="812"/>
      <c r="R478" s="812"/>
      <c r="S478" s="812"/>
      <c r="T478" s="668"/>
      <c r="U478" s="298"/>
      <c r="V478" s="668"/>
      <c r="W478" s="668"/>
      <c r="X478" s="668"/>
      <c r="Y478" s="298"/>
      <c r="Z478" s="668"/>
      <c r="AA478" s="668"/>
      <c r="AB478" s="668"/>
      <c r="AC478" s="668"/>
    </row>
    <row r="479" spans="1:29">
      <c r="A479" s="668"/>
      <c r="B479" s="668"/>
      <c r="C479" s="668"/>
      <c r="D479" s="668"/>
      <c r="E479" s="668"/>
      <c r="F479" s="668"/>
      <c r="G479" s="668"/>
      <c r="H479" s="668"/>
      <c r="I479" s="668"/>
      <c r="J479" s="668"/>
      <c r="K479" s="668"/>
      <c r="L479" s="668"/>
      <c r="M479" s="298"/>
      <c r="N479" s="812"/>
      <c r="O479" s="812"/>
      <c r="P479" s="812"/>
      <c r="Q479" s="812"/>
      <c r="R479" s="812"/>
      <c r="S479" s="812"/>
      <c r="T479" s="668"/>
      <c r="U479" s="298"/>
      <c r="V479" s="668"/>
      <c r="W479" s="668"/>
      <c r="X479" s="668"/>
      <c r="Y479" s="298"/>
      <c r="Z479" s="668"/>
      <c r="AA479" s="668"/>
      <c r="AB479" s="668"/>
      <c r="AC479" s="668"/>
    </row>
    <row r="480" spans="1:29">
      <c r="A480" s="668"/>
      <c r="B480" s="668"/>
      <c r="C480" s="668"/>
      <c r="D480" s="668"/>
      <c r="E480" s="668"/>
      <c r="F480" s="668"/>
      <c r="G480" s="668"/>
      <c r="H480" s="668"/>
      <c r="I480" s="668"/>
      <c r="J480" s="668"/>
      <c r="K480" s="668"/>
      <c r="L480" s="668"/>
      <c r="M480" s="298"/>
      <c r="N480" s="812"/>
      <c r="O480" s="812"/>
      <c r="P480" s="812"/>
      <c r="Q480" s="812"/>
      <c r="R480" s="812"/>
      <c r="S480" s="812"/>
      <c r="T480" s="668"/>
      <c r="U480" s="298"/>
      <c r="V480" s="668"/>
      <c r="W480" s="668"/>
      <c r="X480" s="668"/>
      <c r="Y480" s="298"/>
      <c r="Z480" s="668"/>
      <c r="AA480" s="668"/>
      <c r="AB480" s="668"/>
      <c r="AC480" s="668"/>
    </row>
    <row r="481" spans="1:29">
      <c r="A481" s="668"/>
      <c r="B481" s="668"/>
      <c r="C481" s="668"/>
      <c r="D481" s="668"/>
      <c r="E481" s="668"/>
      <c r="F481" s="668"/>
      <c r="G481" s="668"/>
      <c r="H481" s="668"/>
      <c r="I481" s="668"/>
      <c r="J481" s="668"/>
      <c r="K481" s="668"/>
      <c r="L481" s="668"/>
      <c r="M481" s="298"/>
      <c r="N481" s="812"/>
      <c r="O481" s="812"/>
      <c r="P481" s="812"/>
      <c r="Q481" s="812"/>
      <c r="R481" s="812"/>
      <c r="S481" s="812"/>
      <c r="T481" s="668"/>
      <c r="U481" s="298"/>
      <c r="V481" s="668"/>
      <c r="W481" s="668"/>
      <c r="X481" s="668"/>
      <c r="Y481" s="298"/>
      <c r="Z481" s="668"/>
      <c r="AA481" s="668"/>
      <c r="AB481" s="668"/>
      <c r="AC481" s="668"/>
    </row>
    <row r="482" spans="1:29">
      <c r="A482" s="668"/>
      <c r="B482" s="668"/>
      <c r="C482" s="668"/>
      <c r="D482" s="668"/>
      <c r="E482" s="668"/>
      <c r="F482" s="668"/>
      <c r="G482" s="668"/>
      <c r="H482" s="668"/>
      <c r="I482" s="668"/>
      <c r="J482" s="668"/>
      <c r="K482" s="668"/>
      <c r="L482" s="668"/>
      <c r="M482" s="298"/>
      <c r="N482" s="812"/>
      <c r="O482" s="812"/>
      <c r="P482" s="812"/>
      <c r="Q482" s="812"/>
      <c r="R482" s="812"/>
      <c r="S482" s="812"/>
      <c r="T482" s="668"/>
      <c r="U482" s="298"/>
      <c r="V482" s="668"/>
      <c r="W482" s="668"/>
      <c r="X482" s="668"/>
      <c r="Y482" s="298"/>
      <c r="Z482" s="668"/>
      <c r="AA482" s="668"/>
      <c r="AB482" s="668"/>
      <c r="AC482" s="668"/>
    </row>
    <row r="483" spans="1:29">
      <c r="A483" s="668"/>
      <c r="B483" s="668"/>
      <c r="C483" s="668"/>
      <c r="D483" s="668"/>
      <c r="E483" s="668"/>
      <c r="F483" s="668"/>
      <c r="G483" s="668"/>
      <c r="H483" s="668"/>
      <c r="I483" s="668"/>
      <c r="J483" s="668"/>
      <c r="K483" s="668"/>
      <c r="L483" s="668"/>
      <c r="M483" s="298"/>
      <c r="N483" s="812"/>
      <c r="O483" s="812"/>
      <c r="P483" s="812"/>
      <c r="Q483" s="812"/>
      <c r="R483" s="812"/>
      <c r="S483" s="812"/>
      <c r="T483" s="668"/>
      <c r="U483" s="298"/>
      <c r="V483" s="668"/>
      <c r="W483" s="668"/>
      <c r="X483" s="668"/>
      <c r="Y483" s="298"/>
      <c r="Z483" s="668"/>
      <c r="AA483" s="668"/>
      <c r="AB483" s="668"/>
      <c r="AC483" s="668"/>
    </row>
    <row r="484" spans="1:29">
      <c r="A484" s="668"/>
      <c r="B484" s="668"/>
      <c r="C484" s="668"/>
      <c r="D484" s="668"/>
      <c r="E484" s="668"/>
      <c r="F484" s="668"/>
      <c r="G484" s="668"/>
      <c r="H484" s="668"/>
      <c r="I484" s="668"/>
      <c r="J484" s="668"/>
      <c r="K484" s="668"/>
      <c r="L484" s="668"/>
      <c r="M484" s="298"/>
      <c r="N484" s="812"/>
      <c r="O484" s="812"/>
      <c r="P484" s="812"/>
      <c r="Q484" s="812"/>
      <c r="R484" s="812"/>
      <c r="S484" s="812"/>
      <c r="T484" s="668"/>
      <c r="U484" s="298"/>
      <c r="V484" s="668"/>
      <c r="W484" s="668"/>
      <c r="X484" s="668"/>
      <c r="Y484" s="298"/>
      <c r="Z484" s="668"/>
      <c r="AA484" s="668"/>
      <c r="AB484" s="668"/>
      <c r="AC484" s="668"/>
    </row>
    <row r="485" spans="1:29">
      <c r="A485" s="668"/>
      <c r="B485" s="668"/>
      <c r="C485" s="668"/>
      <c r="D485" s="668"/>
      <c r="E485" s="668"/>
      <c r="F485" s="668"/>
      <c r="G485" s="668"/>
      <c r="H485" s="668"/>
      <c r="I485" s="668"/>
      <c r="J485" s="668"/>
      <c r="K485" s="668"/>
      <c r="L485" s="668"/>
      <c r="M485" s="298"/>
      <c r="N485" s="812"/>
      <c r="O485" s="812"/>
      <c r="P485" s="812"/>
      <c r="Q485" s="812"/>
      <c r="R485" s="812"/>
      <c r="S485" s="812"/>
      <c r="T485" s="668"/>
      <c r="U485" s="298"/>
      <c r="V485" s="668"/>
      <c r="W485" s="668"/>
      <c r="X485" s="668"/>
      <c r="Y485" s="298"/>
      <c r="Z485" s="668"/>
      <c r="AA485" s="668"/>
      <c r="AB485" s="668"/>
      <c r="AC485" s="668"/>
    </row>
    <row r="486" spans="1:29">
      <c r="A486" s="668"/>
      <c r="B486" s="668"/>
      <c r="C486" s="668"/>
      <c r="D486" s="668"/>
      <c r="E486" s="668"/>
      <c r="F486" s="668"/>
      <c r="G486" s="668"/>
      <c r="H486" s="668"/>
      <c r="I486" s="668"/>
      <c r="J486" s="668"/>
      <c r="K486" s="668"/>
      <c r="L486" s="668"/>
      <c r="M486" s="298"/>
      <c r="N486" s="812"/>
      <c r="O486" s="812"/>
      <c r="P486" s="812"/>
      <c r="Q486" s="812"/>
      <c r="R486" s="812"/>
      <c r="S486" s="812"/>
      <c r="T486" s="668"/>
      <c r="U486" s="298"/>
      <c r="V486" s="668"/>
      <c r="W486" s="668"/>
      <c r="X486" s="668"/>
      <c r="Y486" s="298"/>
      <c r="Z486" s="668"/>
      <c r="AA486" s="668"/>
      <c r="AB486" s="668"/>
      <c r="AC486" s="668"/>
    </row>
    <row r="487" spans="1:29">
      <c r="A487" s="668"/>
      <c r="B487" s="668"/>
      <c r="C487" s="668"/>
      <c r="D487" s="668"/>
      <c r="E487" s="668"/>
      <c r="F487" s="668"/>
      <c r="G487" s="668"/>
      <c r="H487" s="668"/>
      <c r="I487" s="668"/>
      <c r="J487" s="668"/>
      <c r="K487" s="668"/>
      <c r="L487" s="668"/>
      <c r="M487" s="298"/>
      <c r="N487" s="812"/>
      <c r="O487" s="812"/>
      <c r="P487" s="812"/>
      <c r="Q487" s="812"/>
      <c r="R487" s="812"/>
      <c r="S487" s="812"/>
      <c r="T487" s="668"/>
      <c r="U487" s="298"/>
      <c r="V487" s="668"/>
      <c r="W487" s="668"/>
      <c r="X487" s="668"/>
      <c r="Y487" s="298"/>
      <c r="Z487" s="668"/>
      <c r="AA487" s="668"/>
      <c r="AB487" s="668"/>
      <c r="AC487" s="668"/>
    </row>
    <row r="488" spans="1:29">
      <c r="A488" s="668"/>
      <c r="B488" s="668"/>
      <c r="C488" s="668"/>
      <c r="D488" s="668"/>
      <c r="E488" s="668"/>
      <c r="F488" s="668"/>
      <c r="G488" s="668"/>
      <c r="H488" s="668"/>
      <c r="I488" s="668"/>
      <c r="J488" s="668"/>
      <c r="K488" s="668"/>
      <c r="L488" s="668"/>
      <c r="M488" s="298"/>
      <c r="N488" s="812"/>
      <c r="O488" s="812"/>
      <c r="P488" s="812"/>
      <c r="Q488" s="812"/>
      <c r="R488" s="812"/>
      <c r="S488" s="812"/>
      <c r="T488" s="668"/>
      <c r="U488" s="298"/>
      <c r="V488" s="668"/>
      <c r="W488" s="668"/>
      <c r="X488" s="668"/>
      <c r="Y488" s="298"/>
      <c r="Z488" s="668"/>
      <c r="AA488" s="668"/>
      <c r="AB488" s="668"/>
      <c r="AC488" s="668"/>
    </row>
    <row r="489" spans="1:29">
      <c r="A489" s="668"/>
      <c r="B489" s="668"/>
      <c r="C489" s="668"/>
      <c r="D489" s="668"/>
      <c r="E489" s="668"/>
      <c r="F489" s="668"/>
      <c r="G489" s="668"/>
      <c r="H489" s="668"/>
      <c r="I489" s="668"/>
      <c r="J489" s="668"/>
      <c r="K489" s="668"/>
      <c r="L489" s="668"/>
      <c r="M489" s="298"/>
      <c r="N489" s="812"/>
      <c r="O489" s="812"/>
      <c r="P489" s="812"/>
      <c r="Q489" s="812"/>
      <c r="R489" s="812"/>
      <c r="S489" s="812"/>
      <c r="T489" s="668"/>
      <c r="U489" s="298"/>
      <c r="V489" s="668"/>
      <c r="W489" s="668"/>
      <c r="X489" s="668"/>
      <c r="Y489" s="298"/>
      <c r="Z489" s="668"/>
      <c r="AA489" s="668"/>
      <c r="AB489" s="668"/>
      <c r="AC489" s="668"/>
    </row>
    <row r="490" spans="1:29">
      <c r="A490" s="668"/>
      <c r="B490" s="668"/>
      <c r="C490" s="668"/>
      <c r="D490" s="668"/>
      <c r="E490" s="668"/>
      <c r="F490" s="668"/>
      <c r="G490" s="668"/>
      <c r="H490" s="668"/>
      <c r="I490" s="668"/>
      <c r="J490" s="668"/>
      <c r="K490" s="668"/>
      <c r="L490" s="668"/>
      <c r="M490" s="298"/>
      <c r="N490" s="812"/>
      <c r="O490" s="812"/>
      <c r="P490" s="812"/>
      <c r="Q490" s="812"/>
      <c r="R490" s="812"/>
      <c r="S490" s="812"/>
      <c r="T490" s="668"/>
      <c r="U490" s="298"/>
      <c r="V490" s="668"/>
      <c r="W490" s="668"/>
      <c r="X490" s="668"/>
      <c r="Y490" s="298"/>
      <c r="Z490" s="668"/>
      <c r="AA490" s="668"/>
      <c r="AB490" s="668"/>
      <c r="AC490" s="668"/>
    </row>
    <row r="491" spans="1:29">
      <c r="A491" s="668"/>
      <c r="B491" s="668"/>
      <c r="C491" s="668"/>
      <c r="D491" s="668"/>
      <c r="E491" s="668"/>
      <c r="F491" s="668"/>
      <c r="G491" s="668"/>
      <c r="H491" s="668"/>
      <c r="I491" s="668"/>
      <c r="J491" s="668"/>
      <c r="K491" s="668"/>
      <c r="L491" s="668"/>
      <c r="M491" s="298"/>
      <c r="N491" s="812"/>
      <c r="O491" s="812"/>
      <c r="P491" s="812"/>
      <c r="Q491" s="812"/>
      <c r="R491" s="812"/>
      <c r="S491" s="812"/>
      <c r="T491" s="668"/>
      <c r="U491" s="298"/>
      <c r="V491" s="668"/>
      <c r="W491" s="668"/>
      <c r="X491" s="668"/>
      <c r="Y491" s="298"/>
      <c r="Z491" s="668"/>
      <c r="AA491" s="668"/>
      <c r="AB491" s="668"/>
      <c r="AC491" s="668"/>
    </row>
    <row r="492" spans="1:29">
      <c r="A492" s="668"/>
      <c r="B492" s="668"/>
      <c r="C492" s="668"/>
      <c r="D492" s="668"/>
      <c r="E492" s="668"/>
      <c r="F492" s="668"/>
      <c r="G492" s="668"/>
      <c r="H492" s="668"/>
      <c r="I492" s="668"/>
      <c r="J492" s="668"/>
      <c r="K492" s="668"/>
      <c r="L492" s="668"/>
      <c r="M492" s="298"/>
      <c r="N492" s="812"/>
      <c r="O492" s="812"/>
      <c r="P492" s="812"/>
      <c r="Q492" s="812"/>
      <c r="R492" s="812"/>
      <c r="S492" s="812"/>
      <c r="T492" s="668"/>
      <c r="U492" s="298"/>
      <c r="V492" s="668"/>
      <c r="W492" s="668"/>
      <c r="X492" s="668"/>
      <c r="Y492" s="298"/>
      <c r="Z492" s="668"/>
      <c r="AA492" s="668"/>
      <c r="AB492" s="668"/>
      <c r="AC492" s="668"/>
    </row>
    <row r="493" spans="1:29">
      <c r="A493" s="668"/>
      <c r="B493" s="668"/>
      <c r="C493" s="668"/>
      <c r="D493" s="668"/>
      <c r="E493" s="668"/>
      <c r="F493" s="668"/>
      <c r="G493" s="668"/>
      <c r="H493" s="668"/>
      <c r="I493" s="668"/>
      <c r="J493" s="668"/>
      <c r="K493" s="668"/>
      <c r="L493" s="668"/>
      <c r="M493" s="298"/>
      <c r="N493" s="812"/>
      <c r="O493" s="812"/>
      <c r="P493" s="812"/>
      <c r="Q493" s="812"/>
      <c r="R493" s="812"/>
      <c r="S493" s="812"/>
      <c r="T493" s="668"/>
      <c r="U493" s="298"/>
      <c r="V493" s="668"/>
      <c r="W493" s="668"/>
      <c r="X493" s="668"/>
      <c r="Y493" s="298"/>
      <c r="Z493" s="668"/>
      <c r="AA493" s="668"/>
      <c r="AB493" s="668"/>
      <c r="AC493" s="668"/>
    </row>
    <row r="494" spans="1:29">
      <c r="A494" s="668"/>
      <c r="B494" s="668"/>
      <c r="C494" s="668"/>
      <c r="D494" s="668"/>
      <c r="E494" s="668"/>
      <c r="F494" s="668"/>
      <c r="G494" s="668"/>
      <c r="H494" s="668"/>
      <c r="I494" s="668"/>
      <c r="J494" s="668"/>
      <c r="K494" s="668"/>
      <c r="L494" s="668"/>
      <c r="M494" s="298"/>
      <c r="N494" s="812"/>
      <c r="O494" s="812"/>
      <c r="P494" s="812"/>
      <c r="Q494" s="812"/>
      <c r="R494" s="812"/>
      <c r="S494" s="812"/>
      <c r="T494" s="668"/>
      <c r="U494" s="298"/>
      <c r="V494" s="668"/>
      <c r="W494" s="668"/>
      <c r="X494" s="668"/>
      <c r="Y494" s="298"/>
      <c r="Z494" s="668"/>
      <c r="AA494" s="668"/>
      <c r="AB494" s="668"/>
      <c r="AC494" s="668"/>
    </row>
    <row r="495" spans="1:29">
      <c r="A495" s="668"/>
      <c r="B495" s="668"/>
      <c r="C495" s="668"/>
      <c r="D495" s="668"/>
      <c r="E495" s="668"/>
      <c r="F495" s="668"/>
      <c r="G495" s="668"/>
      <c r="H495" s="668"/>
      <c r="I495" s="668"/>
      <c r="J495" s="668"/>
      <c r="K495" s="668"/>
      <c r="L495" s="668"/>
      <c r="M495" s="298"/>
      <c r="N495" s="812"/>
      <c r="O495" s="812"/>
      <c r="P495" s="812"/>
      <c r="Q495" s="812"/>
      <c r="R495" s="812"/>
      <c r="S495" s="812"/>
      <c r="T495" s="668"/>
      <c r="U495" s="298"/>
      <c r="V495" s="668"/>
      <c r="W495" s="668"/>
      <c r="X495" s="668"/>
      <c r="Y495" s="298"/>
      <c r="Z495" s="668"/>
      <c r="AA495" s="668"/>
      <c r="AB495" s="668"/>
      <c r="AC495" s="668"/>
    </row>
    <row r="496" spans="1:29">
      <c r="A496" s="668"/>
      <c r="B496" s="668"/>
      <c r="C496" s="668"/>
      <c r="D496" s="668"/>
      <c r="E496" s="668"/>
      <c r="F496" s="668"/>
      <c r="G496" s="668"/>
      <c r="H496" s="668"/>
      <c r="I496" s="668"/>
      <c r="J496" s="668"/>
      <c r="K496" s="668"/>
      <c r="L496" s="668"/>
      <c r="M496" s="298"/>
      <c r="N496" s="812"/>
      <c r="O496" s="812"/>
      <c r="P496" s="812"/>
      <c r="Q496" s="812"/>
      <c r="R496" s="812"/>
      <c r="S496" s="812"/>
      <c r="T496" s="668"/>
      <c r="U496" s="298"/>
      <c r="V496" s="668"/>
      <c r="W496" s="668"/>
      <c r="X496" s="668"/>
      <c r="Y496" s="298"/>
      <c r="Z496" s="668"/>
      <c r="AA496" s="668"/>
      <c r="AB496" s="668"/>
      <c r="AC496" s="668"/>
    </row>
    <row r="497" spans="1:29">
      <c r="A497" s="668"/>
      <c r="B497" s="668"/>
      <c r="C497" s="668"/>
      <c r="D497" s="668"/>
      <c r="E497" s="668"/>
      <c r="F497" s="668"/>
      <c r="G497" s="668"/>
      <c r="H497" s="668"/>
      <c r="I497" s="668"/>
      <c r="J497" s="668"/>
      <c r="K497" s="668"/>
      <c r="L497" s="668"/>
      <c r="M497" s="298"/>
      <c r="N497" s="812"/>
      <c r="O497" s="812"/>
      <c r="P497" s="812"/>
      <c r="Q497" s="812"/>
      <c r="R497" s="812"/>
      <c r="S497" s="812"/>
      <c r="T497" s="668"/>
      <c r="U497" s="298"/>
      <c r="V497" s="668"/>
      <c r="W497" s="668"/>
      <c r="X497" s="668"/>
      <c r="Y497" s="298"/>
      <c r="Z497" s="668"/>
      <c r="AA497" s="668"/>
      <c r="AB497" s="668"/>
      <c r="AC497" s="668"/>
    </row>
    <row r="498" spans="1:29">
      <c r="A498" s="668"/>
      <c r="B498" s="668"/>
      <c r="C498" s="668"/>
      <c r="D498" s="668"/>
      <c r="E498" s="668"/>
      <c r="F498" s="668"/>
      <c r="G498" s="668"/>
      <c r="H498" s="668"/>
      <c r="I498" s="668"/>
      <c r="J498" s="668"/>
      <c r="K498" s="668"/>
      <c r="L498" s="668"/>
      <c r="M498" s="298"/>
      <c r="N498" s="812"/>
      <c r="O498" s="812"/>
      <c r="P498" s="812"/>
      <c r="Q498" s="812"/>
      <c r="R498" s="812"/>
      <c r="S498" s="812"/>
      <c r="T498" s="668"/>
      <c r="U498" s="298"/>
      <c r="V498" s="668"/>
      <c r="W498" s="668"/>
      <c r="X498" s="668"/>
      <c r="Y498" s="298"/>
      <c r="Z498" s="668"/>
      <c r="AA498" s="668"/>
      <c r="AB498" s="668"/>
      <c r="AC498" s="668"/>
    </row>
    <row r="499" spans="1:29">
      <c r="A499" s="668"/>
      <c r="B499" s="668"/>
      <c r="C499" s="668"/>
      <c r="D499" s="668"/>
      <c r="E499" s="668"/>
      <c r="F499" s="668"/>
      <c r="G499" s="668"/>
      <c r="H499" s="668"/>
      <c r="I499" s="668"/>
      <c r="J499" s="668"/>
      <c r="K499" s="668"/>
      <c r="L499" s="668"/>
      <c r="M499" s="298"/>
      <c r="N499" s="812"/>
      <c r="O499" s="812"/>
      <c r="P499" s="812"/>
      <c r="Q499" s="812"/>
      <c r="R499" s="812"/>
      <c r="S499" s="812"/>
      <c r="T499" s="668"/>
      <c r="U499" s="298"/>
      <c r="V499" s="668"/>
      <c r="W499" s="668"/>
      <c r="X499" s="668"/>
      <c r="Y499" s="298"/>
      <c r="Z499" s="668"/>
      <c r="AA499" s="668"/>
      <c r="AB499" s="668"/>
      <c r="AC499" s="668"/>
    </row>
    <row r="500" spans="1:29">
      <c r="A500" s="668"/>
      <c r="B500" s="668"/>
      <c r="C500" s="668"/>
      <c r="D500" s="668"/>
      <c r="E500" s="668"/>
      <c r="F500" s="668"/>
      <c r="G500" s="668"/>
      <c r="H500" s="668"/>
      <c r="I500" s="668"/>
      <c r="J500" s="668"/>
      <c r="K500" s="668"/>
      <c r="L500" s="668"/>
      <c r="M500" s="298"/>
      <c r="N500" s="812"/>
      <c r="O500" s="812"/>
      <c r="P500" s="812"/>
      <c r="Q500" s="812"/>
      <c r="R500" s="812"/>
      <c r="S500" s="812"/>
      <c r="T500" s="668"/>
      <c r="U500" s="298"/>
      <c r="V500" s="668"/>
      <c r="W500" s="668"/>
      <c r="X500" s="668"/>
      <c r="Y500" s="298"/>
      <c r="Z500" s="668"/>
      <c r="AA500" s="668"/>
      <c r="AB500" s="668"/>
      <c r="AC500" s="668"/>
    </row>
    <row r="501" spans="1:29">
      <c r="A501" s="668"/>
      <c r="B501" s="668"/>
      <c r="C501" s="668"/>
      <c r="D501" s="668"/>
      <c r="E501" s="668"/>
      <c r="F501" s="668"/>
      <c r="G501" s="668"/>
      <c r="H501" s="668"/>
      <c r="I501" s="668"/>
      <c r="J501" s="668"/>
      <c r="K501" s="668"/>
      <c r="L501" s="668"/>
      <c r="M501" s="298"/>
      <c r="N501" s="812"/>
      <c r="O501" s="812"/>
      <c r="P501" s="812"/>
      <c r="Q501" s="812"/>
      <c r="R501" s="812"/>
      <c r="S501" s="812"/>
      <c r="T501" s="668"/>
      <c r="U501" s="298"/>
      <c r="V501" s="668"/>
      <c r="W501" s="668"/>
      <c r="X501" s="668"/>
      <c r="Y501" s="298"/>
      <c r="Z501" s="668"/>
      <c r="AA501" s="668"/>
      <c r="AB501" s="668"/>
      <c r="AC501" s="668"/>
    </row>
    <row r="502" spans="1:29">
      <c r="A502" s="668"/>
      <c r="B502" s="668"/>
      <c r="C502" s="668"/>
      <c r="D502" s="668"/>
      <c r="E502" s="668"/>
      <c r="F502" s="668"/>
      <c r="G502" s="668"/>
      <c r="H502" s="668"/>
      <c r="I502" s="668"/>
      <c r="J502" s="668"/>
      <c r="K502" s="668"/>
      <c r="L502" s="668"/>
      <c r="M502" s="298"/>
      <c r="N502" s="812"/>
      <c r="O502" s="812"/>
      <c r="P502" s="812"/>
      <c r="Q502" s="812"/>
      <c r="R502" s="812"/>
      <c r="S502" s="812"/>
      <c r="T502" s="668"/>
      <c r="U502" s="298"/>
      <c r="V502" s="668"/>
      <c r="W502" s="668"/>
      <c r="X502" s="668"/>
      <c r="Y502" s="298"/>
      <c r="Z502" s="668"/>
      <c r="AA502" s="668"/>
      <c r="AB502" s="668"/>
      <c r="AC502" s="668"/>
    </row>
    <row r="503" spans="1:29">
      <c r="A503" s="668"/>
      <c r="B503" s="668"/>
      <c r="C503" s="668"/>
      <c r="D503" s="668"/>
      <c r="E503" s="668"/>
      <c r="F503" s="668"/>
      <c r="G503" s="668"/>
      <c r="H503" s="668"/>
      <c r="I503" s="668"/>
      <c r="J503" s="668"/>
      <c r="K503" s="668"/>
      <c r="L503" s="668"/>
      <c r="M503" s="298"/>
      <c r="N503" s="812"/>
      <c r="O503" s="812"/>
      <c r="P503" s="812"/>
      <c r="Q503" s="812"/>
      <c r="R503" s="812"/>
      <c r="S503" s="812"/>
      <c r="T503" s="668"/>
      <c r="U503" s="298"/>
      <c r="V503" s="668"/>
      <c r="W503" s="668"/>
      <c r="X503" s="668"/>
      <c r="Y503" s="298"/>
      <c r="Z503" s="668"/>
      <c r="AA503" s="668"/>
      <c r="AB503" s="668"/>
      <c r="AC503" s="668"/>
    </row>
    <row r="504" spans="1:29">
      <c r="A504" s="668"/>
      <c r="B504" s="668"/>
      <c r="C504" s="668"/>
      <c r="D504" s="668"/>
      <c r="E504" s="668"/>
      <c r="F504" s="668"/>
      <c r="G504" s="668"/>
      <c r="H504" s="668"/>
      <c r="I504" s="668"/>
      <c r="J504" s="668"/>
      <c r="K504" s="668"/>
      <c r="L504" s="668"/>
      <c r="M504" s="298"/>
      <c r="N504" s="812"/>
      <c r="O504" s="812"/>
      <c r="P504" s="812"/>
      <c r="Q504" s="812"/>
      <c r="R504" s="812"/>
      <c r="S504" s="812"/>
      <c r="T504" s="668"/>
      <c r="U504" s="298"/>
      <c r="V504" s="668"/>
      <c r="W504" s="668"/>
      <c r="X504" s="668"/>
      <c r="Y504" s="298"/>
      <c r="Z504" s="668"/>
      <c r="AA504" s="668"/>
      <c r="AB504" s="668"/>
      <c r="AC504" s="668"/>
    </row>
    <row r="505" spans="1:29">
      <c r="A505" s="668"/>
      <c r="B505" s="668"/>
      <c r="C505" s="668"/>
      <c r="D505" s="668"/>
      <c r="E505" s="668"/>
      <c r="F505" s="668"/>
      <c r="G505" s="668"/>
      <c r="H505" s="668"/>
      <c r="I505" s="668"/>
      <c r="J505" s="668"/>
      <c r="K505" s="668"/>
      <c r="L505" s="668"/>
      <c r="M505" s="298"/>
      <c r="N505" s="812"/>
      <c r="O505" s="812"/>
      <c r="P505" s="812"/>
      <c r="Q505" s="812"/>
      <c r="R505" s="812"/>
      <c r="S505" s="812"/>
      <c r="T505" s="668"/>
      <c r="U505" s="298"/>
      <c r="V505" s="668"/>
      <c r="W505" s="668"/>
      <c r="X505" s="668"/>
      <c r="Y505" s="298"/>
      <c r="Z505" s="668"/>
      <c r="AA505" s="668"/>
      <c r="AB505" s="668"/>
      <c r="AC505" s="668"/>
    </row>
    <row r="506" spans="1:29">
      <c r="A506" s="668"/>
      <c r="B506" s="668"/>
      <c r="C506" s="668"/>
      <c r="D506" s="668"/>
      <c r="E506" s="668"/>
      <c r="F506" s="668"/>
      <c r="G506" s="668"/>
      <c r="H506" s="668"/>
      <c r="I506" s="668"/>
      <c r="J506" s="668"/>
      <c r="K506" s="668"/>
      <c r="L506" s="668"/>
      <c r="M506" s="298"/>
      <c r="N506" s="812"/>
      <c r="O506" s="812"/>
      <c r="P506" s="812"/>
      <c r="Q506" s="812"/>
      <c r="R506" s="812"/>
      <c r="S506" s="812"/>
      <c r="T506" s="668"/>
      <c r="U506" s="298"/>
      <c r="V506" s="668"/>
      <c r="W506" s="668"/>
      <c r="X506" s="668"/>
      <c r="Y506" s="298"/>
      <c r="Z506" s="668"/>
      <c r="AA506" s="668"/>
      <c r="AB506" s="668"/>
      <c r="AC506" s="668"/>
    </row>
    <row r="507" spans="1:29">
      <c r="A507" s="668"/>
      <c r="B507" s="668"/>
      <c r="C507" s="668"/>
      <c r="D507" s="668"/>
      <c r="E507" s="668"/>
      <c r="F507" s="668"/>
      <c r="G507" s="668"/>
      <c r="H507" s="668"/>
      <c r="I507" s="668"/>
      <c r="J507" s="668"/>
      <c r="K507" s="668"/>
      <c r="L507" s="668"/>
      <c r="M507" s="298"/>
      <c r="N507" s="812"/>
      <c r="O507" s="812"/>
      <c r="P507" s="812"/>
      <c r="Q507" s="812"/>
      <c r="R507" s="812"/>
      <c r="S507" s="812"/>
      <c r="T507" s="668"/>
      <c r="U507" s="298"/>
      <c r="V507" s="668"/>
      <c r="W507" s="668"/>
      <c r="X507" s="668"/>
      <c r="Y507" s="298"/>
      <c r="Z507" s="668"/>
      <c r="AA507" s="668"/>
      <c r="AB507" s="668"/>
      <c r="AC507" s="668"/>
    </row>
    <row r="508" spans="1:29">
      <c r="A508" s="668"/>
      <c r="B508" s="668"/>
      <c r="C508" s="668"/>
      <c r="D508" s="668"/>
      <c r="E508" s="668"/>
      <c r="F508" s="668"/>
      <c r="G508" s="668"/>
      <c r="H508" s="668"/>
      <c r="I508" s="668"/>
      <c r="J508" s="668"/>
      <c r="K508" s="668"/>
      <c r="L508" s="668"/>
      <c r="M508" s="298"/>
      <c r="N508" s="812"/>
      <c r="O508" s="812"/>
      <c r="P508" s="812"/>
      <c r="Q508" s="812"/>
      <c r="R508" s="812"/>
      <c r="S508" s="812"/>
      <c r="T508" s="668"/>
      <c r="U508" s="298"/>
      <c r="V508" s="668"/>
      <c r="W508" s="668"/>
      <c r="X508" s="668"/>
      <c r="Y508" s="298"/>
      <c r="Z508" s="668"/>
      <c r="AA508" s="668"/>
      <c r="AB508" s="668"/>
      <c r="AC508" s="668"/>
    </row>
    <row r="509" spans="1:29">
      <c r="A509" s="668"/>
      <c r="B509" s="668"/>
      <c r="C509" s="668"/>
      <c r="D509" s="668"/>
      <c r="E509" s="668"/>
      <c r="F509" s="668"/>
      <c r="G509" s="668"/>
      <c r="H509" s="668"/>
      <c r="I509" s="668"/>
      <c r="J509" s="668"/>
      <c r="K509" s="668"/>
      <c r="L509" s="668"/>
      <c r="M509" s="298"/>
      <c r="N509" s="812"/>
      <c r="O509" s="812"/>
      <c r="P509" s="812"/>
      <c r="Q509" s="812"/>
      <c r="R509" s="812"/>
      <c r="S509" s="812"/>
      <c r="T509" s="668"/>
      <c r="U509" s="298"/>
      <c r="V509" s="668"/>
      <c r="W509" s="668"/>
      <c r="X509" s="668"/>
      <c r="Y509" s="298"/>
      <c r="Z509" s="668"/>
      <c r="AA509" s="668"/>
      <c r="AB509" s="668"/>
      <c r="AC509" s="668"/>
    </row>
    <row r="510" spans="1:29">
      <c r="A510" s="668"/>
      <c r="B510" s="668"/>
      <c r="C510" s="668"/>
      <c r="D510" s="668"/>
      <c r="E510" s="668"/>
      <c r="F510" s="668"/>
      <c r="G510" s="668"/>
      <c r="H510" s="668"/>
      <c r="I510" s="668"/>
      <c r="J510" s="668"/>
      <c r="K510" s="668"/>
      <c r="L510" s="668"/>
      <c r="M510" s="298"/>
      <c r="N510" s="812"/>
      <c r="O510" s="812"/>
      <c r="P510" s="812"/>
      <c r="Q510" s="812"/>
      <c r="R510" s="812"/>
      <c r="S510" s="812"/>
      <c r="T510" s="668"/>
      <c r="U510" s="298"/>
      <c r="V510" s="668"/>
      <c r="W510" s="668"/>
      <c r="X510" s="668"/>
      <c r="Y510" s="298"/>
      <c r="Z510" s="668"/>
      <c r="AA510" s="668"/>
      <c r="AB510" s="668"/>
      <c r="AC510" s="668"/>
    </row>
    <row r="511" spans="1:29">
      <c r="A511" s="668"/>
      <c r="B511" s="668"/>
      <c r="C511" s="668"/>
      <c r="D511" s="668"/>
      <c r="E511" s="668"/>
      <c r="F511" s="668"/>
      <c r="G511" s="668"/>
      <c r="H511" s="668"/>
      <c r="I511" s="668"/>
      <c r="J511" s="668"/>
      <c r="K511" s="668"/>
      <c r="L511" s="668"/>
      <c r="M511" s="298"/>
      <c r="N511" s="812"/>
      <c r="O511" s="812"/>
      <c r="P511" s="812"/>
      <c r="Q511" s="812"/>
      <c r="R511" s="812"/>
      <c r="S511" s="812"/>
      <c r="T511" s="668"/>
      <c r="U511" s="298"/>
      <c r="V511" s="668"/>
      <c r="W511" s="668"/>
      <c r="X511" s="668"/>
      <c r="Y511" s="298"/>
      <c r="Z511" s="668"/>
      <c r="AA511" s="668"/>
      <c r="AB511" s="668"/>
      <c r="AC511" s="668"/>
    </row>
    <row r="512" spans="1:29">
      <c r="A512" s="668"/>
      <c r="B512" s="668"/>
      <c r="C512" s="668"/>
      <c r="D512" s="668"/>
      <c r="E512" s="668"/>
      <c r="F512" s="668"/>
      <c r="G512" s="668"/>
      <c r="H512" s="668"/>
      <c r="I512" s="668"/>
      <c r="J512" s="668"/>
      <c r="K512" s="668"/>
      <c r="L512" s="668"/>
      <c r="M512" s="298"/>
      <c r="N512" s="812"/>
      <c r="O512" s="812"/>
      <c r="P512" s="812"/>
      <c r="Q512" s="812"/>
      <c r="R512" s="812"/>
      <c r="S512" s="812"/>
      <c r="T512" s="668"/>
      <c r="U512" s="298"/>
      <c r="V512" s="668"/>
      <c r="W512" s="668"/>
      <c r="X512" s="668"/>
      <c r="Y512" s="298"/>
      <c r="Z512" s="668"/>
      <c r="AA512" s="668"/>
      <c r="AB512" s="668"/>
      <c r="AC512" s="668"/>
    </row>
    <row r="513" spans="1:29">
      <c r="A513" s="668"/>
      <c r="B513" s="668"/>
      <c r="C513" s="668"/>
      <c r="D513" s="668"/>
      <c r="E513" s="668"/>
      <c r="F513" s="668"/>
      <c r="G513" s="668"/>
      <c r="H513" s="668"/>
      <c r="I513" s="668"/>
      <c r="J513" s="668"/>
      <c r="K513" s="668"/>
      <c r="L513" s="668"/>
      <c r="M513" s="298"/>
      <c r="N513" s="812"/>
      <c r="O513" s="812"/>
      <c r="P513" s="812"/>
      <c r="Q513" s="812"/>
      <c r="R513" s="812"/>
      <c r="S513" s="812"/>
      <c r="T513" s="668"/>
      <c r="U513" s="298"/>
      <c r="V513" s="668"/>
      <c r="W513" s="668"/>
      <c r="X513" s="668"/>
      <c r="Y513" s="298"/>
      <c r="Z513" s="668"/>
      <c r="AA513" s="668"/>
      <c r="AB513" s="668"/>
      <c r="AC513" s="668"/>
    </row>
    <row r="514" spans="1:29">
      <c r="A514" s="668"/>
      <c r="B514" s="668"/>
      <c r="C514" s="668"/>
      <c r="D514" s="668"/>
      <c r="E514" s="668"/>
      <c r="F514" s="668"/>
      <c r="G514" s="668"/>
      <c r="H514" s="668"/>
      <c r="I514" s="668"/>
      <c r="J514" s="668"/>
      <c r="K514" s="668"/>
      <c r="L514" s="668"/>
      <c r="M514" s="298"/>
      <c r="N514" s="812"/>
      <c r="O514" s="812"/>
      <c r="P514" s="812"/>
      <c r="Q514" s="812"/>
      <c r="R514" s="812"/>
      <c r="S514" s="812"/>
      <c r="T514" s="668"/>
      <c r="U514" s="298"/>
      <c r="V514" s="668"/>
      <c r="W514" s="668"/>
      <c r="X514" s="668"/>
      <c r="Y514" s="298"/>
      <c r="Z514" s="668"/>
      <c r="AA514" s="668"/>
      <c r="AB514" s="668"/>
      <c r="AC514" s="668"/>
    </row>
    <row r="515" spans="1:29">
      <c r="A515" s="668"/>
      <c r="B515" s="668"/>
      <c r="C515" s="668"/>
      <c r="D515" s="668"/>
      <c r="E515" s="668"/>
      <c r="F515" s="668"/>
      <c r="G515" s="668"/>
      <c r="H515" s="668"/>
      <c r="I515" s="668"/>
      <c r="J515" s="668"/>
      <c r="K515" s="668"/>
      <c r="L515" s="668"/>
      <c r="M515" s="298"/>
      <c r="N515" s="812"/>
      <c r="O515" s="812"/>
      <c r="P515" s="812"/>
      <c r="Q515" s="812"/>
      <c r="R515" s="812"/>
      <c r="S515" s="812"/>
      <c r="T515" s="668"/>
      <c r="U515" s="298"/>
      <c r="V515" s="668"/>
      <c r="W515" s="668"/>
      <c r="X515" s="668"/>
      <c r="Y515" s="298"/>
      <c r="Z515" s="668"/>
      <c r="AA515" s="668"/>
      <c r="AB515" s="668"/>
      <c r="AC515" s="668"/>
    </row>
    <row r="516" spans="1:29">
      <c r="A516" s="668"/>
      <c r="B516" s="668"/>
      <c r="C516" s="668"/>
      <c r="D516" s="668"/>
      <c r="E516" s="668"/>
      <c r="F516" s="668"/>
      <c r="G516" s="668"/>
      <c r="H516" s="668"/>
      <c r="I516" s="668"/>
      <c r="J516" s="668"/>
      <c r="K516" s="668"/>
      <c r="L516" s="668"/>
      <c r="M516" s="298"/>
      <c r="N516" s="812"/>
      <c r="O516" s="812"/>
      <c r="P516" s="812"/>
      <c r="Q516" s="812"/>
      <c r="R516" s="812"/>
      <c r="S516" s="812"/>
      <c r="T516" s="668"/>
      <c r="U516" s="298"/>
      <c r="V516" s="668"/>
      <c r="W516" s="668"/>
      <c r="X516" s="668"/>
      <c r="Y516" s="298"/>
      <c r="Z516" s="668"/>
      <c r="AA516" s="668"/>
      <c r="AB516" s="668"/>
      <c r="AC516" s="668"/>
    </row>
    <row r="517" spans="1:29">
      <c r="A517" s="668"/>
      <c r="B517" s="668"/>
      <c r="C517" s="668"/>
      <c r="D517" s="668"/>
      <c r="E517" s="668"/>
      <c r="F517" s="668"/>
      <c r="G517" s="668"/>
      <c r="H517" s="668"/>
      <c r="I517" s="668"/>
      <c r="J517" s="668"/>
      <c r="K517" s="668"/>
      <c r="L517" s="668"/>
      <c r="M517" s="298"/>
      <c r="N517" s="812"/>
      <c r="O517" s="812"/>
      <c r="P517" s="812"/>
      <c r="Q517" s="812"/>
      <c r="R517" s="812"/>
      <c r="S517" s="812"/>
      <c r="T517" s="668"/>
      <c r="U517" s="298"/>
      <c r="V517" s="668"/>
      <c r="W517" s="668"/>
      <c r="X517" s="668"/>
      <c r="Y517" s="298"/>
      <c r="Z517" s="668"/>
      <c r="AA517" s="668"/>
      <c r="AB517" s="668"/>
      <c r="AC517" s="668"/>
    </row>
    <row r="518" spans="1:29">
      <c r="A518" s="668"/>
      <c r="B518" s="668"/>
      <c r="C518" s="668"/>
      <c r="D518" s="668"/>
      <c r="E518" s="668"/>
      <c r="F518" s="668"/>
      <c r="G518" s="668"/>
      <c r="H518" s="668"/>
      <c r="I518" s="668"/>
      <c r="J518" s="668"/>
      <c r="K518" s="668"/>
      <c r="L518" s="668"/>
      <c r="M518" s="298"/>
      <c r="N518" s="812"/>
      <c r="O518" s="812"/>
      <c r="P518" s="812"/>
      <c r="Q518" s="812"/>
      <c r="R518" s="812"/>
      <c r="S518" s="812"/>
      <c r="T518" s="668"/>
      <c r="U518" s="298"/>
      <c r="V518" s="668"/>
      <c r="W518" s="668"/>
      <c r="X518" s="668"/>
      <c r="Y518" s="298"/>
      <c r="Z518" s="668"/>
      <c r="AA518" s="668"/>
      <c r="AB518" s="668"/>
      <c r="AC518" s="668"/>
    </row>
    <row r="519" spans="1:29">
      <c r="A519" s="668"/>
      <c r="B519" s="668"/>
      <c r="C519" s="668"/>
      <c r="D519" s="668"/>
      <c r="E519" s="668"/>
      <c r="F519" s="668"/>
      <c r="G519" s="668"/>
      <c r="H519" s="668"/>
      <c r="I519" s="668"/>
      <c r="J519" s="668"/>
      <c r="K519" s="668"/>
      <c r="L519" s="668"/>
      <c r="M519" s="298"/>
      <c r="N519" s="812"/>
      <c r="O519" s="812"/>
      <c r="P519" s="812"/>
      <c r="Q519" s="812"/>
      <c r="R519" s="812"/>
      <c r="S519" s="812"/>
      <c r="T519" s="668"/>
      <c r="U519" s="298"/>
      <c r="V519" s="668"/>
      <c r="W519" s="668"/>
      <c r="X519" s="668"/>
      <c r="Y519" s="298"/>
      <c r="Z519" s="668"/>
      <c r="AA519" s="668"/>
      <c r="AB519" s="668"/>
      <c r="AC519" s="668"/>
    </row>
    <row r="520" spans="1:29">
      <c r="A520" s="668"/>
      <c r="B520" s="668"/>
      <c r="C520" s="668"/>
      <c r="D520" s="668"/>
      <c r="E520" s="668"/>
      <c r="F520" s="668"/>
      <c r="G520" s="668"/>
      <c r="H520" s="668"/>
      <c r="I520" s="668"/>
      <c r="J520" s="668"/>
      <c r="K520" s="668"/>
      <c r="L520" s="668"/>
      <c r="M520" s="298"/>
      <c r="N520" s="812"/>
      <c r="O520" s="812"/>
      <c r="P520" s="812"/>
      <c r="Q520" s="812"/>
      <c r="R520" s="812"/>
      <c r="S520" s="812"/>
      <c r="T520" s="668"/>
      <c r="U520" s="298"/>
      <c r="V520" s="668"/>
      <c r="W520" s="668"/>
      <c r="X520" s="668"/>
      <c r="Y520" s="298"/>
      <c r="Z520" s="668"/>
      <c r="AA520" s="668"/>
      <c r="AB520" s="668"/>
      <c r="AC520" s="668"/>
    </row>
    <row r="521" spans="1:29">
      <c r="A521" s="668"/>
      <c r="B521" s="668"/>
      <c r="C521" s="668"/>
      <c r="D521" s="668"/>
      <c r="E521" s="668"/>
      <c r="F521" s="668"/>
      <c r="G521" s="668"/>
      <c r="H521" s="668"/>
      <c r="I521" s="668"/>
      <c r="J521" s="668"/>
      <c r="K521" s="668"/>
      <c r="L521" s="668"/>
      <c r="M521" s="298"/>
      <c r="N521" s="812"/>
      <c r="O521" s="812"/>
      <c r="P521" s="812"/>
      <c r="Q521" s="812"/>
      <c r="R521" s="812"/>
      <c r="S521" s="812"/>
      <c r="T521" s="668"/>
      <c r="U521" s="298"/>
      <c r="V521" s="668"/>
      <c r="W521" s="668"/>
      <c r="X521" s="668"/>
      <c r="Y521" s="298"/>
      <c r="Z521" s="668"/>
      <c r="AA521" s="668"/>
      <c r="AB521" s="668"/>
      <c r="AC521" s="668"/>
    </row>
    <row r="522" spans="1:29">
      <c r="A522" s="668"/>
      <c r="B522" s="668"/>
      <c r="C522" s="668"/>
      <c r="D522" s="668"/>
      <c r="E522" s="668"/>
      <c r="F522" s="668"/>
      <c r="G522" s="668"/>
      <c r="H522" s="668"/>
      <c r="I522" s="668"/>
      <c r="J522" s="668"/>
      <c r="K522" s="668"/>
      <c r="L522" s="668"/>
      <c r="M522" s="298"/>
      <c r="N522" s="812"/>
      <c r="O522" s="812"/>
      <c r="P522" s="812"/>
      <c r="Q522" s="812"/>
      <c r="R522" s="812"/>
      <c r="S522" s="812"/>
      <c r="T522" s="668"/>
      <c r="U522" s="298"/>
      <c r="V522" s="668"/>
      <c r="W522" s="668"/>
      <c r="X522" s="668"/>
      <c r="Y522" s="298"/>
      <c r="Z522" s="668"/>
      <c r="AA522" s="668"/>
      <c r="AB522" s="668"/>
      <c r="AC522" s="668"/>
    </row>
    <row r="523" spans="1:29">
      <c r="A523" s="668"/>
      <c r="B523" s="668"/>
      <c r="C523" s="668"/>
      <c r="D523" s="668"/>
      <c r="E523" s="668"/>
      <c r="F523" s="668"/>
      <c r="G523" s="668"/>
      <c r="H523" s="668"/>
      <c r="I523" s="668"/>
      <c r="J523" s="668"/>
      <c r="K523" s="668"/>
      <c r="L523" s="668"/>
      <c r="M523" s="298"/>
      <c r="N523" s="812"/>
      <c r="O523" s="812"/>
      <c r="P523" s="812"/>
      <c r="Q523" s="812"/>
      <c r="R523" s="812"/>
      <c r="S523" s="812"/>
      <c r="T523" s="668"/>
      <c r="U523" s="298"/>
      <c r="V523" s="668"/>
      <c r="W523" s="668"/>
      <c r="X523" s="668"/>
      <c r="Y523" s="298"/>
      <c r="Z523" s="668"/>
      <c r="AA523" s="668"/>
      <c r="AB523" s="668"/>
      <c r="AC523" s="668"/>
    </row>
    <row r="524" spans="1:29">
      <c r="F524" s="674"/>
      <c r="G524" s="674"/>
      <c r="I524" s="668"/>
      <c r="J524" s="677"/>
      <c r="N524"/>
      <c r="O524"/>
      <c r="P524"/>
      <c r="Q524" s="298"/>
      <c r="R524" s="717"/>
      <c r="S524" s="718"/>
      <c r="T524" s="718"/>
      <c r="U524" s="718"/>
      <c r="V524" s="718"/>
      <c r="W524" s="718"/>
      <c r="X524" s="719"/>
      <c r="Z524" s="298"/>
      <c r="AA524"/>
      <c r="AB524" s="298"/>
      <c r="AC524"/>
    </row>
    <row r="525" spans="1:29">
      <c r="F525" s="674"/>
      <c r="G525" s="674"/>
      <c r="I525" s="668"/>
      <c r="J525" s="677"/>
      <c r="N525"/>
      <c r="O525"/>
      <c r="P525"/>
      <c r="Q525" s="298"/>
      <c r="R525" s="717"/>
      <c r="S525" s="718"/>
      <c r="T525" s="718"/>
      <c r="U525" s="718"/>
      <c r="V525" s="718"/>
      <c r="W525" s="718"/>
      <c r="X525" s="719"/>
      <c r="Z525" s="298"/>
      <c r="AA525"/>
      <c r="AB525" s="298"/>
      <c r="AC525"/>
    </row>
    <row r="526" spans="1:29">
      <c r="F526" s="674"/>
      <c r="G526" s="674"/>
      <c r="I526" s="668"/>
      <c r="J526" s="677"/>
      <c r="N526"/>
      <c r="O526"/>
      <c r="P526"/>
      <c r="Q526" s="298"/>
      <c r="R526" s="717"/>
      <c r="S526" s="718"/>
      <c r="T526" s="718"/>
      <c r="U526" s="718"/>
      <c r="V526" s="718"/>
      <c r="W526" s="718"/>
      <c r="X526" s="719"/>
      <c r="Z526" s="298"/>
      <c r="AA526"/>
      <c r="AB526" s="298"/>
      <c r="AC526"/>
    </row>
    <row r="527" spans="1:29">
      <c r="F527" s="674"/>
      <c r="G527" s="674"/>
      <c r="I527" s="668"/>
      <c r="J527" s="677"/>
      <c r="N527"/>
      <c r="O527"/>
      <c r="P527"/>
      <c r="Q527" s="298"/>
      <c r="R527" s="717"/>
      <c r="S527" s="718"/>
      <c r="T527" s="718"/>
      <c r="U527" s="718"/>
      <c r="V527" s="718"/>
      <c r="W527" s="718"/>
      <c r="X527" s="719"/>
      <c r="Z527" s="298"/>
      <c r="AA527"/>
      <c r="AB527" s="298"/>
      <c r="AC527"/>
    </row>
    <row r="528" spans="1:29">
      <c r="F528" s="674"/>
      <c r="G528" s="674"/>
      <c r="I528" s="668"/>
      <c r="J528" s="677"/>
      <c r="N528"/>
      <c r="O528"/>
      <c r="P528"/>
      <c r="Q528" s="298"/>
      <c r="R528" s="717"/>
      <c r="S528" s="718"/>
      <c r="T528" s="718"/>
      <c r="U528" s="718"/>
      <c r="V528" s="718"/>
      <c r="W528" s="718"/>
      <c r="X528" s="719"/>
      <c r="Z528" s="298"/>
      <c r="AA528"/>
      <c r="AB528" s="298"/>
      <c r="AC528"/>
    </row>
    <row r="529" spans="6:29">
      <c r="F529" s="674"/>
      <c r="G529" s="674"/>
      <c r="I529" s="668"/>
      <c r="J529" s="677"/>
      <c r="N529"/>
      <c r="O529"/>
      <c r="P529"/>
      <c r="Q529" s="298"/>
      <c r="R529" s="717"/>
      <c r="S529" s="718"/>
      <c r="T529" s="718"/>
      <c r="U529" s="718"/>
      <c r="V529" s="718"/>
      <c r="W529" s="718"/>
      <c r="X529" s="719"/>
      <c r="Z529" s="298"/>
      <c r="AA529"/>
      <c r="AB529" s="298"/>
      <c r="AC529"/>
    </row>
    <row r="530" spans="6:29">
      <c r="F530" s="674"/>
      <c r="G530" s="674"/>
      <c r="I530" s="668"/>
      <c r="J530" s="677"/>
      <c r="N530"/>
      <c r="O530"/>
      <c r="P530"/>
      <c r="Q530" s="298"/>
      <c r="R530" s="717"/>
      <c r="S530" s="718"/>
      <c r="T530" s="718"/>
      <c r="U530" s="718"/>
      <c r="V530" s="718"/>
      <c r="W530" s="718"/>
      <c r="X530" s="719"/>
      <c r="Z530" s="298"/>
      <c r="AA530"/>
      <c r="AB530" s="298"/>
      <c r="AC530"/>
    </row>
    <row r="531" spans="6:29">
      <c r="F531" s="674"/>
      <c r="G531" s="674"/>
      <c r="I531" s="668"/>
      <c r="J531" s="677"/>
      <c r="N531"/>
      <c r="O531"/>
      <c r="P531"/>
      <c r="Q531" s="298"/>
      <c r="R531" s="717"/>
      <c r="S531" s="718"/>
      <c r="T531" s="718"/>
      <c r="U531" s="718"/>
      <c r="V531" s="718"/>
      <c r="W531" s="718"/>
      <c r="X531" s="719"/>
      <c r="Z531" s="298"/>
      <c r="AA531"/>
      <c r="AB531" s="298"/>
      <c r="AC531"/>
    </row>
    <row r="532" spans="6:29">
      <c r="F532" s="674"/>
      <c r="G532" s="674"/>
      <c r="I532" s="668"/>
      <c r="J532" s="677"/>
      <c r="N532"/>
      <c r="O532"/>
      <c r="P532"/>
      <c r="Q532" s="298"/>
      <c r="R532" s="717"/>
      <c r="S532" s="718"/>
      <c r="T532" s="718"/>
      <c r="U532" s="718"/>
      <c r="V532" s="718"/>
      <c r="W532" s="718"/>
      <c r="X532" s="719"/>
      <c r="Z532" s="298"/>
      <c r="AA532"/>
      <c r="AB532" s="298"/>
      <c r="AC532"/>
    </row>
    <row r="533" spans="6:29">
      <c r="F533" s="674"/>
      <c r="G533" s="674"/>
      <c r="I533" s="668"/>
      <c r="J533" s="677"/>
      <c r="N533"/>
      <c r="O533"/>
      <c r="P533"/>
      <c r="Q533" s="298"/>
      <c r="R533" s="717"/>
      <c r="S533" s="718"/>
      <c r="T533" s="718"/>
      <c r="U533" s="718"/>
      <c r="V533" s="718"/>
      <c r="W533" s="718"/>
      <c r="X533" s="719"/>
      <c r="Z533" s="298"/>
      <c r="AA533"/>
      <c r="AB533" s="298"/>
      <c r="AC533"/>
    </row>
    <row r="534" spans="6:29">
      <c r="F534" s="674"/>
      <c r="G534" s="674"/>
      <c r="I534" s="668"/>
      <c r="J534" s="677"/>
      <c r="N534"/>
      <c r="O534"/>
      <c r="P534"/>
      <c r="Q534" s="298"/>
      <c r="R534" s="717"/>
      <c r="S534" s="718"/>
      <c r="T534" s="718"/>
      <c r="U534" s="718"/>
      <c r="V534" s="718"/>
      <c r="W534" s="718"/>
      <c r="X534" s="719"/>
      <c r="Z534" s="298"/>
      <c r="AA534"/>
      <c r="AB534" s="298"/>
      <c r="AC534"/>
    </row>
    <row r="535" spans="6:29">
      <c r="F535" s="674"/>
      <c r="G535" s="674"/>
      <c r="I535" s="668"/>
      <c r="J535" s="677"/>
      <c r="N535"/>
      <c r="O535"/>
      <c r="P535"/>
      <c r="Q535" s="298"/>
      <c r="R535" s="717"/>
      <c r="S535" s="718"/>
      <c r="T535" s="718"/>
      <c r="U535" s="718"/>
      <c r="V535" s="718"/>
      <c r="W535" s="718"/>
      <c r="X535" s="719"/>
      <c r="Z535" s="298"/>
      <c r="AA535"/>
      <c r="AB535" s="298"/>
      <c r="AC535"/>
    </row>
    <row r="536" spans="6:29">
      <c r="F536" s="674"/>
      <c r="G536" s="674"/>
      <c r="I536" s="668"/>
      <c r="J536" s="677"/>
      <c r="N536"/>
      <c r="O536"/>
      <c r="P536"/>
      <c r="Q536" s="298"/>
      <c r="R536" s="717"/>
      <c r="S536" s="718"/>
      <c r="T536" s="718"/>
      <c r="U536" s="718"/>
      <c r="V536" s="718"/>
      <c r="W536" s="718"/>
      <c r="X536" s="719"/>
      <c r="Z536" s="298"/>
      <c r="AA536"/>
      <c r="AB536" s="298"/>
      <c r="AC536"/>
    </row>
    <row r="554" spans="8:13">
      <c r="H554" s="674"/>
      <c r="I554" s="674"/>
      <c r="J554" s="674"/>
      <c r="K554" s="674"/>
      <c r="L554" s="674"/>
      <c r="M554" s="674"/>
    </row>
    <row r="555" spans="8:13">
      <c r="H555" s="674"/>
      <c r="I555" s="674"/>
      <c r="J555" s="674"/>
      <c r="K555" s="674"/>
      <c r="L555" s="674"/>
      <c r="M555" s="674"/>
    </row>
    <row r="556" spans="8:13">
      <c r="H556" s="674"/>
      <c r="I556" s="674"/>
      <c r="J556" s="674"/>
      <c r="K556" s="674"/>
      <c r="L556" s="674"/>
      <c r="M556" s="674"/>
    </row>
    <row r="557" spans="8:13">
      <c r="H557" s="674"/>
      <c r="I557" s="674"/>
      <c r="J557" s="674"/>
      <c r="K557" s="674"/>
      <c r="L557" s="674"/>
      <c r="M557" s="674"/>
    </row>
    <row r="558" spans="8:13">
      <c r="H558" s="674"/>
      <c r="I558" s="674"/>
      <c r="J558" s="674"/>
      <c r="K558" s="674"/>
      <c r="L558" s="674"/>
      <c r="M558" s="674"/>
    </row>
    <row r="559" spans="8:13">
      <c r="H559" s="674"/>
      <c r="I559" s="674"/>
      <c r="J559" s="674"/>
      <c r="K559" s="674"/>
      <c r="L559" s="674"/>
      <c r="M559" s="674"/>
    </row>
    <row r="560" spans="8:13">
      <c r="H560" s="674"/>
      <c r="I560" s="674"/>
      <c r="J560" s="674"/>
      <c r="K560" s="674"/>
      <c r="L560" s="674"/>
      <c r="M560" s="674"/>
    </row>
    <row r="561" spans="8:13">
      <c r="H561" s="674"/>
      <c r="I561" s="674"/>
      <c r="J561" s="674"/>
      <c r="K561" s="674"/>
      <c r="L561" s="674"/>
      <c r="M561" s="674"/>
    </row>
    <row r="562" spans="8:13">
      <c r="H562" s="674"/>
      <c r="I562" s="674"/>
      <c r="J562" s="674"/>
      <c r="K562" s="674"/>
      <c r="L562" s="674"/>
      <c r="M562" s="674"/>
    </row>
    <row r="563" spans="8:13">
      <c r="H563" s="674"/>
      <c r="I563" s="674"/>
      <c r="J563" s="674"/>
      <c r="K563" s="674"/>
      <c r="L563" s="674"/>
      <c r="M563" s="674"/>
    </row>
    <row r="564" spans="8:13">
      <c r="H564" s="674"/>
      <c r="I564" s="674"/>
      <c r="J564" s="674"/>
      <c r="K564" s="674"/>
      <c r="L564" s="674"/>
      <c r="M564" s="674"/>
    </row>
    <row r="565" spans="8:13">
      <c r="H565" s="674"/>
      <c r="I565" s="674"/>
      <c r="J565" s="674"/>
      <c r="K565" s="674"/>
      <c r="L565" s="674"/>
      <c r="M565" s="674"/>
    </row>
    <row r="566" spans="8:13">
      <c r="H566" s="674"/>
      <c r="I566" s="674"/>
      <c r="J566" s="674"/>
      <c r="K566" s="674"/>
      <c r="L566" s="674"/>
      <c r="M566" s="674"/>
    </row>
    <row r="567" spans="8:13">
      <c r="H567" s="674"/>
      <c r="I567" s="674"/>
      <c r="J567" s="674"/>
      <c r="K567" s="674"/>
      <c r="L567" s="674"/>
      <c r="M567" s="674"/>
    </row>
    <row r="568" spans="8:13">
      <c r="H568" s="674"/>
      <c r="I568" s="674"/>
      <c r="J568" s="674"/>
      <c r="K568" s="674"/>
      <c r="L568" s="674"/>
      <c r="M568" s="674"/>
    </row>
    <row r="569" spans="8:13">
      <c r="H569" s="674"/>
      <c r="I569" s="674"/>
      <c r="J569" s="674"/>
      <c r="K569" s="674"/>
      <c r="L569" s="674"/>
      <c r="M569" s="674"/>
    </row>
    <row r="570" spans="8:13">
      <c r="H570" s="674"/>
      <c r="I570" s="674"/>
      <c r="J570" s="674"/>
      <c r="K570" s="674"/>
      <c r="L570" s="674"/>
      <c r="M570" s="674"/>
    </row>
    <row r="571" spans="8:13">
      <c r="H571" s="674"/>
      <c r="I571" s="674"/>
      <c r="J571" s="674"/>
      <c r="K571" s="674"/>
      <c r="L571" s="674"/>
      <c r="M571" s="674"/>
    </row>
    <row r="572" spans="8:13">
      <c r="H572" s="674"/>
      <c r="I572" s="674"/>
      <c r="J572" s="674"/>
      <c r="K572" s="674"/>
      <c r="L572" s="674"/>
      <c r="M572" s="674"/>
    </row>
    <row r="573" spans="8:13">
      <c r="H573" s="674"/>
      <c r="I573" s="674"/>
      <c r="J573" s="674"/>
      <c r="K573" s="674"/>
      <c r="L573" s="674"/>
      <c r="M573" s="674"/>
    </row>
    <row r="574" spans="8:13">
      <c r="H574" s="674"/>
      <c r="I574" s="674"/>
      <c r="J574" s="674"/>
      <c r="K574" s="674"/>
      <c r="L574" s="674"/>
      <c r="M574" s="674"/>
    </row>
    <row r="575" spans="8:13">
      <c r="H575" s="674"/>
      <c r="I575" s="674"/>
      <c r="J575" s="674"/>
      <c r="K575" s="674"/>
      <c r="L575" s="674"/>
      <c r="M575" s="674"/>
    </row>
    <row r="576" spans="8:13">
      <c r="H576" s="674"/>
      <c r="I576" s="674"/>
      <c r="J576" s="674"/>
      <c r="K576" s="674"/>
      <c r="L576" s="674"/>
      <c r="M576" s="674"/>
    </row>
    <row r="577" spans="8:13">
      <c r="H577" s="674"/>
      <c r="I577" s="674"/>
      <c r="J577" s="674"/>
      <c r="K577" s="674"/>
      <c r="L577" s="674"/>
      <c r="M577" s="674"/>
    </row>
    <row r="578" spans="8:13">
      <c r="H578" s="674"/>
      <c r="I578" s="674"/>
      <c r="J578" s="674"/>
      <c r="K578" s="674"/>
      <c r="L578" s="674"/>
      <c r="M578" s="674"/>
    </row>
    <row r="579" spans="8:13">
      <c r="H579" s="674"/>
      <c r="I579" s="674"/>
      <c r="J579" s="674"/>
      <c r="K579" s="674"/>
      <c r="L579" s="674"/>
      <c r="M579" s="674"/>
    </row>
    <row r="580" spans="8:13">
      <c r="H580" s="674"/>
      <c r="I580" s="674"/>
      <c r="J580" s="674"/>
      <c r="K580" s="674"/>
      <c r="L580" s="674"/>
      <c r="M580" s="674"/>
    </row>
    <row r="581" spans="8:13">
      <c r="H581" s="674"/>
      <c r="I581" s="674"/>
      <c r="J581" s="674"/>
      <c r="K581" s="674"/>
      <c r="L581" s="674"/>
      <c r="M581" s="674"/>
    </row>
    <row r="582" spans="8:13">
      <c r="H582" s="674"/>
      <c r="I582" s="674"/>
      <c r="J582" s="674"/>
      <c r="K582" s="674"/>
      <c r="L582" s="674"/>
      <c r="M582" s="674"/>
    </row>
    <row r="583" spans="8:13">
      <c r="H583" s="674"/>
      <c r="I583" s="674"/>
      <c r="J583" s="674"/>
      <c r="K583" s="674"/>
      <c r="L583" s="674"/>
      <c r="M583" s="674"/>
    </row>
    <row r="584" spans="8:13">
      <c r="H584" s="674"/>
      <c r="I584" s="674"/>
      <c r="J584" s="674"/>
      <c r="K584" s="674"/>
      <c r="L584" s="674"/>
      <c r="M584" s="674"/>
    </row>
    <row r="585" spans="8:13">
      <c r="H585" s="674"/>
      <c r="I585" s="674"/>
      <c r="J585" s="674"/>
      <c r="K585" s="674"/>
      <c r="L585" s="674"/>
      <c r="M585" s="674"/>
    </row>
    <row r="586" spans="8:13">
      <c r="H586" s="674"/>
      <c r="I586" s="674"/>
      <c r="J586" s="674"/>
      <c r="K586" s="674"/>
      <c r="L586" s="674"/>
      <c r="M586" s="674"/>
    </row>
    <row r="587" spans="8:13">
      <c r="H587" s="674"/>
      <c r="I587" s="674"/>
      <c r="J587" s="674"/>
      <c r="K587" s="674"/>
      <c r="L587" s="674"/>
      <c r="M587" s="674"/>
    </row>
    <row r="588" spans="8:13">
      <c r="H588" s="674"/>
      <c r="I588" s="674"/>
      <c r="J588" s="674"/>
      <c r="K588" s="674"/>
      <c r="L588" s="674"/>
      <c r="M588" s="674"/>
    </row>
    <row r="589" spans="8:13">
      <c r="H589" s="674"/>
      <c r="I589" s="674"/>
      <c r="J589" s="674"/>
      <c r="K589" s="674"/>
      <c r="L589" s="674"/>
      <c r="M589" s="674"/>
    </row>
    <row r="590" spans="8:13">
      <c r="H590" s="674"/>
      <c r="I590" s="674"/>
      <c r="J590" s="674"/>
      <c r="K590" s="674"/>
      <c r="L590" s="674"/>
      <c r="M590" s="674"/>
    </row>
    <row r="591" spans="8:13">
      <c r="H591" s="674"/>
      <c r="I591" s="674"/>
      <c r="J591" s="674"/>
      <c r="K591" s="674"/>
      <c r="L591" s="674"/>
      <c r="M591" s="674"/>
    </row>
    <row r="592" spans="8:13">
      <c r="H592" s="674"/>
      <c r="I592" s="674"/>
      <c r="J592" s="674"/>
      <c r="K592" s="674"/>
      <c r="L592" s="674"/>
      <c r="M592" s="674"/>
    </row>
    <row r="593" spans="8:13">
      <c r="H593" s="674"/>
      <c r="I593" s="674"/>
      <c r="J593" s="674"/>
      <c r="K593" s="674"/>
      <c r="L593" s="674"/>
      <c r="M593" s="674"/>
    </row>
    <row r="594" spans="8:13">
      <c r="H594" s="674"/>
      <c r="I594" s="674"/>
      <c r="J594" s="674"/>
      <c r="K594" s="674"/>
      <c r="L594" s="674"/>
      <c r="M594" s="674"/>
    </row>
    <row r="595" spans="8:13">
      <c r="H595" s="674"/>
      <c r="I595" s="674"/>
      <c r="J595" s="674"/>
      <c r="K595" s="674"/>
      <c r="L595" s="674"/>
      <c r="M595" s="674"/>
    </row>
    <row r="596" spans="8:13">
      <c r="H596" s="674"/>
      <c r="I596" s="674"/>
      <c r="J596" s="674"/>
      <c r="K596" s="674"/>
      <c r="L596" s="674"/>
      <c r="M596" s="674"/>
    </row>
    <row r="597" spans="8:13">
      <c r="H597" s="674"/>
      <c r="I597" s="674"/>
      <c r="J597" s="674"/>
      <c r="K597" s="674"/>
      <c r="L597" s="674"/>
      <c r="M597" s="674"/>
    </row>
    <row r="598" spans="8:13">
      <c r="H598" s="674"/>
      <c r="I598" s="674"/>
      <c r="J598" s="674"/>
      <c r="K598" s="674"/>
      <c r="L598" s="674"/>
      <c r="M598" s="674"/>
    </row>
    <row r="599" spans="8:13">
      <c r="H599" s="674"/>
      <c r="I599" s="674"/>
      <c r="J599" s="674"/>
      <c r="K599" s="674"/>
      <c r="L599" s="674"/>
      <c r="M599" s="674"/>
    </row>
    <row r="600" spans="8:13">
      <c r="H600" s="674"/>
      <c r="I600" s="674"/>
      <c r="J600" s="674"/>
      <c r="K600" s="674"/>
      <c r="L600" s="674"/>
      <c r="M600" s="674"/>
    </row>
    <row r="601" spans="8:13">
      <c r="H601" s="674"/>
      <c r="I601" s="674"/>
      <c r="J601" s="674"/>
      <c r="K601" s="674"/>
      <c r="L601" s="674"/>
      <c r="M601" s="674"/>
    </row>
    <row r="602" spans="8:13">
      <c r="H602" s="674"/>
      <c r="I602" s="674"/>
      <c r="J602" s="674"/>
      <c r="K602" s="674"/>
      <c r="L602" s="674"/>
      <c r="M602" s="674"/>
    </row>
    <row r="603" spans="8:13">
      <c r="H603" s="674"/>
      <c r="I603" s="674"/>
      <c r="J603" s="674"/>
      <c r="K603" s="674"/>
      <c r="L603" s="674"/>
      <c r="M603" s="674"/>
    </row>
    <row r="604" spans="8:13">
      <c r="H604" s="674"/>
      <c r="I604" s="674"/>
      <c r="J604" s="674"/>
      <c r="K604" s="674"/>
      <c r="L604" s="674"/>
      <c r="M604" s="674"/>
    </row>
    <row r="605" spans="8:13">
      <c r="H605" s="674"/>
      <c r="I605" s="674"/>
      <c r="J605" s="674"/>
      <c r="K605" s="674"/>
      <c r="L605" s="674"/>
      <c r="M605" s="674"/>
    </row>
    <row r="606" spans="8:13">
      <c r="H606" s="674"/>
      <c r="I606" s="674"/>
      <c r="J606" s="674"/>
      <c r="K606" s="674"/>
      <c r="L606" s="674"/>
      <c r="M606" s="674"/>
    </row>
    <row r="607" spans="8:13">
      <c r="H607" s="674"/>
      <c r="I607" s="674"/>
      <c r="J607" s="674"/>
      <c r="K607" s="674"/>
      <c r="L607" s="674"/>
      <c r="M607" s="674"/>
    </row>
    <row r="608" spans="8:13">
      <c r="H608" s="674"/>
      <c r="I608" s="674"/>
      <c r="J608" s="674"/>
      <c r="K608" s="674"/>
      <c r="L608" s="674"/>
      <c r="M608" s="674"/>
    </row>
    <row r="609" spans="8:13">
      <c r="H609" s="674"/>
      <c r="I609" s="674"/>
      <c r="J609" s="674"/>
      <c r="K609" s="674"/>
      <c r="L609" s="674"/>
      <c r="M609" s="674"/>
    </row>
    <row r="610" spans="8:13">
      <c r="H610" s="674"/>
      <c r="I610" s="674"/>
      <c r="J610" s="674"/>
      <c r="K610" s="674"/>
      <c r="L610" s="674"/>
      <c r="M610" s="674"/>
    </row>
    <row r="611" spans="8:13">
      <c r="H611" s="674"/>
      <c r="I611" s="674"/>
      <c r="J611" s="674"/>
      <c r="K611" s="674"/>
      <c r="L611" s="674"/>
      <c r="M611" s="674"/>
    </row>
    <row r="612" spans="8:13">
      <c r="H612" s="674"/>
      <c r="I612" s="674"/>
      <c r="J612" s="674"/>
      <c r="K612" s="674"/>
      <c r="L612" s="674"/>
      <c r="M612" s="674"/>
    </row>
    <row r="613" spans="8:13">
      <c r="H613" s="674"/>
      <c r="I613" s="674"/>
      <c r="J613" s="674"/>
      <c r="K613" s="674"/>
      <c r="L613" s="674"/>
      <c r="M613" s="674"/>
    </row>
    <row r="614" spans="8:13">
      <c r="H614" s="674"/>
      <c r="I614" s="674"/>
      <c r="J614" s="674"/>
      <c r="K614" s="674"/>
      <c r="L614" s="674"/>
      <c r="M614" s="674"/>
    </row>
    <row r="615" spans="8:13">
      <c r="H615" s="674"/>
      <c r="I615" s="674"/>
      <c r="J615" s="674"/>
      <c r="K615" s="674"/>
      <c r="L615" s="674"/>
      <c r="M615" s="674"/>
    </row>
    <row r="616" spans="8:13">
      <c r="H616" s="674"/>
      <c r="I616" s="674"/>
      <c r="J616" s="674"/>
      <c r="K616" s="674"/>
      <c r="L616" s="674"/>
      <c r="M616" s="674"/>
    </row>
    <row r="617" spans="8:13">
      <c r="H617" s="674"/>
      <c r="I617" s="674"/>
      <c r="J617" s="674"/>
      <c r="K617" s="674"/>
      <c r="L617" s="674"/>
      <c r="M617" s="674"/>
    </row>
    <row r="618" spans="8:13">
      <c r="H618" s="674"/>
      <c r="I618" s="674"/>
      <c r="J618" s="674"/>
      <c r="K618" s="674"/>
      <c r="L618" s="674"/>
      <c r="M618" s="674"/>
    </row>
    <row r="619" spans="8:13">
      <c r="H619" s="674"/>
      <c r="I619" s="674"/>
      <c r="J619" s="674"/>
      <c r="K619" s="674"/>
      <c r="L619" s="674"/>
      <c r="M619" s="674"/>
    </row>
    <row r="620" spans="8:13">
      <c r="H620" s="674"/>
      <c r="I620" s="674"/>
      <c r="J620" s="674"/>
      <c r="K620" s="674"/>
      <c r="L620" s="674"/>
      <c r="M620" s="674"/>
    </row>
    <row r="621" spans="8:13">
      <c r="H621" s="674"/>
      <c r="I621" s="674"/>
      <c r="J621" s="674"/>
      <c r="K621" s="674"/>
      <c r="L621" s="674"/>
      <c r="M621" s="674"/>
    </row>
    <row r="622" spans="8:13">
      <c r="H622" s="674"/>
      <c r="I622" s="674"/>
      <c r="J622" s="674"/>
      <c r="K622" s="674"/>
      <c r="L622" s="674"/>
      <c r="M622" s="674"/>
    </row>
    <row r="623" spans="8:13">
      <c r="H623" s="674"/>
      <c r="I623" s="674"/>
      <c r="J623" s="674"/>
      <c r="K623" s="674"/>
      <c r="L623" s="674"/>
      <c r="M623" s="674"/>
    </row>
    <row r="624" spans="8:13">
      <c r="H624" s="674"/>
      <c r="I624" s="674"/>
      <c r="J624" s="674"/>
      <c r="K624" s="674"/>
      <c r="L624" s="674"/>
      <c r="M624" s="674"/>
    </row>
    <row r="625" spans="8:13">
      <c r="H625" s="674"/>
      <c r="I625" s="674"/>
      <c r="J625" s="674"/>
      <c r="K625" s="674"/>
      <c r="L625" s="674"/>
      <c r="M625" s="674"/>
    </row>
    <row r="626" spans="8:13">
      <c r="H626" s="674"/>
      <c r="I626" s="674"/>
      <c r="J626" s="674"/>
      <c r="K626" s="674"/>
      <c r="L626" s="674"/>
      <c r="M626" s="674"/>
    </row>
    <row r="627" spans="8:13">
      <c r="H627" s="674"/>
      <c r="I627" s="674"/>
      <c r="J627" s="674"/>
      <c r="K627" s="674"/>
      <c r="L627" s="674"/>
      <c r="M627" s="674"/>
    </row>
    <row r="628" spans="8:13">
      <c r="H628" s="674"/>
      <c r="I628" s="674"/>
      <c r="J628" s="674"/>
      <c r="K628" s="674"/>
      <c r="L628" s="674"/>
      <c r="M628" s="674"/>
    </row>
    <row r="629" spans="8:13">
      <c r="H629" s="674"/>
      <c r="I629" s="674"/>
      <c r="J629" s="674"/>
      <c r="K629" s="674"/>
      <c r="L629" s="674"/>
      <c r="M629" s="674"/>
    </row>
    <row r="630" spans="8:13">
      <c r="H630" s="674"/>
      <c r="I630" s="674"/>
      <c r="J630" s="674"/>
      <c r="K630" s="674"/>
      <c r="L630" s="674"/>
      <c r="M630" s="674"/>
    </row>
    <row r="631" spans="8:13">
      <c r="H631" s="674"/>
      <c r="I631" s="674"/>
      <c r="J631" s="674"/>
      <c r="K631" s="674"/>
      <c r="L631" s="674"/>
      <c r="M631" s="674"/>
    </row>
    <row r="632" spans="8:13">
      <c r="H632" s="674"/>
      <c r="I632" s="674"/>
      <c r="J632" s="674"/>
      <c r="K632" s="674"/>
      <c r="L632" s="674"/>
      <c r="M632" s="674"/>
    </row>
    <row r="633" spans="8:13">
      <c r="H633" s="674"/>
      <c r="I633" s="674"/>
      <c r="J633" s="674"/>
      <c r="K633" s="674"/>
      <c r="L633" s="674"/>
      <c r="M633" s="674"/>
    </row>
    <row r="634" spans="8:13">
      <c r="H634" s="674"/>
      <c r="I634" s="674"/>
      <c r="J634" s="674"/>
      <c r="K634" s="674"/>
      <c r="L634" s="674"/>
      <c r="M634" s="674"/>
    </row>
    <row r="635" spans="8:13">
      <c r="H635" s="674"/>
      <c r="I635" s="674"/>
      <c r="J635" s="674"/>
      <c r="K635" s="674"/>
      <c r="L635" s="674"/>
      <c r="M635" s="674"/>
    </row>
    <row r="636" spans="8:13">
      <c r="H636" s="674"/>
      <c r="I636" s="674"/>
      <c r="J636" s="674"/>
      <c r="K636" s="674"/>
      <c r="L636" s="674"/>
      <c r="M636" s="674"/>
    </row>
    <row r="637" spans="8:13">
      <c r="H637" s="674"/>
      <c r="I637" s="674"/>
      <c r="J637" s="674"/>
      <c r="K637" s="674"/>
      <c r="L637" s="674"/>
      <c r="M637" s="674"/>
    </row>
    <row r="638" spans="8:13">
      <c r="H638" s="674"/>
      <c r="I638" s="674"/>
      <c r="J638" s="674"/>
      <c r="K638" s="674"/>
      <c r="L638" s="674"/>
      <c r="M638" s="674"/>
    </row>
    <row r="639" spans="8:13">
      <c r="H639" s="674"/>
      <c r="I639" s="674"/>
      <c r="J639" s="674"/>
      <c r="K639" s="674"/>
      <c r="L639" s="674"/>
      <c r="M639" s="674"/>
    </row>
    <row r="640" spans="8:13">
      <c r="H640" s="674"/>
      <c r="I640" s="674"/>
      <c r="J640" s="674"/>
      <c r="K640" s="674"/>
      <c r="L640" s="674"/>
      <c r="M640" s="674"/>
    </row>
    <row r="641" spans="8:13">
      <c r="H641" s="674"/>
      <c r="I641" s="674"/>
      <c r="J641" s="674"/>
      <c r="K641" s="674"/>
      <c r="L641" s="674"/>
      <c r="M641" s="674"/>
    </row>
    <row r="642" spans="8:13">
      <c r="H642" s="674"/>
      <c r="I642" s="674"/>
      <c r="J642" s="674"/>
      <c r="K642" s="674"/>
      <c r="L642" s="674"/>
      <c r="M642" s="674"/>
    </row>
    <row r="643" spans="8:13">
      <c r="H643" s="674"/>
      <c r="I643" s="674"/>
      <c r="J643" s="674"/>
      <c r="K643" s="674"/>
      <c r="L643" s="674"/>
      <c r="M643" s="674"/>
    </row>
    <row r="644" spans="8:13">
      <c r="H644" s="674"/>
      <c r="I644" s="674"/>
      <c r="J644" s="674"/>
      <c r="K644" s="674"/>
      <c r="L644" s="674"/>
      <c r="M644" s="674"/>
    </row>
    <row r="645" spans="8:13">
      <c r="H645" s="674"/>
      <c r="I645" s="674"/>
      <c r="J645" s="674"/>
      <c r="K645" s="674"/>
      <c r="L645" s="674"/>
      <c r="M645" s="674"/>
    </row>
    <row r="646" spans="8:13">
      <c r="H646" s="674"/>
      <c r="I646" s="674"/>
      <c r="J646" s="674"/>
      <c r="K646" s="674"/>
      <c r="L646" s="674"/>
      <c r="M646" s="674"/>
    </row>
    <row r="647" spans="8:13">
      <c r="H647" s="674"/>
      <c r="I647" s="674"/>
      <c r="J647" s="674"/>
      <c r="K647" s="674"/>
      <c r="L647" s="674"/>
      <c r="M647" s="674"/>
    </row>
    <row r="648" spans="8:13">
      <c r="H648" s="674"/>
      <c r="I648" s="674"/>
      <c r="J648" s="674"/>
      <c r="K648" s="674"/>
      <c r="L648" s="674"/>
      <c r="M648" s="674"/>
    </row>
    <row r="649" spans="8:13">
      <c r="H649" s="674"/>
      <c r="I649" s="674"/>
      <c r="J649" s="674"/>
      <c r="K649" s="674"/>
      <c r="L649" s="674"/>
      <c r="M649" s="674"/>
    </row>
    <row r="650" spans="8:13">
      <c r="H650" s="674"/>
      <c r="I650" s="674"/>
      <c r="J650" s="674"/>
      <c r="K650" s="674"/>
      <c r="L650" s="674"/>
      <c r="M650" s="674"/>
    </row>
    <row r="651" spans="8:13">
      <c r="H651" s="674"/>
      <c r="I651" s="674"/>
      <c r="J651" s="674"/>
      <c r="K651" s="674"/>
      <c r="L651" s="674"/>
      <c r="M651" s="674"/>
    </row>
    <row r="652" spans="8:13">
      <c r="H652" s="674"/>
      <c r="I652" s="674"/>
      <c r="J652" s="674"/>
      <c r="K652" s="674"/>
      <c r="L652" s="674"/>
      <c r="M652" s="674"/>
    </row>
    <row r="653" spans="8:13">
      <c r="H653" s="674"/>
      <c r="I653" s="674"/>
      <c r="J653" s="674"/>
      <c r="K653" s="674"/>
      <c r="L653" s="674"/>
      <c r="M653" s="674"/>
    </row>
    <row r="654" spans="8:13">
      <c r="H654" s="674"/>
      <c r="I654" s="674"/>
      <c r="J654" s="674"/>
      <c r="K654" s="674"/>
      <c r="L654" s="674"/>
      <c r="M654" s="674"/>
    </row>
    <row r="655" spans="8:13">
      <c r="H655" s="674"/>
      <c r="I655" s="674"/>
      <c r="J655" s="674"/>
      <c r="K655" s="674"/>
      <c r="L655" s="674"/>
      <c r="M655" s="674"/>
    </row>
    <row r="656" spans="8:13">
      <c r="H656" s="674"/>
      <c r="I656" s="674"/>
      <c r="J656" s="674"/>
      <c r="K656" s="674"/>
      <c r="L656" s="674"/>
      <c r="M656" s="674"/>
    </row>
    <row r="657" spans="8:13">
      <c r="H657" s="674"/>
      <c r="I657" s="674"/>
      <c r="J657" s="674"/>
      <c r="K657" s="674"/>
      <c r="L657" s="674"/>
      <c r="M657" s="674"/>
    </row>
    <row r="658" spans="8:13">
      <c r="H658" s="674"/>
      <c r="I658" s="674"/>
      <c r="J658" s="674"/>
      <c r="K658" s="674"/>
      <c r="L658" s="674"/>
      <c r="M658" s="674"/>
    </row>
    <row r="659" spans="8:13">
      <c r="H659" s="674"/>
      <c r="I659" s="674"/>
      <c r="J659" s="674"/>
      <c r="K659" s="674"/>
      <c r="L659" s="674"/>
      <c r="M659" s="674"/>
    </row>
    <row r="660" spans="8:13">
      <c r="H660" s="674"/>
      <c r="I660" s="674"/>
      <c r="J660" s="674"/>
      <c r="K660" s="674"/>
      <c r="L660" s="674"/>
      <c r="M660" s="674"/>
    </row>
    <row r="661" spans="8:13">
      <c r="H661" s="674"/>
      <c r="I661" s="674"/>
      <c r="J661" s="674"/>
      <c r="K661" s="674"/>
      <c r="L661" s="674"/>
      <c r="M661" s="674"/>
    </row>
    <row r="662" spans="8:13">
      <c r="H662" s="674"/>
      <c r="I662" s="674"/>
      <c r="J662" s="674"/>
      <c r="K662" s="674"/>
      <c r="L662" s="674"/>
      <c r="M662" s="674"/>
    </row>
    <row r="663" spans="8:13">
      <c r="H663" s="674"/>
      <c r="I663" s="674"/>
      <c r="J663" s="674"/>
      <c r="K663" s="674"/>
      <c r="L663" s="674"/>
      <c r="M663" s="674"/>
    </row>
    <row r="664" spans="8:13">
      <c r="H664" s="674"/>
      <c r="I664" s="674"/>
      <c r="J664" s="674"/>
      <c r="K664" s="674"/>
      <c r="L664" s="674"/>
      <c r="M664" s="674"/>
    </row>
    <row r="665" spans="8:13">
      <c r="H665" s="674"/>
      <c r="I665" s="674"/>
      <c r="J665" s="674"/>
      <c r="K665" s="674"/>
      <c r="L665" s="674"/>
      <c r="M665" s="674"/>
    </row>
    <row r="666" spans="8:13">
      <c r="H666" s="674"/>
      <c r="I666" s="674"/>
      <c r="J666" s="674"/>
      <c r="K666" s="674"/>
      <c r="L666" s="674"/>
      <c r="M666" s="674"/>
    </row>
    <row r="667" spans="8:13">
      <c r="H667" s="674"/>
      <c r="I667" s="674"/>
      <c r="J667" s="674"/>
      <c r="K667" s="674"/>
      <c r="L667" s="674"/>
      <c r="M667" s="674"/>
    </row>
    <row r="668" spans="8:13">
      <c r="H668" s="674"/>
      <c r="I668" s="674"/>
      <c r="J668" s="674"/>
      <c r="K668" s="674"/>
      <c r="L668" s="674"/>
      <c r="M668" s="674"/>
    </row>
    <row r="669" spans="8:13">
      <c r="H669" s="674"/>
      <c r="I669" s="674"/>
      <c r="J669" s="674"/>
      <c r="K669" s="674"/>
      <c r="L669" s="674"/>
      <c r="M669" s="674"/>
    </row>
    <row r="670" spans="8:13">
      <c r="H670" s="674"/>
      <c r="I670" s="674"/>
      <c r="J670" s="674"/>
      <c r="K670" s="674"/>
      <c r="L670" s="674"/>
      <c r="M670" s="674"/>
    </row>
    <row r="671" spans="8:13">
      <c r="H671" s="674"/>
      <c r="I671" s="674"/>
      <c r="J671" s="674"/>
      <c r="K671" s="674"/>
      <c r="L671" s="674"/>
      <c r="M671" s="674"/>
    </row>
    <row r="672" spans="8:13">
      <c r="H672" s="674"/>
      <c r="I672" s="674"/>
      <c r="J672" s="674"/>
      <c r="K672" s="674"/>
      <c r="L672" s="674"/>
      <c r="M672" s="674"/>
    </row>
    <row r="673" spans="8:13">
      <c r="H673" s="674"/>
      <c r="I673" s="674"/>
      <c r="J673" s="674"/>
      <c r="K673" s="674"/>
      <c r="L673" s="674"/>
      <c r="M673" s="674"/>
    </row>
    <row r="674" spans="8:13">
      <c r="H674" s="674"/>
      <c r="I674" s="674"/>
      <c r="J674" s="674"/>
      <c r="K674" s="674"/>
      <c r="L674" s="674"/>
      <c r="M674" s="674"/>
    </row>
    <row r="675" spans="8:13">
      <c r="H675" s="674"/>
      <c r="I675" s="674"/>
      <c r="J675" s="674"/>
      <c r="K675" s="674"/>
      <c r="L675" s="674"/>
      <c r="M675" s="674"/>
    </row>
    <row r="676" spans="8:13">
      <c r="H676" s="674"/>
      <c r="I676" s="674"/>
      <c r="J676" s="674"/>
      <c r="K676" s="674"/>
      <c r="L676" s="674"/>
      <c r="M676" s="674"/>
    </row>
    <row r="677" spans="8:13">
      <c r="H677" s="674"/>
      <c r="I677" s="674"/>
      <c r="J677" s="674"/>
      <c r="K677" s="674"/>
      <c r="L677" s="674"/>
      <c r="M677" s="674"/>
    </row>
    <row r="678" spans="8:13">
      <c r="H678" s="674"/>
      <c r="I678" s="674"/>
      <c r="J678" s="674"/>
      <c r="K678" s="674"/>
      <c r="L678" s="674"/>
      <c r="M678" s="674"/>
    </row>
    <row r="679" spans="8:13">
      <c r="H679" s="674"/>
      <c r="I679" s="674"/>
      <c r="J679" s="674"/>
      <c r="K679" s="674"/>
      <c r="L679" s="674"/>
      <c r="M679" s="674"/>
    </row>
    <row r="680" spans="8:13">
      <c r="H680" s="674"/>
      <c r="I680" s="674"/>
      <c r="J680" s="674"/>
      <c r="K680" s="674"/>
      <c r="L680" s="674"/>
      <c r="M680" s="674"/>
    </row>
    <row r="681" spans="8:13">
      <c r="H681" s="674"/>
      <c r="I681" s="674"/>
      <c r="J681" s="674"/>
      <c r="K681" s="674"/>
      <c r="L681" s="674"/>
      <c r="M681" s="674"/>
    </row>
    <row r="682" spans="8:13">
      <c r="H682" s="674"/>
      <c r="I682" s="674"/>
      <c r="J682" s="674"/>
      <c r="K682" s="674"/>
      <c r="L682" s="674"/>
      <c r="M682" s="674"/>
    </row>
    <row r="683" spans="8:13">
      <c r="H683" s="674"/>
      <c r="I683" s="674"/>
      <c r="J683" s="674"/>
      <c r="K683" s="674"/>
      <c r="L683" s="674"/>
      <c r="M683" s="674"/>
    </row>
    <row r="684" spans="8:13">
      <c r="H684" s="674"/>
      <c r="I684" s="674"/>
      <c r="J684" s="674"/>
      <c r="K684" s="674"/>
      <c r="L684" s="674"/>
      <c r="M684" s="674"/>
    </row>
    <row r="685" spans="8:13">
      <c r="H685" s="674"/>
      <c r="I685" s="674"/>
      <c r="J685" s="674"/>
      <c r="K685" s="674"/>
      <c r="L685" s="674"/>
      <c r="M685" s="674"/>
    </row>
    <row r="686" spans="8:13">
      <c r="H686" s="674"/>
      <c r="I686" s="674"/>
      <c r="J686" s="674"/>
      <c r="K686" s="674"/>
      <c r="L686" s="674"/>
      <c r="M686" s="674"/>
    </row>
    <row r="687" spans="8:13">
      <c r="H687" s="674"/>
      <c r="I687" s="674"/>
      <c r="J687" s="674"/>
      <c r="K687" s="674"/>
      <c r="L687" s="674"/>
      <c r="M687" s="674"/>
    </row>
    <row r="688" spans="8:13">
      <c r="H688" s="674"/>
      <c r="I688" s="674"/>
      <c r="J688" s="674"/>
      <c r="K688" s="674"/>
      <c r="L688" s="674"/>
      <c r="M688" s="674"/>
    </row>
    <row r="689" spans="8:13">
      <c r="H689" s="674"/>
      <c r="I689" s="674"/>
      <c r="J689" s="674"/>
      <c r="K689" s="674"/>
      <c r="L689" s="674"/>
      <c r="M689" s="674"/>
    </row>
    <row r="690" spans="8:13">
      <c r="H690" s="674"/>
      <c r="I690" s="674"/>
      <c r="J690" s="674"/>
      <c r="K690" s="674"/>
      <c r="L690" s="674"/>
      <c r="M690" s="674"/>
    </row>
    <row r="691" spans="8:13">
      <c r="H691" s="674"/>
      <c r="I691" s="674"/>
      <c r="J691" s="674"/>
      <c r="K691" s="674"/>
      <c r="L691" s="674"/>
      <c r="M691" s="674"/>
    </row>
    <row r="692" spans="8:13">
      <c r="H692" s="674"/>
      <c r="I692" s="674"/>
      <c r="J692" s="674"/>
      <c r="K692" s="674"/>
      <c r="L692" s="674"/>
      <c r="M692" s="674"/>
    </row>
    <row r="693" spans="8:13">
      <c r="H693" s="674"/>
      <c r="I693" s="674"/>
      <c r="J693" s="674"/>
      <c r="K693" s="674"/>
      <c r="L693" s="674"/>
      <c r="M693" s="674"/>
    </row>
    <row r="694" spans="8:13">
      <c r="H694" s="674"/>
      <c r="I694" s="674"/>
      <c r="J694" s="674"/>
      <c r="K694" s="674"/>
      <c r="L694" s="674"/>
      <c r="M694" s="674"/>
    </row>
    <row r="695" spans="8:13">
      <c r="H695" s="674"/>
      <c r="I695" s="674"/>
      <c r="J695" s="674"/>
      <c r="K695" s="674"/>
      <c r="L695" s="674"/>
      <c r="M695" s="674"/>
    </row>
    <row r="696" spans="8:13">
      <c r="H696" s="674"/>
      <c r="I696" s="674"/>
      <c r="J696" s="674"/>
      <c r="K696" s="674"/>
      <c r="L696" s="674"/>
      <c r="M696" s="674"/>
    </row>
    <row r="697" spans="8:13">
      <c r="H697" s="674"/>
      <c r="I697" s="674"/>
      <c r="J697" s="674"/>
      <c r="K697" s="674"/>
      <c r="L697" s="674"/>
      <c r="M697" s="674"/>
    </row>
    <row r="698" spans="8:13">
      <c r="H698" s="674"/>
      <c r="I698" s="674"/>
      <c r="J698" s="674"/>
      <c r="K698" s="674"/>
      <c r="L698" s="674"/>
      <c r="M698" s="674"/>
    </row>
    <row r="699" spans="8:13">
      <c r="H699" s="674"/>
      <c r="I699" s="674"/>
      <c r="J699" s="674"/>
      <c r="K699" s="674"/>
      <c r="L699" s="674"/>
      <c r="M699" s="674"/>
    </row>
    <row r="700" spans="8:13">
      <c r="H700" s="674"/>
      <c r="I700" s="674"/>
      <c r="J700" s="674"/>
      <c r="K700" s="674"/>
      <c r="L700" s="674"/>
      <c r="M700" s="674"/>
    </row>
    <row r="701" spans="8:13">
      <c r="H701" s="674"/>
      <c r="I701" s="674"/>
      <c r="J701" s="674"/>
      <c r="K701" s="674"/>
      <c r="L701" s="674"/>
      <c r="M701" s="674"/>
    </row>
    <row r="702" spans="8:13">
      <c r="H702" s="674"/>
      <c r="I702" s="674"/>
      <c r="J702" s="674"/>
      <c r="K702" s="674"/>
      <c r="L702" s="674"/>
      <c r="M702" s="674"/>
    </row>
    <row r="703" spans="8:13">
      <c r="H703" s="674"/>
      <c r="I703" s="674"/>
      <c r="J703" s="674"/>
      <c r="K703" s="674"/>
      <c r="L703" s="674"/>
      <c r="M703" s="674"/>
    </row>
    <row r="704" spans="8:13">
      <c r="H704" s="674"/>
      <c r="I704" s="674"/>
      <c r="J704" s="674"/>
      <c r="K704" s="674"/>
      <c r="L704" s="674"/>
      <c r="M704" s="674"/>
    </row>
    <row r="705" spans="8:13">
      <c r="H705" s="674"/>
      <c r="I705" s="674"/>
      <c r="J705" s="674"/>
      <c r="K705" s="674"/>
      <c r="L705" s="674"/>
      <c r="M705" s="674"/>
    </row>
    <row r="706" spans="8:13">
      <c r="H706" s="674"/>
      <c r="I706" s="674"/>
      <c r="J706" s="674"/>
      <c r="K706" s="674"/>
      <c r="L706" s="674"/>
      <c r="M706" s="674"/>
    </row>
    <row r="707" spans="8:13">
      <c r="H707" s="674"/>
      <c r="I707" s="674"/>
      <c r="J707" s="674"/>
      <c r="K707" s="674"/>
      <c r="L707" s="674"/>
      <c r="M707" s="674"/>
    </row>
    <row r="708" spans="8:13">
      <c r="H708" s="674"/>
      <c r="I708" s="674"/>
      <c r="J708" s="674"/>
      <c r="K708" s="674"/>
      <c r="L708" s="674"/>
      <c r="M708" s="674"/>
    </row>
    <row r="709" spans="8:13">
      <c r="H709" s="674"/>
      <c r="I709" s="674"/>
      <c r="J709" s="674"/>
      <c r="K709" s="674"/>
      <c r="L709" s="674"/>
      <c r="M709" s="674"/>
    </row>
    <row r="710" spans="8:13">
      <c r="H710" s="674"/>
      <c r="I710" s="674"/>
      <c r="J710" s="674"/>
      <c r="K710" s="674"/>
      <c r="L710" s="674"/>
      <c r="M710" s="674"/>
    </row>
    <row r="711" spans="8:13">
      <c r="H711" s="674"/>
      <c r="I711" s="674"/>
      <c r="J711" s="674"/>
      <c r="K711" s="674"/>
      <c r="L711" s="674"/>
      <c r="M711" s="674"/>
    </row>
    <row r="712" spans="8:13">
      <c r="H712" s="674"/>
      <c r="I712" s="674"/>
      <c r="J712" s="674"/>
      <c r="K712" s="674"/>
      <c r="L712" s="674"/>
      <c r="M712" s="674"/>
    </row>
    <row r="713" spans="8:13">
      <c r="H713" s="674"/>
      <c r="I713" s="674"/>
      <c r="J713" s="674"/>
      <c r="K713" s="674"/>
      <c r="L713" s="674"/>
      <c r="M713" s="674"/>
    </row>
    <row r="714" spans="8:13">
      <c r="H714" s="674"/>
      <c r="I714" s="674"/>
      <c r="J714" s="674"/>
      <c r="K714" s="674"/>
      <c r="L714" s="674"/>
      <c r="M714" s="674"/>
    </row>
    <row r="715" spans="8:13">
      <c r="H715" s="674"/>
      <c r="I715" s="674"/>
      <c r="J715" s="674"/>
      <c r="K715" s="674"/>
      <c r="L715" s="674"/>
      <c r="M715" s="674"/>
    </row>
    <row r="716" spans="8:13">
      <c r="H716" s="674"/>
      <c r="I716" s="674"/>
      <c r="J716" s="674"/>
      <c r="K716" s="674"/>
      <c r="L716" s="674"/>
      <c r="M716" s="674"/>
    </row>
    <row r="717" spans="8:13">
      <c r="H717" s="674"/>
      <c r="I717" s="674"/>
      <c r="J717" s="674"/>
      <c r="K717" s="674"/>
      <c r="L717" s="674"/>
      <c r="M717" s="674"/>
    </row>
    <row r="718" spans="8:13">
      <c r="H718" s="674"/>
      <c r="I718" s="674"/>
      <c r="J718" s="674"/>
      <c r="K718" s="674"/>
      <c r="L718" s="674"/>
      <c r="M718" s="674"/>
    </row>
    <row r="719" spans="8:13">
      <c r="H719" s="674"/>
      <c r="I719" s="674"/>
      <c r="J719" s="674"/>
      <c r="K719" s="674"/>
      <c r="L719" s="674"/>
      <c r="M719" s="674"/>
    </row>
    <row r="720" spans="8:13">
      <c r="H720" s="674"/>
      <c r="I720" s="674"/>
      <c r="J720" s="674"/>
      <c r="K720" s="674"/>
      <c r="L720" s="674"/>
      <c r="M720" s="674"/>
    </row>
    <row r="721" spans="8:13">
      <c r="H721" s="674"/>
      <c r="I721" s="674"/>
      <c r="J721" s="674"/>
      <c r="K721" s="674"/>
      <c r="L721" s="674"/>
      <c r="M721" s="674"/>
    </row>
    <row r="722" spans="8:13">
      <c r="H722" s="674"/>
      <c r="I722" s="674"/>
      <c r="J722" s="674"/>
      <c r="K722" s="674"/>
      <c r="L722" s="674"/>
      <c r="M722" s="674"/>
    </row>
    <row r="723" spans="8:13">
      <c r="H723" s="674"/>
      <c r="I723" s="674"/>
      <c r="J723" s="674"/>
      <c r="K723" s="674"/>
      <c r="L723" s="674"/>
      <c r="M723" s="674"/>
    </row>
    <row r="724" spans="8:13">
      <c r="H724" s="674"/>
      <c r="I724" s="674"/>
      <c r="J724" s="674"/>
      <c r="K724" s="674"/>
      <c r="L724" s="674"/>
      <c r="M724" s="674"/>
    </row>
    <row r="725" spans="8:13">
      <c r="H725" s="674"/>
      <c r="I725" s="674"/>
      <c r="J725" s="674"/>
      <c r="K725" s="674"/>
      <c r="L725" s="674"/>
      <c r="M725" s="674"/>
    </row>
    <row r="726" spans="8:13">
      <c r="H726" s="674"/>
      <c r="I726" s="674"/>
      <c r="J726" s="674"/>
      <c r="K726" s="674"/>
      <c r="L726" s="674"/>
      <c r="M726" s="674"/>
    </row>
    <row r="727" spans="8:13">
      <c r="H727" s="674"/>
      <c r="I727" s="674"/>
      <c r="J727" s="674"/>
      <c r="K727" s="674"/>
      <c r="L727" s="674"/>
      <c r="M727" s="674"/>
    </row>
    <row r="728" spans="8:13">
      <c r="H728" s="674"/>
      <c r="I728" s="674"/>
      <c r="J728" s="674"/>
      <c r="K728" s="674"/>
      <c r="L728" s="674"/>
      <c r="M728" s="674"/>
    </row>
    <row r="729" spans="8:13">
      <c r="H729" s="674"/>
      <c r="I729" s="674"/>
      <c r="J729" s="674"/>
      <c r="K729" s="674"/>
      <c r="L729" s="674"/>
      <c r="M729" s="674"/>
    </row>
    <row r="730" spans="8:13">
      <c r="H730" s="674"/>
      <c r="I730" s="674"/>
      <c r="J730" s="674"/>
      <c r="K730" s="674"/>
      <c r="L730" s="674"/>
      <c r="M730" s="674"/>
    </row>
    <row r="731" spans="8:13">
      <c r="H731" s="674"/>
      <c r="I731" s="674"/>
      <c r="J731" s="674"/>
      <c r="K731" s="674"/>
      <c r="L731" s="674"/>
      <c r="M731" s="674"/>
    </row>
    <row r="732" spans="8:13">
      <c r="H732" s="674"/>
      <c r="I732" s="674"/>
      <c r="J732" s="674"/>
      <c r="K732" s="674"/>
      <c r="L732" s="674"/>
      <c r="M732" s="674"/>
    </row>
    <row r="733" spans="8:13">
      <c r="H733" s="674"/>
      <c r="I733" s="674"/>
      <c r="J733" s="674"/>
      <c r="K733" s="674"/>
      <c r="L733" s="674"/>
      <c r="M733" s="674"/>
    </row>
    <row r="734" spans="8:13">
      <c r="H734" s="674"/>
      <c r="I734" s="674"/>
      <c r="J734" s="674"/>
      <c r="K734" s="674"/>
      <c r="L734" s="674"/>
      <c r="M734" s="674"/>
    </row>
    <row r="735" spans="8:13">
      <c r="H735" s="674"/>
      <c r="I735" s="674"/>
      <c r="J735" s="674"/>
      <c r="K735" s="674"/>
      <c r="L735" s="674"/>
      <c r="M735" s="674"/>
    </row>
    <row r="736" spans="8:13">
      <c r="H736" s="674"/>
      <c r="I736" s="674"/>
      <c r="J736" s="674"/>
      <c r="K736" s="674"/>
      <c r="L736" s="674"/>
      <c r="M736" s="674"/>
    </row>
    <row r="737" spans="8:13">
      <c r="H737" s="674"/>
      <c r="I737" s="674"/>
      <c r="J737" s="674"/>
      <c r="K737" s="674"/>
      <c r="L737" s="674"/>
      <c r="M737" s="674"/>
    </row>
    <row r="738" spans="8:13">
      <c r="H738" s="674"/>
      <c r="I738" s="674"/>
      <c r="J738" s="674"/>
      <c r="K738" s="674"/>
      <c r="L738" s="674"/>
      <c r="M738" s="674"/>
    </row>
    <row r="739" spans="8:13">
      <c r="H739" s="674"/>
      <c r="I739" s="674"/>
      <c r="J739" s="674"/>
      <c r="K739" s="674"/>
      <c r="L739" s="674"/>
      <c r="M739" s="674"/>
    </row>
    <row r="740" spans="8:13">
      <c r="H740" s="674"/>
      <c r="I740" s="674"/>
      <c r="J740" s="674"/>
      <c r="K740" s="674"/>
      <c r="L740" s="674"/>
      <c r="M740" s="674"/>
    </row>
    <row r="741" spans="8:13">
      <c r="H741" s="674"/>
      <c r="I741" s="674"/>
      <c r="J741" s="674"/>
      <c r="K741" s="674"/>
      <c r="L741" s="674"/>
      <c r="M741" s="674"/>
    </row>
    <row r="742" spans="8:13">
      <c r="H742" s="674"/>
      <c r="I742" s="674"/>
      <c r="J742" s="674"/>
      <c r="K742" s="674"/>
      <c r="L742" s="674"/>
      <c r="M742" s="674"/>
    </row>
    <row r="743" spans="8:13">
      <c r="H743" s="674"/>
      <c r="I743" s="674"/>
      <c r="J743" s="674"/>
      <c r="K743" s="674"/>
      <c r="L743" s="674"/>
      <c r="M743" s="674"/>
    </row>
    <row r="744" spans="8:13">
      <c r="H744" s="674"/>
      <c r="I744" s="674"/>
      <c r="J744" s="674"/>
      <c r="K744" s="674"/>
      <c r="L744" s="674"/>
      <c r="M744" s="674"/>
    </row>
    <row r="745" spans="8:13">
      <c r="H745" s="674"/>
      <c r="I745" s="674"/>
      <c r="J745" s="674"/>
      <c r="K745" s="674"/>
      <c r="L745" s="674"/>
      <c r="M745" s="674"/>
    </row>
    <row r="746" spans="8:13">
      <c r="H746" s="674"/>
      <c r="I746" s="674"/>
      <c r="J746" s="674"/>
      <c r="K746" s="674"/>
      <c r="L746" s="674"/>
      <c r="M746" s="674"/>
    </row>
    <row r="747" spans="8:13">
      <c r="H747" s="674"/>
      <c r="I747" s="674"/>
      <c r="J747" s="674"/>
      <c r="K747" s="674"/>
      <c r="L747" s="674"/>
      <c r="M747" s="674"/>
    </row>
    <row r="748" spans="8:13">
      <c r="H748" s="674"/>
      <c r="I748" s="674"/>
      <c r="J748" s="674"/>
      <c r="K748" s="674"/>
      <c r="L748" s="674"/>
      <c r="M748" s="674"/>
    </row>
    <row r="749" spans="8:13">
      <c r="H749" s="674"/>
      <c r="I749" s="674"/>
      <c r="J749" s="674"/>
      <c r="K749" s="674"/>
      <c r="L749" s="674"/>
      <c r="M749" s="674"/>
    </row>
    <row r="750" spans="8:13">
      <c r="H750" s="674"/>
      <c r="I750" s="674"/>
      <c r="J750" s="674"/>
      <c r="K750" s="674"/>
      <c r="L750" s="674"/>
      <c r="M750" s="674"/>
    </row>
    <row r="751" spans="8:13">
      <c r="H751" s="674"/>
      <c r="I751" s="674"/>
      <c r="J751" s="674"/>
      <c r="K751" s="674"/>
      <c r="L751" s="674"/>
      <c r="M751" s="674"/>
    </row>
    <row r="752" spans="8:13">
      <c r="H752" s="674"/>
      <c r="I752" s="674"/>
      <c r="J752" s="674"/>
      <c r="K752" s="674"/>
      <c r="L752" s="674"/>
      <c r="M752" s="674"/>
    </row>
    <row r="753" spans="8:13">
      <c r="H753" s="674"/>
      <c r="I753" s="674"/>
      <c r="J753" s="674"/>
      <c r="K753" s="674"/>
      <c r="L753" s="674"/>
      <c r="M753" s="674"/>
    </row>
    <row r="754" spans="8:13">
      <c r="H754" s="674"/>
      <c r="I754" s="674"/>
      <c r="J754" s="674"/>
      <c r="K754" s="674"/>
      <c r="L754" s="674"/>
      <c r="M754" s="674"/>
    </row>
    <row r="755" spans="8:13">
      <c r="H755" s="674"/>
      <c r="I755" s="674"/>
      <c r="J755" s="674"/>
      <c r="K755" s="674"/>
      <c r="L755" s="674"/>
      <c r="M755" s="674"/>
    </row>
    <row r="756" spans="8:13">
      <c r="H756" s="674"/>
      <c r="I756" s="674"/>
      <c r="J756" s="674"/>
      <c r="K756" s="674"/>
      <c r="L756" s="674"/>
      <c r="M756" s="674"/>
    </row>
    <row r="757" spans="8:13">
      <c r="H757" s="674"/>
      <c r="I757" s="674"/>
      <c r="J757" s="674"/>
      <c r="K757" s="674"/>
      <c r="L757" s="674"/>
      <c r="M757" s="674"/>
    </row>
    <row r="758" spans="8:13">
      <c r="H758" s="674"/>
      <c r="I758" s="674"/>
      <c r="J758" s="674"/>
      <c r="K758" s="674"/>
      <c r="L758" s="674"/>
      <c r="M758" s="674"/>
    </row>
    <row r="759" spans="8:13">
      <c r="H759" s="674"/>
      <c r="I759" s="674"/>
      <c r="J759" s="674"/>
      <c r="K759" s="674"/>
      <c r="L759" s="674"/>
      <c r="M759" s="674"/>
    </row>
    <row r="760" spans="8:13">
      <c r="H760" s="674"/>
      <c r="I760" s="674"/>
      <c r="J760" s="674"/>
      <c r="K760" s="674"/>
      <c r="L760" s="674"/>
      <c r="M760" s="674"/>
    </row>
    <row r="761" spans="8:13">
      <c r="H761" s="674"/>
      <c r="I761" s="674"/>
      <c r="J761" s="674"/>
      <c r="K761" s="674"/>
      <c r="L761" s="674"/>
      <c r="M761" s="674"/>
    </row>
    <row r="762" spans="8:13">
      <c r="H762" s="674"/>
      <c r="I762" s="674"/>
      <c r="J762" s="674"/>
      <c r="K762" s="674"/>
      <c r="L762" s="674"/>
      <c r="M762" s="674"/>
    </row>
    <row r="763" spans="8:13">
      <c r="H763" s="674"/>
      <c r="I763" s="674"/>
      <c r="J763" s="674"/>
      <c r="K763" s="674"/>
      <c r="L763" s="674"/>
      <c r="M763" s="674"/>
    </row>
    <row r="764" spans="8:13">
      <c r="H764" s="674"/>
      <c r="I764" s="674"/>
      <c r="J764" s="674"/>
      <c r="K764" s="674"/>
      <c r="L764" s="674"/>
      <c r="M764" s="674"/>
    </row>
    <row r="765" spans="8:13">
      <c r="H765" s="674"/>
      <c r="I765" s="674"/>
      <c r="J765" s="674"/>
      <c r="K765" s="674"/>
      <c r="L765" s="674"/>
      <c r="M765" s="674"/>
    </row>
    <row r="766" spans="8:13">
      <c r="H766" s="674"/>
      <c r="I766" s="674"/>
      <c r="J766" s="674"/>
      <c r="K766" s="674"/>
      <c r="L766" s="674"/>
      <c r="M766" s="674"/>
    </row>
    <row r="767" spans="8:13">
      <c r="H767" s="674"/>
      <c r="I767" s="674"/>
      <c r="J767" s="674"/>
      <c r="K767" s="674"/>
      <c r="L767" s="674"/>
      <c r="M767" s="674"/>
    </row>
    <row r="768" spans="8:13">
      <c r="H768" s="674"/>
      <c r="I768" s="674"/>
      <c r="J768" s="674"/>
      <c r="K768" s="674"/>
      <c r="L768" s="674"/>
      <c r="M768" s="674"/>
    </row>
    <row r="769" spans="8:13">
      <c r="H769" s="674"/>
      <c r="I769" s="674"/>
      <c r="J769" s="674"/>
      <c r="K769" s="674"/>
      <c r="L769" s="674"/>
      <c r="M769" s="674"/>
    </row>
    <row r="770" spans="8:13">
      <c r="H770" s="674"/>
      <c r="I770" s="674"/>
      <c r="J770" s="674"/>
      <c r="K770" s="674"/>
      <c r="L770" s="674"/>
      <c r="M770" s="674"/>
    </row>
    <row r="771" spans="8:13">
      <c r="H771" s="674"/>
      <c r="I771" s="674"/>
      <c r="J771" s="674"/>
      <c r="K771" s="674"/>
      <c r="L771" s="674"/>
      <c r="M771" s="674"/>
    </row>
    <row r="772" spans="8:13">
      <c r="H772" s="674"/>
      <c r="I772" s="674"/>
      <c r="J772" s="674"/>
      <c r="K772" s="674"/>
      <c r="L772" s="674"/>
      <c r="M772" s="674"/>
    </row>
    <row r="773" spans="8:13">
      <c r="H773" s="674"/>
      <c r="I773" s="674"/>
      <c r="J773" s="674"/>
      <c r="K773" s="674"/>
      <c r="L773" s="674"/>
      <c r="M773" s="674"/>
    </row>
    <row r="774" spans="8:13">
      <c r="H774" s="674"/>
      <c r="I774" s="674"/>
      <c r="J774" s="674"/>
      <c r="K774" s="674"/>
      <c r="L774" s="674"/>
      <c r="M774" s="674"/>
    </row>
    <row r="775" spans="8:13">
      <c r="H775" s="674"/>
      <c r="I775" s="674"/>
      <c r="J775" s="674"/>
      <c r="K775" s="674"/>
      <c r="L775" s="674"/>
      <c r="M775" s="674"/>
    </row>
    <row r="776" spans="8:13">
      <c r="H776" s="674"/>
      <c r="I776" s="674"/>
      <c r="J776" s="674"/>
      <c r="K776" s="674"/>
      <c r="L776" s="674"/>
      <c r="M776" s="674"/>
    </row>
    <row r="777" spans="8:13">
      <c r="H777" s="674"/>
      <c r="I777" s="674"/>
      <c r="J777" s="674"/>
      <c r="K777" s="674"/>
      <c r="L777" s="674"/>
      <c r="M777" s="674"/>
    </row>
    <row r="778" spans="8:13">
      <c r="H778" s="674"/>
      <c r="I778" s="674"/>
      <c r="J778" s="674"/>
      <c r="K778" s="674"/>
      <c r="L778" s="674"/>
      <c r="M778" s="674"/>
    </row>
    <row r="779" spans="8:13">
      <c r="H779" s="674"/>
      <c r="I779" s="674"/>
      <c r="J779" s="674"/>
      <c r="K779" s="674"/>
      <c r="L779" s="674"/>
      <c r="M779" s="674"/>
    </row>
    <row r="780" spans="8:13">
      <c r="H780" s="674"/>
      <c r="I780" s="674"/>
      <c r="J780" s="674"/>
      <c r="K780" s="674"/>
      <c r="L780" s="674"/>
      <c r="M780" s="674"/>
    </row>
    <row r="781" spans="8:13">
      <c r="H781" s="674"/>
      <c r="I781" s="674"/>
      <c r="J781" s="674"/>
      <c r="K781" s="674"/>
      <c r="L781" s="674"/>
      <c r="M781" s="674"/>
    </row>
    <row r="782" spans="8:13">
      <c r="H782" s="674"/>
      <c r="I782" s="674"/>
      <c r="J782" s="674"/>
      <c r="K782" s="674"/>
      <c r="L782" s="674"/>
      <c r="M782" s="674"/>
    </row>
    <row r="783" spans="8:13">
      <c r="H783" s="674"/>
      <c r="I783" s="674"/>
      <c r="J783" s="674"/>
      <c r="K783" s="674"/>
      <c r="L783" s="674"/>
      <c r="M783" s="674"/>
    </row>
    <row r="784" spans="8:13">
      <c r="H784" s="674"/>
      <c r="I784" s="674"/>
      <c r="J784" s="674"/>
      <c r="K784" s="674"/>
      <c r="L784" s="674"/>
      <c r="M784" s="674"/>
    </row>
    <row r="785" spans="8:13">
      <c r="H785" s="674"/>
      <c r="I785" s="674"/>
      <c r="J785" s="674"/>
      <c r="K785" s="674"/>
      <c r="L785" s="674"/>
      <c r="M785" s="674"/>
    </row>
    <row r="786" spans="8:13">
      <c r="H786" s="674"/>
      <c r="I786" s="674"/>
      <c r="J786" s="674"/>
      <c r="K786" s="674"/>
      <c r="L786" s="674"/>
      <c r="M786" s="674"/>
    </row>
    <row r="787" spans="8:13">
      <c r="H787" s="674"/>
      <c r="I787" s="674"/>
      <c r="J787" s="674"/>
      <c r="K787" s="674"/>
      <c r="L787" s="674"/>
      <c r="M787" s="674"/>
    </row>
    <row r="788" spans="8:13">
      <c r="H788" s="674"/>
      <c r="I788" s="674"/>
      <c r="J788" s="674"/>
      <c r="K788" s="674"/>
      <c r="L788" s="674"/>
      <c r="M788" s="674"/>
    </row>
    <row r="789" spans="8:13">
      <c r="H789" s="674"/>
      <c r="I789" s="674"/>
      <c r="J789" s="674"/>
      <c r="K789" s="674"/>
      <c r="L789" s="674"/>
      <c r="M789" s="674"/>
    </row>
    <row r="790" spans="8:13">
      <c r="H790" s="674"/>
      <c r="I790" s="674"/>
      <c r="J790" s="674"/>
      <c r="K790" s="674"/>
      <c r="L790" s="674"/>
      <c r="M790" s="674"/>
    </row>
    <row r="791" spans="8:13">
      <c r="H791" s="674"/>
      <c r="I791" s="674"/>
      <c r="J791" s="674"/>
      <c r="K791" s="674"/>
      <c r="L791" s="674"/>
      <c r="M791" s="674"/>
    </row>
    <row r="792" spans="8:13">
      <c r="H792" s="674"/>
      <c r="I792" s="674"/>
      <c r="J792" s="674"/>
      <c r="K792" s="674"/>
      <c r="L792" s="674"/>
      <c r="M792" s="674"/>
    </row>
    <row r="793" spans="8:13">
      <c r="H793" s="674"/>
      <c r="I793" s="674"/>
      <c r="J793" s="674"/>
      <c r="K793" s="674"/>
      <c r="L793" s="674"/>
      <c r="M793" s="674"/>
    </row>
    <row r="794" spans="8:13">
      <c r="H794" s="674"/>
      <c r="I794" s="674"/>
      <c r="J794" s="674"/>
      <c r="K794" s="674"/>
      <c r="L794" s="674"/>
      <c r="M794" s="674"/>
    </row>
    <row r="795" spans="8:13">
      <c r="H795" s="674"/>
      <c r="I795" s="674"/>
      <c r="J795" s="674"/>
      <c r="K795" s="674"/>
      <c r="L795" s="674"/>
      <c r="M795" s="674"/>
    </row>
    <row r="796" spans="8:13">
      <c r="H796" s="674"/>
      <c r="I796" s="674"/>
      <c r="J796" s="674"/>
      <c r="K796" s="674"/>
      <c r="L796" s="674"/>
      <c r="M796" s="674"/>
    </row>
    <row r="797" spans="8:13">
      <c r="H797" s="674"/>
      <c r="I797" s="674"/>
      <c r="J797" s="674"/>
      <c r="K797" s="674"/>
      <c r="L797" s="674"/>
      <c r="M797" s="674"/>
    </row>
    <row r="798" spans="8:13">
      <c r="H798" s="674"/>
      <c r="I798" s="674"/>
      <c r="J798" s="674"/>
      <c r="K798" s="674"/>
      <c r="L798" s="674"/>
      <c r="M798" s="674"/>
    </row>
    <row r="799" spans="8:13">
      <c r="H799" s="674"/>
      <c r="I799" s="674"/>
      <c r="J799" s="674"/>
      <c r="K799" s="674"/>
      <c r="L799" s="674"/>
      <c r="M799" s="674"/>
    </row>
    <row r="800" spans="8:13">
      <c r="H800" s="674"/>
      <c r="I800" s="674"/>
      <c r="J800" s="674"/>
      <c r="K800" s="674"/>
      <c r="L800" s="674"/>
      <c r="M800" s="674"/>
    </row>
    <row r="801" spans="8:13">
      <c r="H801" s="674"/>
      <c r="I801" s="674"/>
      <c r="J801" s="674"/>
      <c r="K801" s="674"/>
      <c r="L801" s="674"/>
      <c r="M801" s="674"/>
    </row>
    <row r="802" spans="8:13">
      <c r="H802" s="674"/>
      <c r="I802" s="674"/>
      <c r="J802" s="674"/>
      <c r="K802" s="674"/>
      <c r="L802" s="674"/>
      <c r="M802" s="674"/>
    </row>
    <row r="803" spans="8:13">
      <c r="H803" s="674"/>
      <c r="I803" s="674"/>
      <c r="J803" s="674"/>
      <c r="K803" s="674"/>
      <c r="L803" s="674"/>
      <c r="M803" s="674"/>
    </row>
    <row r="804" spans="8:13">
      <c r="H804" s="674"/>
      <c r="I804" s="674"/>
      <c r="J804" s="674"/>
      <c r="K804" s="674"/>
      <c r="L804" s="674"/>
      <c r="M804" s="674"/>
    </row>
    <row r="805" spans="8:13">
      <c r="H805" s="674"/>
      <c r="I805" s="674"/>
      <c r="J805" s="674"/>
      <c r="K805" s="674"/>
      <c r="L805" s="674"/>
      <c r="M805" s="674"/>
    </row>
    <row r="806" spans="8:13">
      <c r="H806" s="674"/>
      <c r="I806" s="674"/>
      <c r="J806" s="674"/>
      <c r="K806" s="674"/>
      <c r="L806" s="674"/>
      <c r="M806" s="674"/>
    </row>
    <row r="807" spans="8:13">
      <c r="H807" s="674"/>
      <c r="I807" s="674"/>
      <c r="J807" s="674"/>
      <c r="K807" s="674"/>
      <c r="L807" s="674"/>
      <c r="M807" s="674"/>
    </row>
    <row r="808" spans="8:13">
      <c r="H808" s="674"/>
      <c r="I808" s="674"/>
      <c r="J808" s="674"/>
      <c r="K808" s="674"/>
      <c r="L808" s="674"/>
      <c r="M808" s="674"/>
    </row>
  </sheetData>
  <autoFilter ref="A2:AC2" xr:uid="{00000000-0009-0000-0000-00000F000000}">
    <sortState ref="A3:AC448">
      <sortCondition ref="V2"/>
    </sortState>
  </autoFilter>
  <mergeCells count="1">
    <mergeCell ref="D1:W1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6">
    <tabColor rgb="FF00B0F0"/>
    <pageSetUpPr fitToPage="1"/>
  </sheetPr>
  <dimension ref="A1:AG230"/>
  <sheetViews>
    <sheetView showGridLines="0" topLeftCell="A17" zoomScale="70" zoomScaleNormal="7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20.28515625" style="5" bestFit="1" customWidth="1"/>
    <col min="8" max="8" width="28.28515625" style="559" bestFit="1" customWidth="1"/>
    <col min="9" max="10" width="18.7109375" style="5" customWidth="1"/>
    <col min="11" max="11" width="11.42578125" style="5"/>
    <col min="12" max="12" width="11.85546875" style="5" bestFit="1" customWidth="1"/>
    <col min="13" max="25" width="11.42578125" style="5"/>
    <col min="26" max="16384" width="11.42578125" style="6"/>
  </cols>
  <sheetData>
    <row r="1" spans="1:25" s="4" customFormat="1" ht="33.75" customHeight="1">
      <c r="A1" s="1322" t="s">
        <v>2005</v>
      </c>
      <c r="B1" s="1322"/>
      <c r="C1" s="1322"/>
      <c r="D1" s="1322"/>
      <c r="E1" s="1322"/>
      <c r="F1" s="1322"/>
      <c r="G1" s="3"/>
      <c r="H1" s="558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558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558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188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356458.66</v>
      </c>
    </row>
    <row r="9" spans="1:25" ht="18.600000000000001" customHeight="1">
      <c r="A9" s="1316" t="s">
        <v>213</v>
      </c>
      <c r="B9" s="1317"/>
      <c r="C9" s="1317"/>
      <c r="D9" s="1317"/>
      <c r="E9" s="266">
        <v>10967.74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42500.93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38504.11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42507.81</v>
      </c>
      <c r="F12" s="267"/>
    </row>
    <row r="13" spans="1:25" ht="18.600000000000001" customHeight="1">
      <c r="A13" s="1316" t="s">
        <v>243</v>
      </c>
      <c r="B13" s="1317"/>
      <c r="C13" s="1317"/>
      <c r="D13" s="1317"/>
      <c r="E13" s="266">
        <v>41011.019999999997</v>
      </c>
      <c r="F13" s="267"/>
    </row>
    <row r="14" spans="1:25" ht="18.600000000000001" customHeight="1">
      <c r="A14" s="1316" t="s">
        <v>275</v>
      </c>
      <c r="B14" s="1317"/>
      <c r="C14" s="1317"/>
      <c r="D14" s="1317"/>
      <c r="E14" s="266">
        <v>42514.91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41017.870000000003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f>37141.62+1</f>
        <v>37142.620000000003</v>
      </c>
      <c r="F16" s="267"/>
      <c r="G16" s="5" t="str">
        <f>"+1"</f>
        <v>+1</v>
      </c>
    </row>
    <row r="17" spans="1:10" ht="18.600000000000001" customHeight="1">
      <c r="A17" s="1316" t="s">
        <v>313</v>
      </c>
      <c r="B17" s="1317"/>
      <c r="C17" s="1317"/>
      <c r="D17" s="1317"/>
      <c r="E17" s="266">
        <v>27362.25</v>
      </c>
      <c r="F17" s="267"/>
    </row>
    <row r="18" spans="1:10" ht="18.600000000000001" customHeight="1">
      <c r="A18" s="1316" t="s">
        <v>371</v>
      </c>
      <c r="B18" s="1317"/>
      <c r="C18" s="1317"/>
      <c r="D18" s="1317"/>
      <c r="E18" s="266">
        <f>13540.48+1</f>
        <v>13541.48</v>
      </c>
      <c r="F18" s="267"/>
      <c r="G18" s="5" t="str">
        <f>"+1"</f>
        <v>+1</v>
      </c>
    </row>
    <row r="19" spans="1:10" ht="18.600000000000001" customHeight="1">
      <c r="A19" s="584" t="s">
        <v>433</v>
      </c>
      <c r="B19" s="585"/>
      <c r="C19" s="585"/>
      <c r="D19" s="585"/>
      <c r="E19" s="266">
        <v>708.3</v>
      </c>
      <c r="F19" s="267"/>
    </row>
    <row r="20" spans="1:10" ht="18.600000000000001" customHeight="1">
      <c r="A20" s="663" t="s">
        <v>471</v>
      </c>
      <c r="B20" s="664"/>
      <c r="C20" s="664"/>
      <c r="D20" s="664"/>
      <c r="E20" s="266">
        <v>683.36</v>
      </c>
      <c r="F20" s="267"/>
    </row>
    <row r="21" spans="1:10" ht="18.600000000000001" customHeight="1">
      <c r="A21" s="686" t="s">
        <v>508</v>
      </c>
      <c r="B21" s="687"/>
      <c r="C21" s="687"/>
      <c r="D21" s="687"/>
      <c r="E21" s="266">
        <v>708.42</v>
      </c>
      <c r="F21" s="267"/>
    </row>
    <row r="22" spans="1:10" ht="18.600000000000001" customHeight="1">
      <c r="A22" s="706" t="s">
        <v>518</v>
      </c>
      <c r="B22" s="707"/>
      <c r="C22" s="707"/>
      <c r="D22" s="707"/>
      <c r="E22" s="266">
        <v>708.48</v>
      </c>
      <c r="F22" s="267"/>
    </row>
    <row r="23" spans="1:10" ht="18.600000000000001" customHeight="1">
      <c r="A23" s="742" t="s">
        <v>552</v>
      </c>
      <c r="B23" s="743"/>
      <c r="C23" s="743"/>
      <c r="D23" s="743"/>
      <c r="E23" s="266">
        <v>641.85</v>
      </c>
      <c r="F23" s="267"/>
    </row>
    <row r="24" spans="1:10" ht="18.600000000000001" customHeight="1">
      <c r="A24" s="760" t="s">
        <v>557</v>
      </c>
      <c r="B24" s="761"/>
      <c r="C24" s="761"/>
      <c r="D24" s="761"/>
      <c r="E24" s="266">
        <v>708.6</v>
      </c>
      <c r="F24" s="267"/>
    </row>
    <row r="25" spans="1:10" ht="18.600000000000001" customHeight="1">
      <c r="A25" s="793" t="s">
        <v>604</v>
      </c>
      <c r="B25" s="794"/>
      <c r="C25" s="794"/>
      <c r="D25" s="794"/>
      <c r="E25" s="266">
        <f>683.64-2</f>
        <v>681.64</v>
      </c>
      <c r="F25" s="267"/>
      <c r="G25" s="805" t="str">
        <f>"-2"</f>
        <v>-2</v>
      </c>
    </row>
    <row r="26" spans="1:10" ht="18.600000000000001" customHeight="1">
      <c r="A26" s="816" t="s">
        <v>698</v>
      </c>
      <c r="B26" s="817"/>
      <c r="C26" s="817"/>
      <c r="D26" s="817"/>
      <c r="E26" s="266">
        <v>708.71</v>
      </c>
      <c r="F26" s="267"/>
      <c r="G26" s="805"/>
      <c r="H26" s="805"/>
      <c r="I26" s="805"/>
      <c r="J26" s="805"/>
    </row>
    <row r="27" spans="1:10" ht="18.600000000000001" customHeight="1">
      <c r="A27" s="835" t="s">
        <v>743</v>
      </c>
      <c r="B27" s="836"/>
      <c r="C27" s="836"/>
      <c r="D27" s="836"/>
      <c r="E27" s="266">
        <v>683.76</v>
      </c>
      <c r="F27" s="267"/>
      <c r="G27" s="805"/>
      <c r="H27" s="805"/>
      <c r="I27" s="805"/>
      <c r="J27" s="805"/>
    </row>
    <row r="28" spans="1:10" ht="18.600000000000001" customHeight="1">
      <c r="A28" s="915" t="s">
        <v>819</v>
      </c>
      <c r="B28" s="916"/>
      <c r="C28" s="916"/>
      <c r="D28" s="916"/>
      <c r="E28" s="266">
        <v>708.83</v>
      </c>
      <c r="F28" s="267"/>
      <c r="G28" s="805"/>
      <c r="H28" s="805"/>
      <c r="I28" s="805"/>
      <c r="J28" s="805"/>
    </row>
    <row r="29" spans="1:10" ht="18.600000000000001" customHeight="1">
      <c r="A29" s="952" t="s">
        <v>867</v>
      </c>
      <c r="B29" s="953"/>
      <c r="C29" s="953"/>
      <c r="D29" s="953"/>
      <c r="E29" s="266">
        <v>708.89</v>
      </c>
      <c r="F29" s="267"/>
      <c r="G29" s="805"/>
      <c r="H29" s="805"/>
      <c r="I29" s="805"/>
      <c r="J29" s="805"/>
    </row>
    <row r="30" spans="1:10" ht="18.600000000000001" customHeight="1">
      <c r="A30" s="965" t="s">
        <v>901</v>
      </c>
      <c r="B30" s="966"/>
      <c r="C30" s="966"/>
      <c r="D30" s="966"/>
      <c r="E30" s="266">
        <v>683.93</v>
      </c>
      <c r="F30" s="267"/>
      <c r="G30" s="805"/>
      <c r="H30" s="805"/>
      <c r="I30" s="805"/>
      <c r="J30" s="805"/>
    </row>
    <row r="31" spans="1:10" ht="18.600000000000001" customHeight="1">
      <c r="A31" s="996" t="s">
        <v>1008</v>
      </c>
      <c r="B31" s="997"/>
      <c r="C31" s="997"/>
      <c r="D31" s="997"/>
      <c r="E31" s="266">
        <v>709.01</v>
      </c>
      <c r="F31" s="267"/>
      <c r="G31" s="805"/>
      <c r="H31" s="805"/>
      <c r="I31" s="805"/>
      <c r="J31" s="805"/>
    </row>
    <row r="32" spans="1:10" ht="18.600000000000001" customHeight="1">
      <c r="A32" s="1038" t="s">
        <v>1029</v>
      </c>
      <c r="B32" s="1039"/>
      <c r="C32" s="1039"/>
      <c r="D32" s="1039"/>
      <c r="E32" s="266">
        <v>1725.85</v>
      </c>
      <c r="F32" s="267"/>
      <c r="G32" s="805"/>
      <c r="H32" s="805"/>
      <c r="I32" s="805"/>
      <c r="J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4308.96</v>
      </c>
      <c r="F33" s="267"/>
      <c r="G33" s="805"/>
      <c r="H33" s="805"/>
      <c r="I33" s="805"/>
      <c r="J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4309.33</v>
      </c>
      <c r="F34" s="267"/>
      <c r="G34" s="805"/>
      <c r="H34" s="805"/>
      <c r="I34" s="805"/>
      <c r="J34" s="805"/>
    </row>
    <row r="35" spans="1:33" ht="18.600000000000001" customHeight="1">
      <c r="A35" s="555"/>
      <c r="B35" s="556"/>
      <c r="C35" s="556"/>
      <c r="D35" s="556"/>
      <c r="E35" s="266"/>
      <c r="F35" s="267"/>
      <c r="G35" s="796" t="s">
        <v>602</v>
      </c>
      <c r="H35" s="795" t="s">
        <v>603</v>
      </c>
      <c r="I35" s="795" t="s">
        <v>553</v>
      </c>
      <c r="J35" s="759" t="s">
        <v>65</v>
      </c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356458.66</v>
      </c>
      <c r="G36" s="5">
        <f>+F36+Adhesiones!H63</f>
        <v>50702370.593709022</v>
      </c>
      <c r="H36" s="758">
        <f>+G36-F36</f>
        <v>50345911.933709025</v>
      </c>
      <c r="I36" s="5">
        <f>-'Anexo 3-Porcion C-NC'!B15</f>
        <v>-50345911.689999998</v>
      </c>
      <c r="J36" s="5">
        <f>+H36+I36</f>
        <v>0.2437090277671814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G37" s="805"/>
      <c r="H37" s="805"/>
      <c r="I37" s="805"/>
      <c r="J37" s="80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G38" s="805"/>
      <c r="H38" s="805"/>
      <c r="I38" s="805"/>
      <c r="J38" s="80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805"/>
      <c r="H39" s="805"/>
      <c r="I39" s="805"/>
      <c r="J39" s="80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59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  <c r="H41" s="559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  <c r="H42" s="559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  <c r="H43" s="559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  <c r="H44" s="559"/>
    </row>
    <row r="45" spans="1:33" s="564" customFormat="1" ht="15.75" customHeight="1">
      <c r="A45" s="560"/>
      <c r="B45" s="560"/>
      <c r="C45" s="561"/>
      <c r="D45" s="1326" t="s">
        <v>555</v>
      </c>
      <c r="E45" s="1326"/>
      <c r="F45" s="562"/>
      <c r="G45" s="12"/>
      <c r="H45" s="563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59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59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764"/>
      <c r="E48" s="338"/>
      <c r="F48" s="533"/>
      <c r="G48" s="5"/>
      <c r="H48" s="559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1143"/>
      <c r="E49" s="1143"/>
      <c r="F49" s="1143"/>
      <c r="H49" s="559"/>
    </row>
    <row r="50" spans="1:25" s="5" customFormat="1" ht="15" customHeight="1">
      <c r="A50" s="27"/>
      <c r="B50" s="27"/>
      <c r="C50" s="27"/>
      <c r="D50" s="1142"/>
      <c r="E50" s="1142"/>
      <c r="F50" s="1142"/>
      <c r="H50" s="559"/>
    </row>
    <row r="51" spans="1:25" s="5" customFormat="1" ht="14.45" customHeight="1">
      <c r="A51" s="27"/>
      <c r="B51" s="27"/>
      <c r="C51" s="27"/>
      <c r="D51" s="129"/>
      <c r="E51" s="339"/>
      <c r="F51" s="129"/>
      <c r="H51" s="559"/>
    </row>
    <row r="52" spans="1:25" s="5" customFormat="1" ht="14.45" customHeight="1">
      <c r="A52" s="27"/>
      <c r="B52" s="27"/>
      <c r="C52" s="27"/>
      <c r="D52" s="27"/>
      <c r="E52" s="27"/>
      <c r="F52" s="26"/>
      <c r="H52" s="559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59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59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27"/>
      <c r="E55" s="6"/>
      <c r="F55" s="19"/>
      <c r="G55" s="5"/>
      <c r="H55" s="559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59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59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59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59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59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59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59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59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59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59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59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59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59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59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59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59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59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59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59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59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59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59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59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5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59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59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59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59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59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59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59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59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59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59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59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59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59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59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59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59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59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59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59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59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59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59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59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59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59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59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59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5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59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59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59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59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59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59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59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59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59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59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59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59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59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59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59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59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59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59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59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59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59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59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59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59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59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59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59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59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59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59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59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59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59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59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59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59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59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59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59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59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59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59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59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59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59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59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59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59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59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59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59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59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59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59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59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59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59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59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59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59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59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59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59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59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59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59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59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59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59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59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59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59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59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59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59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59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59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59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59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59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59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59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59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59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59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59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59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59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59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59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59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59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59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59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59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59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59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59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59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59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59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59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59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59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59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59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59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59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59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59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59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59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59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59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59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59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59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59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59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59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59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59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59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4">
    <mergeCell ref="D43:E43"/>
    <mergeCell ref="A9:D9"/>
    <mergeCell ref="A16:D16"/>
    <mergeCell ref="D42:E42"/>
    <mergeCell ref="A43:B43"/>
    <mergeCell ref="A12:D12"/>
    <mergeCell ref="A10:D10"/>
    <mergeCell ref="A13:D13"/>
    <mergeCell ref="D50:F50"/>
    <mergeCell ref="A1:F3"/>
    <mergeCell ref="A4:F4"/>
    <mergeCell ref="A5:F5"/>
    <mergeCell ref="A6:E6"/>
    <mergeCell ref="A8:D8"/>
    <mergeCell ref="A15:D15"/>
    <mergeCell ref="D45:E45"/>
    <mergeCell ref="A42:B42"/>
    <mergeCell ref="A44:B44"/>
    <mergeCell ref="D44:E44"/>
    <mergeCell ref="A18:D18"/>
    <mergeCell ref="A17:D17"/>
    <mergeCell ref="A11:D11"/>
    <mergeCell ref="D49:F49"/>
    <mergeCell ref="A14:D14"/>
  </mergeCells>
  <phoneticPr fontId="17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7">
    <tabColor rgb="FF00B0F0"/>
    <pageSetUpPr fitToPage="1"/>
  </sheetPr>
  <dimension ref="A1:AG230"/>
  <sheetViews>
    <sheetView showGridLines="0" topLeftCell="A19" zoomScale="80" zoomScaleNormal="8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2008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191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767878.07000000007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0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f>182475+14815.45</f>
        <v>197290.45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73165.19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85022.98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82029.14</v>
      </c>
      <c r="F13" s="267"/>
    </row>
    <row r="14" spans="1:25" ht="18.600000000000001" customHeight="1">
      <c r="A14" s="1316" t="s">
        <v>275</v>
      </c>
      <c r="B14" s="1317"/>
      <c r="C14" s="1317"/>
      <c r="D14" s="1317"/>
      <c r="E14" s="266">
        <v>85037.18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82042.84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59127.94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v>11999.42</v>
      </c>
      <c r="F17" s="267"/>
    </row>
    <row r="18" spans="1:7" ht="18.600000000000001" customHeight="1">
      <c r="A18" s="1316" t="s">
        <v>371</v>
      </c>
      <c r="B18" s="1317"/>
      <c r="C18" s="1317"/>
      <c r="D18" s="1317"/>
      <c r="E18" s="266">
        <v>11576.9</v>
      </c>
      <c r="F18" s="267"/>
    </row>
    <row r="19" spans="1:7" ht="18.600000000000001" customHeight="1">
      <c r="A19" s="584" t="s">
        <v>433</v>
      </c>
      <c r="B19" s="585"/>
      <c r="C19" s="585"/>
      <c r="D19" s="585"/>
      <c r="E19" s="266">
        <v>12001.43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11578.83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12003.43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12004.45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10875.55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4124.71</v>
      </c>
      <c r="F24" s="267"/>
      <c r="G24" s="5" t="str">
        <f>"+1"</f>
        <v>+1</v>
      </c>
    </row>
    <row r="25" spans="1:7" ht="18.600000000000001" customHeight="1">
      <c r="A25" s="793" t="s">
        <v>604</v>
      </c>
      <c r="B25" s="794"/>
      <c r="C25" s="794"/>
      <c r="D25" s="794"/>
      <c r="E25" s="266">
        <f>1760.54-1</f>
        <v>1759.54</v>
      </c>
      <c r="F25" s="267"/>
      <c r="G25" s="805" t="str">
        <f>"-1"</f>
        <v>-1</v>
      </c>
    </row>
    <row r="26" spans="1:7" ht="18.600000000000001" customHeight="1">
      <c r="A26" s="816" t="s">
        <v>698</v>
      </c>
      <c r="B26" s="817"/>
      <c r="C26" s="817"/>
      <c r="D26" s="817"/>
      <c r="E26" s="266">
        <v>1825.1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1760.83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1825.4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1825.56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1761.28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1825.86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1761.57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1826.17</v>
      </c>
      <c r="F33" s="267"/>
      <c r="G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1826.32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SUM(E9:E35)</f>
        <v>767878.07000000007</v>
      </c>
      <c r="G36" s="5">
        <f>+F36+Adhesiones!H62</f>
        <v>21488034.57</v>
      </c>
      <c r="H36" s="758">
        <f>+G36-F36</f>
        <v>20720156.5</v>
      </c>
      <c r="I36" s="5">
        <f>-'Anexo 3-Porcion C-NC'!B20</f>
        <v>-20720157</v>
      </c>
      <c r="J36" s="5">
        <f>+H36+I36</f>
        <v>-0.5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2">
    <mergeCell ref="A9:D9"/>
    <mergeCell ref="A10:D10"/>
    <mergeCell ref="A1:F3"/>
    <mergeCell ref="A4:F4"/>
    <mergeCell ref="A5:F5"/>
    <mergeCell ref="A6:E6"/>
    <mergeCell ref="A8:D8"/>
    <mergeCell ref="D45:E45"/>
    <mergeCell ref="A42:B42"/>
    <mergeCell ref="A14:D14"/>
    <mergeCell ref="A17:D17"/>
    <mergeCell ref="A15:D15"/>
    <mergeCell ref="D44:E44"/>
    <mergeCell ref="A44:B44"/>
    <mergeCell ref="A43:B43"/>
    <mergeCell ref="A13:D13"/>
    <mergeCell ref="D43:E43"/>
    <mergeCell ref="D42:E42"/>
    <mergeCell ref="A11:D11"/>
    <mergeCell ref="A16:D16"/>
    <mergeCell ref="A18:D18"/>
    <mergeCell ref="A12:D1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8">
    <tabColor rgb="FF00B0F0"/>
    <pageSetUpPr fitToPage="1"/>
  </sheetPr>
  <dimension ref="A1:AG230"/>
  <sheetViews>
    <sheetView showGridLines="0" topLeftCell="A20" zoomScale="82" zoomScaleNormal="9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285156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2009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192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329371.40000000002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8">
        <v>11516.12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8">
        <v>25500.97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23102.85</v>
      </c>
      <c r="F11" s="267"/>
    </row>
    <row r="12" spans="1:25" ht="18.600000000000001" customHeight="1">
      <c r="A12" s="1316" t="s">
        <v>245</v>
      </c>
      <c r="B12" s="1317"/>
      <c r="C12" s="1317"/>
      <c r="D12" s="1317"/>
      <c r="E12" s="266">
        <v>25505.11</v>
      </c>
      <c r="F12" s="267"/>
    </row>
    <row r="13" spans="1:25" ht="18.600000000000001" customHeight="1">
      <c r="A13" s="1316" t="s">
        <v>243</v>
      </c>
      <c r="B13" s="1317"/>
      <c r="C13" s="1317"/>
      <c r="D13" s="1317"/>
      <c r="E13" s="266">
        <v>24607.02</v>
      </c>
      <c r="F13" s="267"/>
    </row>
    <row r="14" spans="1:25" ht="18.600000000000001" customHeight="1">
      <c r="A14" s="1316" t="s">
        <v>275</v>
      </c>
      <c r="B14" s="1317"/>
      <c r="C14" s="1317"/>
      <c r="D14" s="1317"/>
      <c r="E14" s="266">
        <v>25509.360000000001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24611.13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25513.62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v>25515.79</v>
      </c>
      <c r="F17" s="267"/>
    </row>
    <row r="18" spans="1:7" ht="18.600000000000001" customHeight="1">
      <c r="A18" s="1316" t="s">
        <v>371</v>
      </c>
      <c r="B18" s="1317"/>
      <c r="C18" s="1317"/>
      <c r="D18" s="1317"/>
      <c r="E18" s="266">
        <f>23375.68+1</f>
        <v>23376.68</v>
      </c>
      <c r="F18" s="267"/>
      <c r="G18" s="5" t="str">
        <f>+"+1"</f>
        <v>+1</v>
      </c>
    </row>
    <row r="19" spans="1:7" ht="18.600000000000001" customHeight="1">
      <c r="A19" s="584" t="s">
        <v>433</v>
      </c>
      <c r="B19" s="585"/>
      <c r="C19" s="585"/>
      <c r="D19" s="585"/>
      <c r="E19" s="266">
        <v>22945.79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22137.82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12550.86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5984.28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5421.52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3534.99</v>
      </c>
      <c r="F24" s="267"/>
      <c r="G24" s="5" t="str">
        <f>+"+1"</f>
        <v>+1</v>
      </c>
    </row>
    <row r="25" spans="1:7" ht="18.600000000000001" customHeight="1">
      <c r="A25" s="793" t="s">
        <v>604</v>
      </c>
      <c r="B25" s="794"/>
      <c r="C25" s="794"/>
      <c r="D25" s="794"/>
      <c r="E25" s="266">
        <f>2719.83-2</f>
        <v>2717.83</v>
      </c>
      <c r="F25" s="267"/>
      <c r="G25" s="805" t="str">
        <f>"-2"</f>
        <v>-2</v>
      </c>
    </row>
    <row r="26" spans="1:7" ht="18.600000000000001" customHeight="1">
      <c r="A26" s="816" t="s">
        <v>698</v>
      </c>
      <c r="B26" s="817"/>
      <c r="C26" s="817"/>
      <c r="D26" s="817"/>
      <c r="E26" s="266">
        <v>2819.57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2720.29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2820.04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2820.28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2720.97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2820.75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2541.7800000000002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27.99</v>
      </c>
      <c r="F33" s="267"/>
      <c r="G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27.99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SUM(E9:E35)</f>
        <v>329371.40000000002</v>
      </c>
      <c r="G36" s="5">
        <f>++Adhesiones!H68+F36</f>
        <v>329371.40000000002</v>
      </c>
      <c r="H36" s="758">
        <f>+G36-F36</f>
        <v>0</v>
      </c>
      <c r="I36" s="5">
        <f>-'Anexo 3-Porcion C-NC'!B16</f>
        <v>0</v>
      </c>
      <c r="J36" s="5">
        <f>+H36+I36</f>
        <v>0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2">
    <mergeCell ref="A9:D9"/>
    <mergeCell ref="A1:F3"/>
    <mergeCell ref="A4:F4"/>
    <mergeCell ref="A5:F5"/>
    <mergeCell ref="A6:E6"/>
    <mergeCell ref="A8:D8"/>
    <mergeCell ref="A12:D12"/>
    <mergeCell ref="A16:D16"/>
    <mergeCell ref="A18:D18"/>
    <mergeCell ref="A10:D10"/>
    <mergeCell ref="A11:D11"/>
    <mergeCell ref="D45:E45"/>
    <mergeCell ref="A42:B42"/>
    <mergeCell ref="A13:D13"/>
    <mergeCell ref="A17:D17"/>
    <mergeCell ref="A15:D15"/>
    <mergeCell ref="D44:E44"/>
    <mergeCell ref="A14:D14"/>
    <mergeCell ref="A44:B44"/>
    <mergeCell ref="A43:B43"/>
    <mergeCell ref="D43:E43"/>
    <mergeCell ref="D42:E4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9">
    <tabColor rgb="FF00B0F0"/>
    <pageSetUpPr fitToPage="1"/>
  </sheetPr>
  <dimension ref="A1:AG230"/>
  <sheetViews>
    <sheetView showGridLines="0" topLeftCell="A18" zoomScale="80" zoomScaleNormal="80" workbookViewId="0">
      <selection activeCell="I36" sqref="I36"/>
    </sheetView>
  </sheetViews>
  <sheetFormatPr baseColWidth="10" defaultRowHeight="89.25" customHeight="1"/>
  <cols>
    <col min="1" max="1" width="25.28515625" style="6" customWidth="1"/>
    <col min="2" max="2" width="27.7109375" style="6" customWidth="1"/>
    <col min="3" max="3" width="25.28515625" style="16" customWidth="1"/>
    <col min="4" max="4" width="26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2010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193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346379.62999999995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8">
        <v>7403.22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8">
        <v>25500.62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23102.53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25504.76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24606.68</v>
      </c>
      <c r="F13" s="267"/>
    </row>
    <row r="14" spans="1:25" ht="18.600000000000001" customHeight="1">
      <c r="A14" s="1316" t="s">
        <v>275</v>
      </c>
      <c r="B14" s="1317"/>
      <c r="C14" s="1317"/>
      <c r="D14" s="1317"/>
      <c r="E14" s="266">
        <v>25509.02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24610.79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25513.279999999999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v>25515.439999999999</v>
      </c>
      <c r="F17" s="267"/>
    </row>
    <row r="18" spans="1:7" ht="18.600000000000001" customHeight="1">
      <c r="A18" s="1316" t="s">
        <v>371</v>
      </c>
      <c r="B18" s="1317"/>
      <c r="C18" s="1317"/>
      <c r="D18" s="1317"/>
      <c r="E18" s="266">
        <v>24616.99</v>
      </c>
      <c r="F18" s="267"/>
    </row>
    <row r="19" spans="1:7" ht="18.600000000000001" customHeight="1">
      <c r="A19" s="584" t="s">
        <v>433</v>
      </c>
      <c r="B19" s="585"/>
      <c r="C19" s="585"/>
      <c r="D19" s="585"/>
      <c r="E19" s="266">
        <v>25519.71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24621.1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f>19110.11+1</f>
        <v>19111.11</v>
      </c>
      <c r="F21" s="267"/>
      <c r="G21" s="5" t="str">
        <f>"+1"</f>
        <v>+1</v>
      </c>
    </row>
    <row r="22" spans="1:7" ht="18.600000000000001" customHeight="1">
      <c r="A22" s="706" t="s">
        <v>518</v>
      </c>
      <c r="B22" s="707"/>
      <c r="C22" s="707"/>
      <c r="D22" s="707"/>
      <c r="E22" s="266">
        <v>15060.88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13644.54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4358.42</v>
      </c>
      <c r="F24" s="267"/>
      <c r="G24" s="5" t="str">
        <f>"+1"</f>
        <v>+1</v>
      </c>
    </row>
    <row r="25" spans="1:7" ht="18.600000000000001" customHeight="1">
      <c r="A25" s="793" t="s">
        <v>604</v>
      </c>
      <c r="B25" s="794"/>
      <c r="C25" s="794"/>
      <c r="D25" s="794"/>
      <c r="E25" s="266">
        <f>1191.64-2</f>
        <v>1189.6400000000001</v>
      </c>
      <c r="F25" s="267"/>
      <c r="G25" s="805" t="str">
        <f>"-2"</f>
        <v>-2</v>
      </c>
    </row>
    <row r="26" spans="1:7" ht="18.600000000000001" customHeight="1">
      <c r="A26" s="816" t="s">
        <v>698</v>
      </c>
      <c r="B26" s="817"/>
      <c r="C26" s="817"/>
      <c r="D26" s="817"/>
      <c r="E26" s="266">
        <v>1235.33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1191.8399999999999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1235.54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1235.6500000000001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1192.1400000000001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1235.8499999999999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1192.33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1236.06</v>
      </c>
      <c r="F33" s="267"/>
      <c r="G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1236.1600000000001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346379.62999999995</v>
      </c>
      <c r="G36" s="5">
        <f>+F36+'Anexo 3-Porcion C-NC'!B21</f>
        <v>14544390.630000001</v>
      </c>
      <c r="H36" s="758">
        <f>+G36-F36</f>
        <v>14198011</v>
      </c>
      <c r="I36" s="5">
        <f>-'Anexo 3-Porcion C-NC'!B21</f>
        <v>-14198011</v>
      </c>
      <c r="J36" s="5">
        <f>+H36+I36</f>
        <v>0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2">
    <mergeCell ref="A9:D9"/>
    <mergeCell ref="A1:F3"/>
    <mergeCell ref="A4:F4"/>
    <mergeCell ref="A5:F5"/>
    <mergeCell ref="A6:E6"/>
    <mergeCell ref="A8:D8"/>
    <mergeCell ref="A12:D12"/>
    <mergeCell ref="A16:D16"/>
    <mergeCell ref="A18:D18"/>
    <mergeCell ref="A10:D10"/>
    <mergeCell ref="A11:D11"/>
    <mergeCell ref="D45:E45"/>
    <mergeCell ref="A42:B42"/>
    <mergeCell ref="A13:D13"/>
    <mergeCell ref="A17:D17"/>
    <mergeCell ref="A15:D15"/>
    <mergeCell ref="D44:E44"/>
    <mergeCell ref="A14:D14"/>
    <mergeCell ref="A44:B44"/>
    <mergeCell ref="A43:B43"/>
    <mergeCell ref="D43:E43"/>
    <mergeCell ref="D42:E4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0">
    <tabColor rgb="FF00B0F0"/>
    <pageSetUpPr fitToPage="1"/>
  </sheetPr>
  <dimension ref="A1:AG230"/>
  <sheetViews>
    <sheetView showGridLines="0" topLeftCell="A25" zoomScale="80" zoomScaleNormal="8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5.57031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2011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194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238762.28000000003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13161.29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25501.11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23102.97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25505.25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24607.15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25509.5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24611.26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25513.759999999998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v>25515.93</v>
      </c>
      <c r="F17" s="267"/>
    </row>
    <row r="18" spans="1:7" ht="18.600000000000001" customHeight="1">
      <c r="A18" s="1316" t="s">
        <v>371</v>
      </c>
      <c r="B18" s="1317"/>
      <c r="C18" s="1317"/>
      <c r="D18" s="1317"/>
      <c r="E18" s="266">
        <f>17791.88+1</f>
        <v>17792.88</v>
      </c>
      <c r="F18" s="267"/>
      <c r="G18" s="5" t="str">
        <f>+"+1"</f>
        <v>+1</v>
      </c>
    </row>
    <row r="19" spans="1:7" ht="18.600000000000001" customHeight="1">
      <c r="A19" s="584" t="s">
        <v>433</v>
      </c>
      <c r="B19" s="585"/>
      <c r="C19" s="585"/>
      <c r="D19" s="585"/>
      <c r="E19" s="266">
        <v>6992.82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62.14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64.42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64.430000000000007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58.37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64.44</v>
      </c>
      <c r="F24" s="267"/>
    </row>
    <row r="25" spans="1:7" ht="18.600000000000001" customHeight="1">
      <c r="A25" s="793" t="s">
        <v>604</v>
      </c>
      <c r="B25" s="794"/>
      <c r="C25" s="794"/>
      <c r="D25" s="794"/>
      <c r="E25" s="266">
        <f>62.17-1</f>
        <v>61.17</v>
      </c>
      <c r="F25" s="267"/>
      <c r="G25" s="805" t="str">
        <f>"-1"</f>
        <v>-1</v>
      </c>
    </row>
    <row r="26" spans="1:7" ht="18.600000000000001" customHeight="1">
      <c r="A26" s="816" t="s">
        <v>698</v>
      </c>
      <c r="B26" s="817"/>
      <c r="C26" s="817"/>
      <c r="D26" s="817"/>
      <c r="E26" s="266">
        <v>64.45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62.18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64.459999999999994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64.459999999999994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62.19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64.47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62.2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64.489999999999995</v>
      </c>
      <c r="F33" s="267"/>
      <c r="G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64.489999999999995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238762.28000000003</v>
      </c>
      <c r="G36" s="5">
        <f>+F36+Adhesiones!H69</f>
        <v>758835.61333301547</v>
      </c>
      <c r="H36" s="758">
        <f>+G36-F36</f>
        <v>520073.33333301544</v>
      </c>
      <c r="I36" s="5">
        <f>-'Anexo 3-Porcion C-NC'!B22</f>
        <v>-520073</v>
      </c>
      <c r="J36" s="5">
        <f>+H36+I36</f>
        <v>0.33333301544189453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2">
    <mergeCell ref="A9:D9"/>
    <mergeCell ref="A1:F3"/>
    <mergeCell ref="A4:F4"/>
    <mergeCell ref="A5:F5"/>
    <mergeCell ref="A6:E6"/>
    <mergeCell ref="A8:D8"/>
    <mergeCell ref="A12:D12"/>
    <mergeCell ref="A16:D16"/>
    <mergeCell ref="A18:D18"/>
    <mergeCell ref="A10:D10"/>
    <mergeCell ref="A11:D11"/>
    <mergeCell ref="D45:E45"/>
    <mergeCell ref="A42:B42"/>
    <mergeCell ref="A13:D13"/>
    <mergeCell ref="A17:D17"/>
    <mergeCell ref="A15:D15"/>
    <mergeCell ref="D44:E44"/>
    <mergeCell ref="A14:D14"/>
    <mergeCell ref="A44:B44"/>
    <mergeCell ref="A43:B43"/>
    <mergeCell ref="D43:E43"/>
    <mergeCell ref="D42:E4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1">
    <tabColor rgb="FF00B0F0"/>
    <pageSetUpPr fitToPage="1"/>
  </sheetPr>
  <dimension ref="A1:AG230"/>
  <sheetViews>
    <sheetView showGridLines="0" topLeftCell="A21" zoomScale="80" zoomScaleNormal="8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2012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195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191473.56000000003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0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15629.03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23101.200000000001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25503.29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24605.26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25507.55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24609.37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f>17176.74+1</f>
        <v>17177.740000000002</v>
      </c>
      <c r="F16" s="267"/>
      <c r="G16" s="5" t="str">
        <f>+"+1"</f>
        <v>+1</v>
      </c>
    </row>
    <row r="17" spans="1:7" ht="18.600000000000001" customHeight="1">
      <c r="A17" s="1316" t="s">
        <v>313</v>
      </c>
      <c r="B17" s="1317"/>
      <c r="C17" s="1317"/>
      <c r="D17" s="1317"/>
      <c r="E17" s="266">
        <v>2023.53</v>
      </c>
      <c r="F17" s="267"/>
    </row>
    <row r="18" spans="1:7" ht="18.600000000000001" customHeight="1">
      <c r="A18" s="1316" t="s">
        <v>371</v>
      </c>
      <c r="B18" s="1317"/>
      <c r="C18" s="1317"/>
      <c r="D18" s="1317"/>
      <c r="E18" s="266">
        <v>1952.27</v>
      </c>
      <c r="F18" s="267"/>
    </row>
    <row r="19" spans="1:7" ht="18.600000000000001" customHeight="1">
      <c r="A19" s="584" t="s">
        <v>433</v>
      </c>
      <c r="B19" s="585"/>
      <c r="C19" s="585"/>
      <c r="D19" s="585"/>
      <c r="E19" s="266">
        <v>2023.86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1952.6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2024.2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2024.37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1834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2024.7</v>
      </c>
      <c r="F24" s="267"/>
    </row>
    <row r="25" spans="1:7" ht="18.600000000000001" customHeight="1">
      <c r="A25" s="793" t="s">
        <v>604</v>
      </c>
      <c r="B25" s="794"/>
      <c r="C25" s="794"/>
      <c r="D25" s="794"/>
      <c r="E25" s="266">
        <f>1953.41-1</f>
        <v>1952.41</v>
      </c>
      <c r="F25" s="267"/>
      <c r="G25" s="805" t="str">
        <f>"-1"</f>
        <v>-1</v>
      </c>
    </row>
    <row r="26" spans="1:7" ht="18.600000000000001" customHeight="1">
      <c r="A26" s="816" t="s">
        <v>698</v>
      </c>
      <c r="B26" s="817"/>
      <c r="C26" s="817"/>
      <c r="D26" s="817"/>
      <c r="E26" s="266">
        <v>2025.04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1953.73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2025.38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2025.55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1954.23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2025.89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f>1939.29+1</f>
        <v>1940.29</v>
      </c>
      <c r="F32" s="267"/>
      <c r="G32" s="5" t="str">
        <f>+"+1"</f>
        <v>+1</v>
      </c>
    </row>
    <row r="33" spans="1:33" ht="18.600000000000001" customHeight="1">
      <c r="A33" s="1069" t="s">
        <v>1134</v>
      </c>
      <c r="B33" s="1070"/>
      <c r="C33" s="1070"/>
      <c r="D33" s="1070"/>
      <c r="E33" s="266">
        <v>1788.96</v>
      </c>
      <c r="F33" s="267"/>
    </row>
    <row r="34" spans="1:33" ht="18.600000000000001" customHeight="1">
      <c r="A34" s="1114" t="s">
        <v>2004</v>
      </c>
      <c r="B34" s="1115"/>
      <c r="C34" s="1115"/>
      <c r="D34" s="1115"/>
      <c r="E34" s="266">
        <v>1789.11</v>
      </c>
      <c r="F34" s="267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191473.56000000003</v>
      </c>
      <c r="G36" s="5">
        <f>+F36+Adhesiones!H64</f>
        <v>21050166.629999992</v>
      </c>
      <c r="H36" s="758">
        <f>+G36-F36</f>
        <v>20858693.069999993</v>
      </c>
      <c r="I36" s="5">
        <f>-'Anexo 3-Porcion C-NC'!B17</f>
        <v>-20858693</v>
      </c>
      <c r="J36" s="5">
        <f>+H36+I36</f>
        <v>6.9999992847442627E-2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2">
    <mergeCell ref="A9:D9"/>
    <mergeCell ref="A1:F3"/>
    <mergeCell ref="A4:F4"/>
    <mergeCell ref="A5:F5"/>
    <mergeCell ref="A6:E6"/>
    <mergeCell ref="A8:D8"/>
    <mergeCell ref="A12:D12"/>
    <mergeCell ref="A16:D16"/>
    <mergeCell ref="A18:D18"/>
    <mergeCell ref="A10:D10"/>
    <mergeCell ref="A11:D11"/>
    <mergeCell ref="D45:E45"/>
    <mergeCell ref="A42:B42"/>
    <mergeCell ref="A13:D13"/>
    <mergeCell ref="A17:D17"/>
    <mergeCell ref="A15:D15"/>
    <mergeCell ref="D44:E44"/>
    <mergeCell ref="A14:D14"/>
    <mergeCell ref="A44:B44"/>
    <mergeCell ref="A43:B43"/>
    <mergeCell ref="D43:E43"/>
    <mergeCell ref="D42:E4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2">
    <tabColor rgb="FF00B0F0"/>
    <pageSetUpPr fitToPage="1"/>
  </sheetPr>
  <dimension ref="A1:AG230"/>
  <sheetViews>
    <sheetView showGridLines="0" topLeftCell="A17" zoomScale="80" zoomScaleNormal="8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2013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196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449618.78999999992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0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7828.22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43967.6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48539.4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46830.22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48547.5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46838.04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48555.61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v>48559.74</v>
      </c>
      <c r="F17" s="267"/>
    </row>
    <row r="18" spans="1:7" ht="16.5" customHeight="1">
      <c r="A18" s="553" t="s">
        <v>371</v>
      </c>
      <c r="B18" s="554"/>
      <c r="C18" s="554"/>
      <c r="D18" s="554"/>
      <c r="E18" s="266">
        <v>46849.85</v>
      </c>
      <c r="F18" s="267"/>
    </row>
    <row r="19" spans="1:7" ht="16.5" customHeight="1">
      <c r="A19" s="584" t="s">
        <v>433</v>
      </c>
      <c r="B19" s="585"/>
      <c r="C19" s="585"/>
      <c r="D19" s="585"/>
      <c r="E19" s="266">
        <f>30619.56+1</f>
        <v>30620.560000000001</v>
      </c>
      <c r="F19" s="267"/>
      <c r="G19" s="5" t="str">
        <f>+"+1"</f>
        <v>+1</v>
      </c>
    </row>
    <row r="20" spans="1:7" ht="16.5" customHeight="1">
      <c r="A20" s="663" t="s">
        <v>471</v>
      </c>
      <c r="B20" s="664"/>
      <c r="C20" s="664"/>
      <c r="D20" s="664"/>
      <c r="E20" s="266">
        <v>2126.2399999999998</v>
      </c>
      <c r="F20" s="267"/>
    </row>
    <row r="21" spans="1:7" ht="16.5" customHeight="1">
      <c r="A21" s="686" t="s">
        <v>508</v>
      </c>
      <c r="B21" s="687"/>
      <c r="C21" s="687"/>
      <c r="D21" s="687"/>
      <c r="E21" s="266">
        <v>2204.21</v>
      </c>
      <c r="F21" s="267"/>
    </row>
    <row r="22" spans="1:7" ht="16.5" customHeight="1">
      <c r="A22" s="706" t="s">
        <v>518</v>
      </c>
      <c r="B22" s="707"/>
      <c r="C22" s="707"/>
      <c r="D22" s="707"/>
      <c r="E22" s="266">
        <v>2204.4</v>
      </c>
      <c r="F22" s="267"/>
    </row>
    <row r="23" spans="1:7" ht="16.5" customHeight="1">
      <c r="A23" s="742" t="s">
        <v>552</v>
      </c>
      <c r="B23" s="743"/>
      <c r="C23" s="743"/>
      <c r="D23" s="743"/>
      <c r="E23" s="266">
        <v>1997.1</v>
      </c>
      <c r="F23" s="267"/>
    </row>
    <row r="24" spans="1:7" ht="16.5" customHeight="1">
      <c r="A24" s="760" t="s">
        <v>557</v>
      </c>
      <c r="B24" s="761"/>
      <c r="C24" s="761"/>
      <c r="D24" s="761"/>
      <c r="E24" s="266">
        <v>2204.7600000000002</v>
      </c>
      <c r="F24" s="267"/>
    </row>
    <row r="25" spans="1:7" ht="16.5" customHeight="1">
      <c r="A25" s="793" t="s">
        <v>604</v>
      </c>
      <c r="B25" s="794"/>
      <c r="C25" s="794"/>
      <c r="D25" s="794"/>
      <c r="E25" s="266">
        <f>2127.12-1</f>
        <v>2126.12</v>
      </c>
      <c r="F25" s="267"/>
      <c r="G25" s="805" t="str">
        <f>"-1"</f>
        <v>-1</v>
      </c>
    </row>
    <row r="26" spans="1:7" ht="16.5" customHeight="1">
      <c r="A26" s="816" t="s">
        <v>698</v>
      </c>
      <c r="B26" s="817"/>
      <c r="C26" s="817"/>
      <c r="D26" s="817"/>
      <c r="E26" s="266">
        <v>2205.12</v>
      </c>
      <c r="F26" s="267"/>
      <c r="G26" s="805"/>
    </row>
    <row r="27" spans="1:7" ht="16.5" customHeight="1">
      <c r="A27" s="835" t="s">
        <v>743</v>
      </c>
      <c r="B27" s="836"/>
      <c r="C27" s="836"/>
      <c r="D27" s="836"/>
      <c r="E27" s="266">
        <v>2127.48</v>
      </c>
      <c r="F27" s="267"/>
      <c r="G27" s="805"/>
    </row>
    <row r="28" spans="1:7" ht="16.5" customHeight="1">
      <c r="A28" s="915" t="s">
        <v>819</v>
      </c>
      <c r="B28" s="916"/>
      <c r="C28" s="916"/>
      <c r="D28" s="916"/>
      <c r="E28" s="266">
        <v>2205.4899999999998</v>
      </c>
      <c r="F28" s="267"/>
      <c r="G28" s="805"/>
    </row>
    <row r="29" spans="1:7" ht="16.5" customHeight="1">
      <c r="A29" s="952" t="s">
        <v>867</v>
      </c>
      <c r="B29" s="953"/>
      <c r="C29" s="953"/>
      <c r="D29" s="953"/>
      <c r="E29" s="266">
        <v>2205.6799999999998</v>
      </c>
      <c r="F29" s="267"/>
      <c r="G29" s="805"/>
    </row>
    <row r="30" spans="1:7" ht="16.5" customHeight="1">
      <c r="A30" s="965" t="s">
        <v>901</v>
      </c>
      <c r="B30" s="966"/>
      <c r="C30" s="966"/>
      <c r="D30" s="966"/>
      <c r="E30" s="266">
        <v>2128.0100000000002</v>
      </c>
      <c r="F30" s="267"/>
      <c r="G30" s="805"/>
    </row>
    <row r="31" spans="1:7" ht="16.5" customHeight="1">
      <c r="A31" s="996" t="s">
        <v>1008</v>
      </c>
      <c r="B31" s="997"/>
      <c r="C31" s="997"/>
      <c r="D31" s="997"/>
      <c r="E31" s="266">
        <v>2206.0500000000002</v>
      </c>
      <c r="F31" s="267"/>
      <c r="G31" s="805"/>
    </row>
    <row r="32" spans="1:7" ht="16.5" customHeight="1">
      <c r="A32" s="1038" t="s">
        <v>1029</v>
      </c>
      <c r="B32" s="1039"/>
      <c r="C32" s="1039"/>
      <c r="D32" s="1039"/>
      <c r="E32" s="266">
        <v>2128.37</v>
      </c>
      <c r="F32" s="267"/>
      <c r="G32" s="805"/>
    </row>
    <row r="33" spans="1:33" ht="16.5" customHeight="1">
      <c r="A33" s="1069" t="s">
        <v>1134</v>
      </c>
      <c r="B33" s="1070"/>
      <c r="C33" s="1070"/>
      <c r="D33" s="1070"/>
      <c r="E33" s="266">
        <v>2206.42</v>
      </c>
      <c r="F33" s="267"/>
      <c r="G33" s="805"/>
    </row>
    <row r="34" spans="1:33" ht="16.5" customHeight="1">
      <c r="A34" s="1114" t="s">
        <v>2004</v>
      </c>
      <c r="B34" s="1115"/>
      <c r="C34" s="1115"/>
      <c r="D34" s="1115"/>
      <c r="E34" s="266">
        <v>2206.6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449618.78999999992</v>
      </c>
      <c r="G36" s="5">
        <f>+F36+Adhesiones!H76</f>
        <v>25962313.789999999</v>
      </c>
      <c r="H36" s="758">
        <f>+G36-F36</f>
        <v>25512695</v>
      </c>
      <c r="I36" s="5">
        <f>-'Anexo 3-Porcion C-NC'!B18</f>
        <v>-25512695</v>
      </c>
      <c r="J36" s="5">
        <f>+H36+I36</f>
        <v>0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1">
    <mergeCell ref="A9:D9"/>
    <mergeCell ref="A12:D12"/>
    <mergeCell ref="A11:D11"/>
    <mergeCell ref="A10:D10"/>
    <mergeCell ref="D42:E42"/>
    <mergeCell ref="A14:D14"/>
    <mergeCell ref="A1:F3"/>
    <mergeCell ref="A4:F4"/>
    <mergeCell ref="A5:F5"/>
    <mergeCell ref="A6:E6"/>
    <mergeCell ref="A8:D8"/>
    <mergeCell ref="D45:E45"/>
    <mergeCell ref="A42:B42"/>
    <mergeCell ref="A13:D13"/>
    <mergeCell ref="A17:D17"/>
    <mergeCell ref="A15:D15"/>
    <mergeCell ref="A16:D16"/>
    <mergeCell ref="A44:B44"/>
    <mergeCell ref="A43:B43"/>
    <mergeCell ref="D44:E44"/>
    <mergeCell ref="D43:E4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4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23">
    <tabColor rgb="FF00B0F0"/>
    <pageSetUpPr fitToPage="1"/>
  </sheetPr>
  <dimension ref="A1:AG230"/>
  <sheetViews>
    <sheetView showGridLines="0" topLeftCell="A18" zoomScale="80" zoomScaleNormal="8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2014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197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259454.01999999993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13512.25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26181.14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23719.05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26185.39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25263.34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26189.759999999998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25267.56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26194.13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v>26196.36</v>
      </c>
      <c r="F17" s="267"/>
    </row>
    <row r="18" spans="1:7" ht="18.600000000000001" customHeight="1">
      <c r="A18" s="553" t="s">
        <v>371</v>
      </c>
      <c r="B18" s="554"/>
      <c r="C18" s="554"/>
      <c r="D18" s="554"/>
      <c r="E18" s="266">
        <f>19552.19+1</f>
        <v>19553.189999999999</v>
      </c>
      <c r="F18" s="267"/>
      <c r="G18" s="5" t="str">
        <f>+"+1"</f>
        <v>+1</v>
      </c>
    </row>
    <row r="19" spans="1:7" ht="18.600000000000001" customHeight="1">
      <c r="A19" s="584" t="s">
        <v>433</v>
      </c>
      <c r="B19" s="585"/>
      <c r="C19" s="585"/>
      <c r="D19" s="585"/>
      <c r="E19" s="266">
        <v>8826.7000000000007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97.47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101.05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101.06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91.55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101.07</v>
      </c>
      <c r="F24" s="267"/>
    </row>
    <row r="25" spans="1:7" ht="18.600000000000001" customHeight="1">
      <c r="A25" s="793" t="s">
        <v>604</v>
      </c>
      <c r="B25" s="794"/>
      <c r="C25" s="794"/>
      <c r="D25" s="794"/>
      <c r="E25" s="266">
        <f>97.52-1</f>
        <v>96.52</v>
      </c>
      <c r="F25" s="267"/>
      <c r="G25" s="805" t="str">
        <f>"-1"</f>
        <v>-1</v>
      </c>
    </row>
    <row r="26" spans="1:7" ht="18.600000000000001" customHeight="1">
      <c r="A26" s="816" t="s">
        <v>698</v>
      </c>
      <c r="B26" s="817"/>
      <c r="C26" s="817"/>
      <c r="D26" s="817"/>
      <c r="E26" s="266">
        <v>101.09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97.53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101.11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101.12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97.56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101.13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1472.49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4851.99</v>
      </c>
      <c r="F33" s="267"/>
      <c r="G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4852.41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259454.01999999993</v>
      </c>
      <c r="G36" s="5">
        <f>+F36+Adhesiones!H70</f>
        <v>57092056.020000003</v>
      </c>
      <c r="H36" s="758">
        <f>+G36-F36</f>
        <v>56832602</v>
      </c>
      <c r="I36" s="5">
        <f>-'Anexo 3-Porcion C-NC'!B23</f>
        <v>-56832602</v>
      </c>
      <c r="J36" s="5">
        <f>+H36+I36</f>
        <v>0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263"/>
      <c r="F37" s="263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1">
    <mergeCell ref="A9:D9"/>
    <mergeCell ref="A12:D12"/>
    <mergeCell ref="A11:D11"/>
    <mergeCell ref="A10:D10"/>
    <mergeCell ref="D42:E42"/>
    <mergeCell ref="A14:D14"/>
    <mergeCell ref="A1:F3"/>
    <mergeCell ref="A4:F4"/>
    <mergeCell ref="A5:F5"/>
    <mergeCell ref="A6:E6"/>
    <mergeCell ref="A8:D8"/>
    <mergeCell ref="D45:E45"/>
    <mergeCell ref="A42:B42"/>
    <mergeCell ref="A13:D13"/>
    <mergeCell ref="A17:D17"/>
    <mergeCell ref="A15:D15"/>
    <mergeCell ref="A16:D16"/>
    <mergeCell ref="A44:B44"/>
    <mergeCell ref="A43:B43"/>
    <mergeCell ref="D44:E44"/>
    <mergeCell ref="D43:E4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4">
    <tabColor rgb="FF00B0F0"/>
    <pageSetUpPr fitToPage="1"/>
  </sheetPr>
  <dimension ref="A1:AG230"/>
  <sheetViews>
    <sheetView showGridLines="0" topLeftCell="A18" zoomScale="80" zoomScaleNormal="8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2015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198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539270.82999999996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13161.29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51001.11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46204.94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51009.38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49213.23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51017.9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49221.45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51026.42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v>51030.75</v>
      </c>
      <c r="F17" s="267"/>
    </row>
    <row r="18" spans="1:7" ht="18.600000000000001" customHeight="1">
      <c r="A18" s="553" t="s">
        <v>371</v>
      </c>
      <c r="B18" s="554"/>
      <c r="C18" s="554"/>
      <c r="D18" s="554"/>
      <c r="E18" s="266">
        <f>36175.79+1</f>
        <v>36176.79</v>
      </c>
      <c r="F18" s="267"/>
      <c r="G18" s="5" t="str">
        <f>+"+1"</f>
        <v>+1</v>
      </c>
    </row>
    <row r="19" spans="1:7" ht="18.600000000000001" customHeight="1">
      <c r="A19" s="584" t="s">
        <v>433</v>
      </c>
      <c r="B19" s="585"/>
      <c r="C19" s="585"/>
      <c r="D19" s="585"/>
      <c r="E19" s="266">
        <v>16758.900000000001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5159.42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5348.62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5349.07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4846.04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5349.94</v>
      </c>
      <c r="F24" s="267"/>
    </row>
    <row r="25" spans="1:7" ht="18.600000000000001" customHeight="1">
      <c r="A25" s="793" t="s">
        <v>604</v>
      </c>
      <c r="B25" s="794"/>
      <c r="C25" s="794"/>
      <c r="D25" s="794"/>
      <c r="E25" s="266">
        <f>5161.55-1</f>
        <v>5160.55</v>
      </c>
      <c r="F25" s="267"/>
      <c r="G25" s="805" t="str">
        <f>"-1"</f>
        <v>-1</v>
      </c>
    </row>
    <row r="26" spans="1:7" ht="18.600000000000001" customHeight="1">
      <c r="A26" s="816" t="s">
        <v>698</v>
      </c>
      <c r="B26" s="817"/>
      <c r="C26" s="817"/>
      <c r="D26" s="817"/>
      <c r="E26" s="266">
        <v>5350.83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5162.42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5351.72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5352.18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5163.72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5353.07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4997.2299999999996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2751.81</v>
      </c>
      <c r="F33" s="267"/>
      <c r="G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2752.05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539270.82999999996</v>
      </c>
      <c r="G36" s="5">
        <f>+F36+Adhesiones!H65</f>
        <v>32379840.829999998</v>
      </c>
      <c r="H36" s="758">
        <f>+G36-F36</f>
        <v>31840570</v>
      </c>
      <c r="I36" s="5">
        <f>-'Anexo 3-Porcion C-NC'!B24</f>
        <v>-31840570</v>
      </c>
      <c r="J36" s="5">
        <f>+H36+I36</f>
        <v>0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1">
    <mergeCell ref="A9:D9"/>
    <mergeCell ref="A12:D12"/>
    <mergeCell ref="A11:D11"/>
    <mergeCell ref="A10:D10"/>
    <mergeCell ref="D42:E42"/>
    <mergeCell ref="A14:D14"/>
    <mergeCell ref="A1:F3"/>
    <mergeCell ref="A4:F4"/>
    <mergeCell ref="A5:F5"/>
    <mergeCell ref="A6:E6"/>
    <mergeCell ref="A8:D8"/>
    <mergeCell ref="D45:E45"/>
    <mergeCell ref="A42:B42"/>
    <mergeCell ref="A13:D13"/>
    <mergeCell ref="A17:D17"/>
    <mergeCell ref="A15:D15"/>
    <mergeCell ref="A16:D16"/>
    <mergeCell ref="A44:B44"/>
    <mergeCell ref="A43:B43"/>
    <mergeCell ref="D44:E44"/>
    <mergeCell ref="D43:E4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5">
    <tabColor rgb="FF00B0F0"/>
    <pageSetUpPr fitToPage="1"/>
  </sheetPr>
  <dimension ref="A1:AG230"/>
  <sheetViews>
    <sheetView showGridLines="0" topLeftCell="A35" zoomScale="80" zoomScaleNormal="8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2016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199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231218.58999999994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9596.77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29750.81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26953.02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29755.63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28707.87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29760.6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28712.67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f>19757.54+1</f>
        <v>19758.54</v>
      </c>
      <c r="F16" s="267"/>
      <c r="G16" s="5" t="str">
        <f>+"+1"</f>
        <v>+1</v>
      </c>
    </row>
    <row r="17" spans="1:7" ht="18.600000000000001" customHeight="1">
      <c r="A17" s="1316" t="s">
        <v>313</v>
      </c>
      <c r="B17" s="1317"/>
      <c r="C17" s="1317"/>
      <c r="D17" s="1317"/>
      <c r="E17" s="266">
        <v>1562.8</v>
      </c>
      <c r="F17" s="267"/>
    </row>
    <row r="18" spans="1:7" ht="18.600000000000001" customHeight="1">
      <c r="A18" s="553" t="s">
        <v>371</v>
      </c>
      <c r="B18" s="554"/>
      <c r="C18" s="554"/>
      <c r="D18" s="554"/>
      <c r="E18" s="266">
        <v>1507.77</v>
      </c>
      <c r="F18" s="267"/>
    </row>
    <row r="19" spans="1:7" ht="18.600000000000001" customHeight="1">
      <c r="A19" s="584" t="s">
        <v>433</v>
      </c>
      <c r="B19" s="585"/>
      <c r="C19" s="585"/>
      <c r="D19" s="585"/>
      <c r="E19" s="266">
        <v>1563.06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1508.02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1563.32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1563.46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1416.43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1563.71</v>
      </c>
      <c r="F24" s="267"/>
    </row>
    <row r="25" spans="1:7" ht="18.600000000000001" customHeight="1">
      <c r="A25" s="793" t="s">
        <v>604</v>
      </c>
      <c r="B25" s="794"/>
      <c r="C25" s="794"/>
      <c r="D25" s="794"/>
      <c r="E25" s="266">
        <f>1508.65-1</f>
        <v>1507.65</v>
      </c>
      <c r="F25" s="267"/>
      <c r="G25" s="805" t="str">
        <f>"-1"</f>
        <v>-1</v>
      </c>
    </row>
    <row r="26" spans="1:7" ht="18.600000000000001" customHeight="1">
      <c r="A26" s="816" t="s">
        <v>698</v>
      </c>
      <c r="B26" s="817"/>
      <c r="C26" s="817"/>
      <c r="D26" s="817"/>
      <c r="E26" s="266">
        <v>1563.97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1508.9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1564.23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1564.36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1509.28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1564.63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2328.73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2842.71</v>
      </c>
      <c r="F33" s="267"/>
      <c r="G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19.649999999999999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231218.58999999994</v>
      </c>
      <c r="G36" s="5">
        <f>+F36+Adhesiones!H66</f>
        <v>231218.58999999994</v>
      </c>
      <c r="H36" s="758">
        <f>+G36-F36</f>
        <v>0</v>
      </c>
      <c r="I36" s="5">
        <v>-0.37</v>
      </c>
      <c r="J36" s="5">
        <f>+H36+I36</f>
        <v>-0.37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1">
    <mergeCell ref="A9:D9"/>
    <mergeCell ref="A12:D12"/>
    <mergeCell ref="A11:D11"/>
    <mergeCell ref="A10:D10"/>
    <mergeCell ref="D42:E42"/>
    <mergeCell ref="A14:D14"/>
    <mergeCell ref="A1:F3"/>
    <mergeCell ref="A4:F4"/>
    <mergeCell ref="A5:F5"/>
    <mergeCell ref="A6:E6"/>
    <mergeCell ref="A8:D8"/>
    <mergeCell ref="D45:E45"/>
    <mergeCell ref="A42:B42"/>
    <mergeCell ref="A13:D13"/>
    <mergeCell ref="A17:D17"/>
    <mergeCell ref="A15:D15"/>
    <mergeCell ref="A16:D16"/>
    <mergeCell ref="A44:B44"/>
    <mergeCell ref="A43:B43"/>
    <mergeCell ref="D44:E44"/>
    <mergeCell ref="D43:E4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6">
    <tabColor rgb="FF00B0F0"/>
    <pageSetUpPr fitToPage="1"/>
  </sheetPr>
  <dimension ref="A1:AG230"/>
  <sheetViews>
    <sheetView showGridLines="0" topLeftCell="A15" zoomScale="70" zoomScaleNormal="70" workbookViewId="0">
      <selection activeCell="I36" sqref="I36"/>
    </sheetView>
  </sheetViews>
  <sheetFormatPr baseColWidth="10" defaultRowHeight="89.25" customHeight="1"/>
  <cols>
    <col min="1" max="1" width="25.28515625" style="6" customWidth="1"/>
    <col min="2" max="2" width="30.710937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285156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2017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200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472714.14999999991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6580.64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51000.55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46204.43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51008.82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49212.69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51017.34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49220.91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f>47074.73+1</f>
        <v>47075.73</v>
      </c>
      <c r="F16" s="267"/>
      <c r="G16" s="5" t="str">
        <f>+"+1"</f>
        <v>+1</v>
      </c>
    </row>
    <row r="17" spans="1:7" ht="18.600000000000001" customHeight="1">
      <c r="A17" s="1316" t="s">
        <v>313</v>
      </c>
      <c r="B17" s="1317"/>
      <c r="C17" s="1317"/>
      <c r="D17" s="1317"/>
      <c r="E17" s="266">
        <v>39894.879999999997</v>
      </c>
      <c r="F17" s="267"/>
    </row>
    <row r="18" spans="1:7" ht="18.600000000000001" customHeight="1">
      <c r="A18" s="553" t="s">
        <v>371</v>
      </c>
      <c r="B18" s="554"/>
      <c r="C18" s="554"/>
      <c r="D18" s="554"/>
      <c r="E18" s="266">
        <f>28003.16+1</f>
        <v>28004.16</v>
      </c>
      <c r="F18" s="267"/>
      <c r="G18" s="5" t="str">
        <f>+"+1"</f>
        <v>+1</v>
      </c>
    </row>
    <row r="19" spans="1:7" ht="18.600000000000001" customHeight="1">
      <c r="A19" s="584" t="s">
        <v>433</v>
      </c>
      <c r="B19" s="585"/>
      <c r="C19" s="585"/>
      <c r="D19" s="585"/>
      <c r="E19" s="266">
        <v>11919.7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1969.08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2041.29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2041.46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1849.48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2041.79</v>
      </c>
      <c r="F24" s="267"/>
    </row>
    <row r="25" spans="1:7" ht="18.600000000000001" customHeight="1">
      <c r="A25" s="793" t="s">
        <v>604</v>
      </c>
      <c r="B25" s="794"/>
      <c r="C25" s="794"/>
      <c r="D25" s="794"/>
      <c r="E25" s="266">
        <f>1969.89-2</f>
        <v>1967.89</v>
      </c>
      <c r="F25" s="267"/>
      <c r="G25" s="805" t="str">
        <f>"-2"</f>
        <v>-2</v>
      </c>
    </row>
    <row r="26" spans="1:7" ht="18.600000000000001" customHeight="1">
      <c r="A26" s="816" t="s">
        <v>698</v>
      </c>
      <c r="B26" s="817"/>
      <c r="C26" s="817"/>
      <c r="D26" s="817"/>
      <c r="E26" s="266">
        <v>2042.13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1970.22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2042.47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2042.65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1970.72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2042.99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3423.99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7063.77</v>
      </c>
      <c r="F33" s="267"/>
      <c r="G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7064.37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472714.14999999991</v>
      </c>
      <c r="G36" s="5">
        <f>+F36+Adhesiones!H67</f>
        <v>83117363.67365101</v>
      </c>
      <c r="H36" s="758">
        <f>+G36-F36</f>
        <v>82644649.523651004</v>
      </c>
      <c r="I36" s="5">
        <f>-'Anexo 3-Porcion C-NC'!B26</f>
        <v>-82644650.200000003</v>
      </c>
      <c r="J36" s="5">
        <f>+H36+I36</f>
        <v>-0.67634899914264679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1">
    <mergeCell ref="A9:D9"/>
    <mergeCell ref="A12:D12"/>
    <mergeCell ref="A11:D11"/>
    <mergeCell ref="A10:D10"/>
    <mergeCell ref="D42:E42"/>
    <mergeCell ref="A14:D14"/>
    <mergeCell ref="A1:F3"/>
    <mergeCell ref="A4:F4"/>
    <mergeCell ref="A5:F5"/>
    <mergeCell ref="A6:E6"/>
    <mergeCell ref="A8:D8"/>
    <mergeCell ref="D45:E45"/>
    <mergeCell ref="A42:B42"/>
    <mergeCell ref="A13:D13"/>
    <mergeCell ref="A17:D17"/>
    <mergeCell ref="A15:D15"/>
    <mergeCell ref="A16:D16"/>
    <mergeCell ref="A44:B44"/>
    <mergeCell ref="A43:B43"/>
    <mergeCell ref="D44:E44"/>
    <mergeCell ref="D43:E4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7">
    <tabColor rgb="FF00B0F0"/>
    <pageSetUpPr fitToPage="1"/>
  </sheetPr>
  <dimension ref="A1:AG230"/>
  <sheetViews>
    <sheetView showGridLines="0" topLeftCell="A27" zoomScale="80" zoomScaleNormal="8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7.425781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2018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201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381965.48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4112.8999999999996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42500.34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38503.58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42507.23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41010.46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42514.33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41017.31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42521.43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v>42525.04</v>
      </c>
      <c r="F17" s="267"/>
    </row>
    <row r="18" spans="1:7" ht="18.600000000000001" customHeight="1">
      <c r="A18" s="553" t="s">
        <v>371</v>
      </c>
      <c r="B18" s="554"/>
      <c r="C18" s="554"/>
      <c r="D18" s="554"/>
      <c r="E18" s="266">
        <f>27615.24+1</f>
        <v>27616.240000000002</v>
      </c>
      <c r="F18" s="267"/>
      <c r="G18" s="5" t="str">
        <f>+"+1"</f>
        <v>+1</v>
      </c>
    </row>
    <row r="19" spans="1:7" ht="18.600000000000001" customHeight="1">
      <c r="A19" s="584" t="s">
        <v>433</v>
      </c>
      <c r="B19" s="585"/>
      <c r="C19" s="585"/>
      <c r="D19" s="585"/>
      <c r="E19" s="266">
        <v>9242.2999999999993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542.61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562.51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562.55999999999995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509.66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562.65</v>
      </c>
      <c r="F24" s="267"/>
    </row>
    <row r="25" spans="1:7" ht="18.600000000000001" customHeight="1">
      <c r="A25" s="793" t="s">
        <v>604</v>
      </c>
      <c r="B25" s="794"/>
      <c r="C25" s="794"/>
      <c r="D25" s="794"/>
      <c r="E25" s="266">
        <f>542.84-1</f>
        <v>541.84</v>
      </c>
      <c r="F25" s="267"/>
      <c r="G25" s="805" t="str">
        <f>"-1"</f>
        <v>-1</v>
      </c>
    </row>
    <row r="26" spans="1:7" ht="18.600000000000001" customHeight="1">
      <c r="A26" s="816" t="s">
        <v>698</v>
      </c>
      <c r="B26" s="817"/>
      <c r="C26" s="817"/>
      <c r="D26" s="817"/>
      <c r="E26" s="266">
        <v>562.74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542.92999999999995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562.84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562.89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543.07000000000005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562.98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530.87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372.07</v>
      </c>
      <c r="F33" s="267"/>
      <c r="G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372.1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381965.48</v>
      </c>
      <c r="G36" s="5">
        <f>+F36+Adhesiones!H71</f>
        <v>4378109.4800000004</v>
      </c>
      <c r="H36" s="758">
        <f>+G36-F36</f>
        <v>3996144.0000000005</v>
      </c>
      <c r="I36" s="5">
        <f>-'Anexo 3-Porcion C-NC'!B27</f>
        <v>-3996145</v>
      </c>
      <c r="J36" s="5">
        <f>+H36+I36</f>
        <v>-0.99999999953433871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263"/>
      <c r="F37" s="263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1">
    <mergeCell ref="A9:D9"/>
    <mergeCell ref="A12:D12"/>
    <mergeCell ref="A11:D11"/>
    <mergeCell ref="A10:D10"/>
    <mergeCell ref="D42:E42"/>
    <mergeCell ref="A14:D14"/>
    <mergeCell ref="A1:F3"/>
    <mergeCell ref="A4:F4"/>
    <mergeCell ref="A5:F5"/>
    <mergeCell ref="A6:E6"/>
    <mergeCell ref="A8:D8"/>
    <mergeCell ref="D45:E45"/>
    <mergeCell ref="A42:B42"/>
    <mergeCell ref="A13:D13"/>
    <mergeCell ref="A17:D17"/>
    <mergeCell ref="A15:D15"/>
    <mergeCell ref="A16:D16"/>
    <mergeCell ref="A44:B44"/>
    <mergeCell ref="A43:B43"/>
    <mergeCell ref="D44:E44"/>
    <mergeCell ref="D43:E4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8">
    <tabColor rgb="FF00B0F0"/>
    <pageSetUpPr fitToPage="1"/>
  </sheetPr>
  <dimension ref="A1:AG230"/>
  <sheetViews>
    <sheetView showGridLines="0" topLeftCell="A25" zoomScale="80" zoomScaleNormal="80" workbookViewId="0">
      <selection activeCell="I36" sqref="I36"/>
    </sheetView>
  </sheetViews>
  <sheetFormatPr baseColWidth="10" defaultRowHeight="89.25" customHeight="1"/>
  <cols>
    <col min="1" max="1" width="25.28515625" style="6" customWidth="1"/>
    <col min="2" max="2" width="28.57031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2019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202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673057.45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25362.27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63750.93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57756.54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63762.48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61517.27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63773.13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61527.54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63783.78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v>63789.2</v>
      </c>
      <c r="F17" s="267"/>
    </row>
    <row r="18" spans="1:7" ht="18.600000000000001" customHeight="1">
      <c r="A18" s="553" t="s">
        <v>371</v>
      </c>
      <c r="B18" s="554"/>
      <c r="C18" s="554"/>
      <c r="D18" s="554"/>
      <c r="E18" s="266">
        <f>54983.05+1</f>
        <v>54984.05</v>
      </c>
      <c r="F18" s="267"/>
      <c r="G18" s="5" t="str">
        <f>+"+1"</f>
        <v>+1</v>
      </c>
    </row>
    <row r="19" spans="1:7" ht="18.600000000000001" customHeight="1">
      <c r="A19" s="584" t="s">
        <v>433</v>
      </c>
      <c r="B19" s="585"/>
      <c r="C19" s="585"/>
      <c r="D19" s="585"/>
      <c r="E19" s="266">
        <v>32219.360000000001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3621.37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3754.17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3754.49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3401.42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3755.1</v>
      </c>
      <c r="F24" s="267"/>
    </row>
    <row r="25" spans="1:7" ht="18.600000000000001" customHeight="1">
      <c r="A25" s="793" t="s">
        <v>604</v>
      </c>
      <c r="B25" s="794"/>
      <c r="C25" s="794"/>
      <c r="D25" s="794"/>
      <c r="E25" s="266">
        <f>3622.87-1</f>
        <v>3621.87</v>
      </c>
      <c r="F25" s="267"/>
      <c r="G25" s="805" t="str">
        <f>"-1"</f>
        <v>-1</v>
      </c>
    </row>
    <row r="26" spans="1:7" ht="18.600000000000001" customHeight="1">
      <c r="A26" s="816" t="s">
        <v>698</v>
      </c>
      <c r="B26" s="817"/>
      <c r="C26" s="817"/>
      <c r="D26" s="817"/>
      <c r="E26" s="266">
        <v>3755.73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3623.48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3756.35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3756.67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3624.39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3757.3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4321.16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6163.44</v>
      </c>
      <c r="F33" s="267"/>
      <c r="G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6163.96</v>
      </c>
      <c r="F34" s="267"/>
      <c r="G34" s="805"/>
    </row>
    <row r="35" spans="1:33" s="5" customFormat="1" ht="18.600000000000001" customHeight="1">
      <c r="A35" s="245"/>
      <c r="B35" s="246"/>
      <c r="C35" s="246"/>
      <c r="D35" s="246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673057.45</v>
      </c>
      <c r="G36" s="5">
        <f>+F36+Adhesiones!H72</f>
        <v>72523398.950000003</v>
      </c>
      <c r="H36" s="758">
        <f>+G36-F36</f>
        <v>71850341.5</v>
      </c>
      <c r="I36" s="5">
        <f>-'Anexo 3-Porcion C-NC'!B28</f>
        <v>-71850341</v>
      </c>
      <c r="J36" s="5">
        <f>+H36+I36</f>
        <v>0.5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1">
    <mergeCell ref="A9:D9"/>
    <mergeCell ref="A12:D12"/>
    <mergeCell ref="A11:D11"/>
    <mergeCell ref="A10:D10"/>
    <mergeCell ref="D42:E42"/>
    <mergeCell ref="A14:D14"/>
    <mergeCell ref="A1:F3"/>
    <mergeCell ref="A4:F4"/>
    <mergeCell ref="A5:F5"/>
    <mergeCell ref="A6:E6"/>
    <mergeCell ref="A8:D8"/>
    <mergeCell ref="D45:E45"/>
    <mergeCell ref="A42:B42"/>
    <mergeCell ref="A13:D13"/>
    <mergeCell ref="A17:D17"/>
    <mergeCell ref="A15:D15"/>
    <mergeCell ref="A16:D16"/>
    <mergeCell ref="A44:B44"/>
    <mergeCell ref="A43:B43"/>
    <mergeCell ref="D44:E44"/>
    <mergeCell ref="D43:E4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29">
    <tabColor rgb="FF00B0F0"/>
    <pageSetUpPr fitToPage="1"/>
  </sheetPr>
  <dimension ref="A1:AG230"/>
  <sheetViews>
    <sheetView showGridLines="0" topLeftCell="A22" zoomScale="80" zoomScaleNormal="8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1406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2020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203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632709.64999999979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0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36702.980000000003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57455.03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63429.27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61195.79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63439.86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61206.01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63450.45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v>63455.85</v>
      </c>
      <c r="F17" s="267"/>
    </row>
    <row r="18" spans="1:7" ht="18.600000000000001" customHeight="1">
      <c r="A18" s="553" t="s">
        <v>371</v>
      </c>
      <c r="B18" s="554"/>
      <c r="C18" s="554"/>
      <c r="D18" s="554"/>
      <c r="E18" s="266">
        <f>56303.43+1</f>
        <v>56304.43</v>
      </c>
      <c r="F18" s="267"/>
      <c r="G18" s="5" t="str">
        <f>+"+1"</f>
        <v>+1</v>
      </c>
    </row>
    <row r="19" spans="1:7" ht="18.600000000000001" customHeight="1">
      <c r="A19" s="584" t="s">
        <v>433</v>
      </c>
      <c r="B19" s="585"/>
      <c r="C19" s="585"/>
      <c r="D19" s="585"/>
      <c r="E19" s="266">
        <v>42759.98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25200.5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13628.47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5737.33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5197.79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5738.26</v>
      </c>
      <c r="F24" s="267"/>
    </row>
    <row r="25" spans="1:7" ht="18.600000000000001" customHeight="1">
      <c r="A25" s="793" t="s">
        <v>604</v>
      </c>
      <c r="B25" s="794"/>
      <c r="C25" s="794"/>
      <c r="D25" s="794"/>
      <c r="E25" s="266">
        <f>624.84-1</f>
        <v>623.84</v>
      </c>
      <c r="F25" s="267"/>
      <c r="G25" s="805" t="str">
        <f>"-1"</f>
        <v>-1</v>
      </c>
    </row>
    <row r="26" spans="1:7" ht="18.600000000000001" customHeight="1">
      <c r="A26" s="816" t="s">
        <v>698</v>
      </c>
      <c r="B26" s="817"/>
      <c r="C26" s="817"/>
      <c r="D26" s="817"/>
      <c r="E26" s="266">
        <v>82.08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79.19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82.09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82.1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79.209999999999994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82.11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894.99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2900.9</v>
      </c>
      <c r="F33" s="267"/>
      <c r="G33" s="805" t="s">
        <v>2073</v>
      </c>
    </row>
    <row r="34" spans="1:33" ht="18.600000000000001" customHeight="1">
      <c r="A34" s="1114" t="s">
        <v>2004</v>
      </c>
      <c r="B34" s="1115"/>
      <c r="C34" s="1115"/>
      <c r="D34" s="1115"/>
      <c r="E34" s="266">
        <v>2901.14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632709.64999999979</v>
      </c>
      <c r="G36" s="5">
        <f>+F36+Adhesiones!H75</f>
        <v>34134069.149999999</v>
      </c>
      <c r="H36" s="758">
        <f>+G36-F36</f>
        <v>33501359.5</v>
      </c>
      <c r="I36" s="5">
        <f>-'Anexo 3-Porcion C-NC'!B19</f>
        <v>-33501360</v>
      </c>
      <c r="J36" s="5">
        <f>+H36+I36</f>
        <v>-0.5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1">
    <mergeCell ref="A9:D9"/>
    <mergeCell ref="A12:D12"/>
    <mergeCell ref="A11:D11"/>
    <mergeCell ref="A10:D10"/>
    <mergeCell ref="D42:E42"/>
    <mergeCell ref="A14:D14"/>
    <mergeCell ref="A1:F3"/>
    <mergeCell ref="A4:F4"/>
    <mergeCell ref="A5:F5"/>
    <mergeCell ref="A6:E6"/>
    <mergeCell ref="A8:D8"/>
    <mergeCell ref="D45:E45"/>
    <mergeCell ref="A42:B42"/>
    <mergeCell ref="A13:D13"/>
    <mergeCell ref="A17:D17"/>
    <mergeCell ref="A15:D15"/>
    <mergeCell ref="A16:D16"/>
    <mergeCell ref="A44:B44"/>
    <mergeCell ref="A43:B43"/>
    <mergeCell ref="D44:E44"/>
    <mergeCell ref="D43:E4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0">
    <tabColor rgb="FF00B0F0"/>
    <pageSetUpPr fitToPage="1"/>
  </sheetPr>
  <dimension ref="A1:AG238"/>
  <sheetViews>
    <sheetView showGridLines="0" topLeftCell="A26" zoomScale="80" zoomScaleNormal="80" workbookViewId="0">
      <selection activeCell="I36" sqref="I36"/>
    </sheetView>
  </sheetViews>
  <sheetFormatPr baseColWidth="10" defaultRowHeight="89.25" customHeight="1"/>
  <cols>
    <col min="1" max="1" width="25.28515625" style="6" customWidth="1"/>
    <col min="2" max="2" width="27.7109375" style="6" customWidth="1"/>
    <col min="3" max="3" width="28" style="16" customWidth="1"/>
    <col min="4" max="4" width="25.28515625" style="17" customWidth="1"/>
    <col min="5" max="5" width="19.42578125" style="6" customWidth="1"/>
    <col min="6" max="6" width="21.7109375" style="19" bestFit="1" customWidth="1"/>
    <col min="7" max="7" width="19.140625" style="5" bestFit="1" customWidth="1"/>
    <col min="8" max="8" width="18.42578125" style="5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22" t="s">
        <v>2021</v>
      </c>
      <c r="B1" s="1322"/>
      <c r="C1" s="1322"/>
      <c r="D1" s="1322"/>
      <c r="E1" s="1322"/>
      <c r="F1" s="132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22"/>
      <c r="B2" s="1322"/>
      <c r="C2" s="1322"/>
      <c r="D2" s="1322"/>
      <c r="E2" s="1322"/>
      <c r="F2" s="13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22"/>
      <c r="B3" s="1322"/>
      <c r="C3" s="1322"/>
      <c r="D3" s="1322"/>
      <c r="E3" s="1322"/>
      <c r="F3" s="13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204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47"/>
      <c r="F8" s="248">
        <f>SUM(E9:E34)</f>
        <v>828644.43000000063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49">
        <v>0</v>
      </c>
      <c r="F9" s="250"/>
    </row>
    <row r="10" spans="1:25" ht="18.600000000000001" customHeight="1">
      <c r="A10" s="1316" t="s">
        <v>212</v>
      </c>
      <c r="B10" s="1317"/>
      <c r="C10" s="1317"/>
      <c r="D10" s="1317"/>
      <c r="E10" s="249">
        <v>0</v>
      </c>
      <c r="F10" s="250"/>
    </row>
    <row r="11" spans="1:25" ht="18.600000000000001" customHeight="1">
      <c r="A11" s="1316" t="s">
        <v>223</v>
      </c>
      <c r="B11" s="1317"/>
      <c r="C11" s="1317"/>
      <c r="D11" s="1317"/>
      <c r="E11" s="266">
        <v>43312.5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71842.39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82009.440000000002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85016.75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82023.13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85030.95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v>85038.18</v>
      </c>
      <c r="F17" s="267"/>
    </row>
    <row r="18" spans="1:7" ht="18.600000000000001" customHeight="1">
      <c r="A18" s="553" t="s">
        <v>371</v>
      </c>
      <c r="B18" s="554"/>
      <c r="C18" s="554"/>
      <c r="D18" s="554"/>
      <c r="E18" s="266">
        <f>78954.34+1</f>
        <v>78955.34</v>
      </c>
      <c r="F18" s="267"/>
      <c r="G18" s="5" t="str">
        <f>+"+1"</f>
        <v>+1</v>
      </c>
    </row>
    <row r="19" spans="1:7" ht="18.600000000000001" customHeight="1">
      <c r="A19" s="584" t="s">
        <v>433</v>
      </c>
      <c r="B19" s="585"/>
      <c r="C19" s="585"/>
      <c r="D19" s="585"/>
      <c r="E19" s="266">
        <v>78647.12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75877.789999999994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43775.81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10.17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9.2100000000000009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10.17</v>
      </c>
      <c r="F24" s="267"/>
    </row>
    <row r="25" spans="1:7" ht="18.600000000000001" customHeight="1">
      <c r="A25" s="793" t="s">
        <v>604</v>
      </c>
      <c r="B25" s="794"/>
      <c r="C25" s="794"/>
      <c r="D25" s="794"/>
      <c r="E25" s="266">
        <f>9.81-1</f>
        <v>8.81</v>
      </c>
      <c r="F25" s="267"/>
      <c r="G25" s="805" t="str">
        <f>"-1"</f>
        <v>-1</v>
      </c>
    </row>
    <row r="26" spans="1:7" ht="18.600000000000001" customHeight="1">
      <c r="A26" s="816" t="s">
        <v>698</v>
      </c>
      <c r="B26" s="817"/>
      <c r="C26" s="817"/>
      <c r="D26" s="817"/>
      <c r="E26" s="266">
        <v>10.17</v>
      </c>
      <c r="F26" s="267"/>
    </row>
    <row r="27" spans="1:7" ht="18.600000000000001" customHeight="1">
      <c r="A27" s="835" t="s">
        <v>743</v>
      </c>
      <c r="B27" s="687"/>
      <c r="C27" s="687"/>
      <c r="D27" s="687"/>
      <c r="E27" s="266">
        <v>9.81</v>
      </c>
      <c r="F27" s="267"/>
    </row>
    <row r="28" spans="1:7" ht="18.600000000000001" customHeight="1">
      <c r="A28" s="921" t="s">
        <v>819</v>
      </c>
      <c r="B28" s="922"/>
      <c r="C28" s="922"/>
      <c r="D28" s="922"/>
      <c r="E28" s="266">
        <v>10.17</v>
      </c>
      <c r="F28" s="267"/>
    </row>
    <row r="29" spans="1:7" ht="18.600000000000001" customHeight="1">
      <c r="A29" s="961" t="s">
        <v>867</v>
      </c>
      <c r="B29" s="962"/>
      <c r="C29" s="962"/>
      <c r="D29" s="962"/>
      <c r="E29" s="266">
        <v>10.17</v>
      </c>
      <c r="F29" s="267"/>
    </row>
    <row r="30" spans="1:7" ht="18.600000000000001" customHeight="1">
      <c r="A30" s="965" t="s">
        <v>901</v>
      </c>
      <c r="B30" s="976"/>
      <c r="C30" s="976"/>
      <c r="D30" s="976"/>
      <c r="E30" s="266">
        <v>9.81</v>
      </c>
      <c r="F30" s="267"/>
    </row>
    <row r="31" spans="1:7" ht="18.600000000000001" customHeight="1">
      <c r="A31" s="6" t="s">
        <v>1008</v>
      </c>
      <c r="B31" s="999"/>
      <c r="C31" s="999"/>
      <c r="D31" s="999"/>
      <c r="E31" s="266">
        <v>10.17</v>
      </c>
      <c r="F31" s="267"/>
    </row>
    <row r="32" spans="1:7" ht="18.600000000000001" customHeight="1">
      <c r="A32" s="6" t="s">
        <v>1029</v>
      </c>
      <c r="B32" s="1042"/>
      <c r="C32" s="1042"/>
      <c r="D32" s="1042"/>
      <c r="E32" s="266">
        <v>2187.65</v>
      </c>
      <c r="F32" s="267"/>
    </row>
    <row r="33" spans="1:33" ht="18.600000000000001" customHeight="1">
      <c r="A33" s="6" t="s">
        <v>1134</v>
      </c>
      <c r="B33" s="1042"/>
      <c r="C33" s="1042"/>
      <c r="D33" s="1042"/>
      <c r="E33" s="266">
        <v>7535.41</v>
      </c>
      <c r="F33" s="267"/>
    </row>
    <row r="34" spans="1:33" ht="18.600000000000001" customHeight="1">
      <c r="A34" s="6" t="s">
        <v>2004</v>
      </c>
      <c r="B34" s="1115"/>
      <c r="C34" s="1115"/>
      <c r="D34" s="1115"/>
      <c r="E34" s="266">
        <v>7293.31</v>
      </c>
      <c r="F34" s="267"/>
    </row>
    <row r="35" spans="1:33" ht="18.600000000000001" customHeight="1">
      <c r="A35" s="273" t="s">
        <v>509</v>
      </c>
      <c r="B35" s="687"/>
      <c r="C35" s="687"/>
      <c r="D35" s="687"/>
      <c r="E35" s="266"/>
      <c r="F35" s="248">
        <f>-E36</f>
        <v>-691875</v>
      </c>
      <c r="G35" s="5">
        <v>613228.68000000005</v>
      </c>
    </row>
    <row r="36" spans="1:33" ht="18.600000000000001" customHeight="1">
      <c r="A36" s="686" t="s">
        <v>510</v>
      </c>
      <c r="B36" s="687"/>
      <c r="C36" s="687"/>
      <c r="D36" s="687"/>
      <c r="E36" s="266">
        <f>SUM(E9:E19)-0.8</f>
        <v>691875</v>
      </c>
      <c r="F36" s="267"/>
    </row>
    <row r="37" spans="1:33" ht="18.600000000000001" customHeight="1">
      <c r="A37" s="835"/>
      <c r="B37" s="836"/>
      <c r="C37" s="836"/>
      <c r="D37" s="836"/>
      <c r="E37" s="266"/>
      <c r="F37" s="267"/>
    </row>
    <row r="38" spans="1:33" ht="18.600000000000001" customHeight="1">
      <c r="A38" s="915"/>
      <c r="B38" s="916"/>
      <c r="C38" s="916"/>
      <c r="D38" s="916"/>
      <c r="E38" s="266"/>
      <c r="F38" s="267"/>
    </row>
    <row r="39" spans="1:33" ht="18.600000000000001" customHeight="1">
      <c r="B39" s="997"/>
      <c r="C39" s="997"/>
      <c r="D39" s="997"/>
      <c r="E39" s="266"/>
      <c r="F39" s="267"/>
    </row>
    <row r="40" spans="1:33" ht="18.600000000000001" customHeight="1">
      <c r="B40" s="1039"/>
      <c r="C40" s="1039"/>
      <c r="D40" s="1039"/>
      <c r="E40" s="266"/>
      <c r="F40" s="267"/>
    </row>
    <row r="41" spans="1:33" ht="18.600000000000001" customHeight="1">
      <c r="B41" s="1070"/>
      <c r="C41" s="1070"/>
      <c r="D41" s="1070"/>
      <c r="E41" s="266"/>
      <c r="F41" s="267"/>
    </row>
    <row r="42" spans="1:33" ht="18.600000000000001" customHeight="1">
      <c r="B42" s="1115"/>
      <c r="C42" s="1115"/>
      <c r="D42" s="1115"/>
      <c r="E42" s="266"/>
      <c r="F42" s="267"/>
    </row>
    <row r="43" spans="1:33" s="5" customFormat="1" ht="18.600000000000001" customHeight="1">
      <c r="A43" s="229"/>
      <c r="B43" s="230"/>
      <c r="C43" s="230"/>
      <c r="D43" s="230"/>
      <c r="E43" s="251"/>
      <c r="F43" s="252"/>
      <c r="G43" s="796" t="s">
        <v>602</v>
      </c>
      <c r="H43" s="795" t="s">
        <v>603</v>
      </c>
      <c r="I43" s="795" t="s">
        <v>553</v>
      </c>
      <c r="J43" s="759" t="s">
        <v>65</v>
      </c>
      <c r="Z43" s="6"/>
      <c r="AA43" s="6"/>
      <c r="AB43" s="6"/>
      <c r="AC43" s="6"/>
      <c r="AD43" s="6"/>
      <c r="AE43" s="6"/>
      <c r="AF43" s="6"/>
      <c r="AG43" s="6"/>
    </row>
    <row r="44" spans="1:33" s="5" customFormat="1" ht="24.75" customHeight="1" thickBot="1">
      <c r="A44" s="14" t="s">
        <v>2007</v>
      </c>
      <c r="B44" s="15"/>
      <c r="C44" s="15"/>
      <c r="D44" s="15"/>
      <c r="E44" s="253"/>
      <c r="F44" s="254">
        <f>SUM(F7:F35)</f>
        <v>136769.43000000063</v>
      </c>
      <c r="G44" s="5">
        <f>+F44+Adhesiones!H73-0.17</f>
        <v>136769.26000000062</v>
      </c>
      <c r="H44" s="758">
        <f>+G44-F44</f>
        <v>-0.17000000001280569</v>
      </c>
      <c r="I44" s="5">
        <v>0</v>
      </c>
      <c r="J44" s="5">
        <f>+H44+I44</f>
        <v>-0.17000000001280569</v>
      </c>
      <c r="Z44" s="6"/>
      <c r="AA44" s="6"/>
      <c r="AB44" s="6"/>
      <c r="AC44" s="6"/>
      <c r="AD44" s="6"/>
      <c r="AE44" s="6"/>
      <c r="AF44" s="6"/>
      <c r="AG44" s="6"/>
    </row>
    <row r="45" spans="1:33" s="20" customFormat="1" ht="15.75">
      <c r="A45" s="6"/>
      <c r="B45" s="6"/>
      <c r="C45" s="16"/>
      <c r="D45" s="17"/>
      <c r="E45" s="18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1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6.5" thickBot="1">
      <c r="A49" s="23"/>
      <c r="B49" s="24"/>
      <c r="C49" s="25"/>
      <c r="D49" s="134"/>
      <c r="E49" s="135"/>
      <c r="F49" s="136"/>
    </row>
    <row r="50" spans="1:25" s="5" customFormat="1" ht="15" customHeight="1">
      <c r="A50" s="1327" t="s">
        <v>135</v>
      </c>
      <c r="B50" s="1327"/>
      <c r="C50" s="1"/>
      <c r="D50" s="1327" t="s">
        <v>554</v>
      </c>
      <c r="E50" s="1327"/>
      <c r="F50" s="227"/>
    </row>
    <row r="51" spans="1:25" s="5" customFormat="1" ht="14.45" customHeight="1">
      <c r="A51" s="1325" t="s">
        <v>145</v>
      </c>
      <c r="B51" s="1325"/>
      <c r="C51" s="2"/>
      <c r="D51" s="1325" t="s">
        <v>556</v>
      </c>
      <c r="E51" s="1325"/>
      <c r="F51" s="228"/>
    </row>
    <row r="52" spans="1:25" s="5" customFormat="1" ht="15.75" customHeight="1">
      <c r="A52" s="1325" t="s">
        <v>48</v>
      </c>
      <c r="B52" s="1325"/>
      <c r="C52" s="2"/>
      <c r="D52" s="1325" t="s">
        <v>48</v>
      </c>
      <c r="E52" s="1325"/>
      <c r="F52" s="228"/>
    </row>
    <row r="53" spans="1:25" s="20" customFormat="1" ht="15.75" customHeight="1">
      <c r="A53" s="6"/>
      <c r="B53" s="6"/>
      <c r="C53" s="16"/>
      <c r="D53" s="1326" t="s">
        <v>555</v>
      </c>
      <c r="E53" s="1326"/>
      <c r="F53" s="228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27"/>
      <c r="B56" s="27"/>
      <c r="C56" s="27"/>
      <c r="D56" s="27"/>
      <c r="E56" s="27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5" customFormat="1" ht="15.75">
      <c r="A57" s="27"/>
      <c r="B57" s="27"/>
      <c r="C57" s="27"/>
      <c r="D57" s="27"/>
      <c r="E57" s="27"/>
      <c r="F57" s="26"/>
    </row>
    <row r="58" spans="1:25" s="5" customFormat="1" ht="1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20" customFormat="1" ht="15.75">
      <c r="A61" s="27"/>
      <c r="B61" s="27"/>
      <c r="C61" s="27"/>
      <c r="D61" s="27"/>
      <c r="E61" s="27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</sheetData>
  <mergeCells count="21">
    <mergeCell ref="A9:D9"/>
    <mergeCell ref="A12:D12"/>
    <mergeCell ref="A11:D11"/>
    <mergeCell ref="A10:D10"/>
    <mergeCell ref="D50:E50"/>
    <mergeCell ref="A14:D14"/>
    <mergeCell ref="A1:F3"/>
    <mergeCell ref="A4:F4"/>
    <mergeCell ref="A5:F5"/>
    <mergeCell ref="A6:E6"/>
    <mergeCell ref="A8:D8"/>
    <mergeCell ref="D53:E53"/>
    <mergeCell ref="A50:B50"/>
    <mergeCell ref="A13:D13"/>
    <mergeCell ref="A17:D17"/>
    <mergeCell ref="A15:D15"/>
    <mergeCell ref="A16:D16"/>
    <mergeCell ref="A52:B52"/>
    <mergeCell ref="A51:B51"/>
    <mergeCell ref="D52:E52"/>
    <mergeCell ref="D51:E51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31">
    <tabColor rgb="FF00B0F0"/>
    <pageSetUpPr fitToPage="1"/>
  </sheetPr>
  <dimension ref="A1:AG230"/>
  <sheetViews>
    <sheetView showGridLines="0" topLeftCell="A19" zoomScale="80" zoomScaleNormal="80" workbookViewId="0">
      <selection activeCell="I36" sqref="I36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1" t="s">
        <v>2022</v>
      </c>
      <c r="B1" s="1331"/>
      <c r="C1" s="1331"/>
      <c r="D1" s="1331"/>
      <c r="E1" s="1331"/>
      <c r="F1" s="133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1"/>
      <c r="B2" s="1331"/>
      <c r="C2" s="1331"/>
      <c r="D2" s="1331"/>
      <c r="E2" s="1331"/>
      <c r="F2" s="133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31"/>
      <c r="B3" s="1331"/>
      <c r="C3" s="1331"/>
      <c r="D3" s="1331"/>
      <c r="E3" s="1331"/>
      <c r="F3" s="133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206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F36</f>
        <v>587377.35000000021</v>
      </c>
      <c r="I8" s="13"/>
      <c r="J8" s="12"/>
    </row>
    <row r="9" spans="1:25" ht="18.600000000000001" customHeight="1">
      <c r="A9" s="1316" t="s">
        <v>213</v>
      </c>
      <c r="B9" s="1317"/>
      <c r="C9" s="1317"/>
      <c r="D9" s="1317"/>
      <c r="E9" s="266">
        <v>3290.32</v>
      </c>
      <c r="F9" s="267"/>
    </row>
    <row r="10" spans="1:25" ht="18.600000000000001" customHeight="1">
      <c r="A10" s="1316" t="s">
        <v>212</v>
      </c>
      <c r="B10" s="1317"/>
      <c r="C10" s="1317"/>
      <c r="D10" s="1317"/>
      <c r="E10" s="266">
        <v>29201.89</v>
      </c>
      <c r="F10" s="267"/>
    </row>
    <row r="11" spans="1:25" ht="18.600000000000001" customHeight="1">
      <c r="A11" s="1316" t="s">
        <v>223</v>
      </c>
      <c r="B11" s="1317"/>
      <c r="C11" s="1317"/>
      <c r="D11" s="1317"/>
      <c r="E11" s="266">
        <v>57752.5</v>
      </c>
      <c r="F11" s="267"/>
    </row>
    <row r="12" spans="1:25" ht="18.600000000000001" customHeight="1">
      <c r="A12" s="1316" t="s">
        <v>231</v>
      </c>
      <c r="B12" s="1317"/>
      <c r="C12" s="1317"/>
      <c r="D12" s="1317"/>
      <c r="E12" s="266">
        <v>63757.67</v>
      </c>
      <c r="F12" s="267"/>
    </row>
    <row r="13" spans="1:25" ht="18.600000000000001" customHeight="1">
      <c r="A13" s="1316" t="s">
        <v>244</v>
      </c>
      <c r="B13" s="1317"/>
      <c r="C13" s="1317"/>
      <c r="D13" s="1317"/>
      <c r="E13" s="266">
        <v>61512.62</v>
      </c>
      <c r="F13" s="267"/>
    </row>
    <row r="14" spans="1:25" ht="15.75" customHeight="1">
      <c r="A14" s="1316" t="s">
        <v>275</v>
      </c>
      <c r="B14" s="1317"/>
      <c r="C14" s="1317"/>
      <c r="D14" s="1317"/>
      <c r="E14" s="266">
        <v>63768.31</v>
      </c>
      <c r="F14" s="267"/>
    </row>
    <row r="15" spans="1:25" ht="18.600000000000001" customHeight="1">
      <c r="A15" s="1316" t="s">
        <v>279</v>
      </c>
      <c r="B15" s="1317"/>
      <c r="C15" s="1317"/>
      <c r="D15" s="1317"/>
      <c r="E15" s="266">
        <v>61522.9</v>
      </c>
      <c r="F15" s="267"/>
    </row>
    <row r="16" spans="1:25" ht="18.600000000000001" customHeight="1">
      <c r="A16" s="1316" t="s">
        <v>298</v>
      </c>
      <c r="B16" s="1317"/>
      <c r="C16" s="1317"/>
      <c r="D16" s="1317"/>
      <c r="E16" s="266">
        <v>72553.16</v>
      </c>
      <c r="F16" s="267"/>
    </row>
    <row r="17" spans="1:7" ht="18.600000000000001" customHeight="1">
      <c r="A17" s="1316" t="s">
        <v>313</v>
      </c>
      <c r="B17" s="1317"/>
      <c r="C17" s="1317"/>
      <c r="D17" s="1317"/>
      <c r="E17" s="266">
        <f>66527.07</f>
        <v>66527.070000000007</v>
      </c>
      <c r="F17" s="267"/>
      <c r="G17" s="757"/>
    </row>
    <row r="18" spans="1:7" ht="18.600000000000001" customHeight="1">
      <c r="A18" s="553" t="s">
        <v>371</v>
      </c>
      <c r="B18" s="554"/>
      <c r="C18" s="554"/>
      <c r="D18" s="554"/>
      <c r="E18" s="266">
        <f>54039.07+1</f>
        <v>54040.07</v>
      </c>
      <c r="F18" s="267"/>
      <c r="G18" s="5" t="str">
        <f>+"+1"</f>
        <v>+1</v>
      </c>
    </row>
    <row r="19" spans="1:7" ht="18.600000000000001" customHeight="1">
      <c r="A19" s="584" t="s">
        <v>433</v>
      </c>
      <c r="B19" s="585"/>
      <c r="C19" s="585"/>
      <c r="D19" s="585"/>
      <c r="E19" s="266">
        <v>30180.38</v>
      </c>
      <c r="F19" s="267"/>
    </row>
    <row r="20" spans="1:7" ht="18.600000000000001" customHeight="1">
      <c r="A20" s="663" t="s">
        <v>471</v>
      </c>
      <c r="B20" s="664"/>
      <c r="C20" s="664"/>
      <c r="D20" s="664"/>
      <c r="E20" s="266">
        <v>1523.28</v>
      </c>
      <c r="F20" s="267"/>
    </row>
    <row r="21" spans="1:7" ht="18.600000000000001" customHeight="1">
      <c r="A21" s="686" t="s">
        <v>508</v>
      </c>
      <c r="B21" s="687"/>
      <c r="C21" s="687"/>
      <c r="D21" s="687"/>
      <c r="E21" s="266">
        <v>1579.14</v>
      </c>
      <c r="F21" s="267"/>
    </row>
    <row r="22" spans="1:7" ht="18.600000000000001" customHeight="1">
      <c r="A22" s="706" t="s">
        <v>518</v>
      </c>
      <c r="B22" s="707"/>
      <c r="C22" s="707"/>
      <c r="D22" s="707"/>
      <c r="E22" s="266">
        <v>1579.27</v>
      </c>
      <c r="F22" s="267"/>
    </row>
    <row r="23" spans="1:7" ht="18.600000000000001" customHeight="1">
      <c r="A23" s="742" t="s">
        <v>552</v>
      </c>
      <c r="B23" s="743"/>
      <c r="C23" s="743"/>
      <c r="D23" s="743"/>
      <c r="E23" s="266">
        <v>1430.76</v>
      </c>
      <c r="F23" s="267"/>
    </row>
    <row r="24" spans="1:7" ht="18.600000000000001" customHeight="1">
      <c r="A24" s="760" t="s">
        <v>557</v>
      </c>
      <c r="B24" s="761"/>
      <c r="C24" s="761"/>
      <c r="D24" s="761"/>
      <c r="E24" s="266">
        <v>1579.53</v>
      </c>
      <c r="F24" s="267"/>
    </row>
    <row r="25" spans="1:7" ht="18.600000000000001" customHeight="1">
      <c r="A25" s="793" t="s">
        <v>604</v>
      </c>
      <c r="B25" s="794"/>
      <c r="C25" s="794"/>
      <c r="D25" s="794"/>
      <c r="E25" s="266">
        <f>1523.91-1</f>
        <v>1522.91</v>
      </c>
      <c r="F25" s="267"/>
      <c r="G25" s="805" t="str">
        <f>"-1"</f>
        <v>-1</v>
      </c>
    </row>
    <row r="26" spans="1:7" ht="18.600000000000001" customHeight="1">
      <c r="A26" s="816" t="s">
        <v>698</v>
      </c>
      <c r="B26" s="817"/>
      <c r="C26" s="817"/>
      <c r="D26" s="817"/>
      <c r="E26" s="266">
        <v>1579.79</v>
      </c>
      <c r="F26" s="267"/>
      <c r="G26" s="805"/>
    </row>
    <row r="27" spans="1:7" ht="18.600000000000001" customHeight="1">
      <c r="A27" s="835" t="s">
        <v>743</v>
      </c>
      <c r="B27" s="836"/>
      <c r="C27" s="836"/>
      <c r="D27" s="836"/>
      <c r="E27" s="266">
        <v>1524.16</v>
      </c>
      <c r="F27" s="267"/>
      <c r="G27" s="805"/>
    </row>
    <row r="28" spans="1:7" ht="18.600000000000001" customHeight="1">
      <c r="A28" s="915" t="s">
        <v>819</v>
      </c>
      <c r="B28" s="916"/>
      <c r="C28" s="916"/>
      <c r="D28" s="916"/>
      <c r="E28" s="266">
        <v>1580.06</v>
      </c>
      <c r="F28" s="267"/>
      <c r="G28" s="805"/>
    </row>
    <row r="29" spans="1:7" ht="18.600000000000001" customHeight="1">
      <c r="A29" s="952" t="s">
        <v>867</v>
      </c>
      <c r="B29" s="953"/>
      <c r="C29" s="953"/>
      <c r="D29" s="953"/>
      <c r="E29" s="266">
        <v>1580.19</v>
      </c>
      <c r="F29" s="267"/>
      <c r="G29" s="805"/>
    </row>
    <row r="30" spans="1:7" ht="18.600000000000001" customHeight="1">
      <c r="A30" s="965" t="s">
        <v>901</v>
      </c>
      <c r="B30" s="966"/>
      <c r="C30" s="966"/>
      <c r="D30" s="966"/>
      <c r="E30" s="266">
        <v>1524.55</v>
      </c>
      <c r="F30" s="267"/>
      <c r="G30" s="805"/>
    </row>
    <row r="31" spans="1:7" ht="18.600000000000001" customHeight="1">
      <c r="A31" s="996" t="s">
        <v>1008</v>
      </c>
      <c r="B31" s="997"/>
      <c r="C31" s="997"/>
      <c r="D31" s="997"/>
      <c r="E31" s="266">
        <v>1580.45</v>
      </c>
      <c r="F31" s="267"/>
      <c r="G31" s="805"/>
    </row>
    <row r="32" spans="1:7" ht="18.600000000000001" customHeight="1">
      <c r="A32" s="1038" t="s">
        <v>1029</v>
      </c>
      <c r="B32" s="1039"/>
      <c r="C32" s="1039"/>
      <c r="D32" s="1039"/>
      <c r="E32" s="266">
        <v>1524.8</v>
      </c>
      <c r="F32" s="267"/>
      <c r="G32" s="805"/>
    </row>
    <row r="33" spans="1:33" ht="18.600000000000001" customHeight="1">
      <c r="A33" s="1069" t="s">
        <v>1134</v>
      </c>
      <c r="B33" s="1070"/>
      <c r="C33" s="1070"/>
      <c r="D33" s="1070"/>
      <c r="E33" s="266">
        <v>1580.72</v>
      </c>
      <c r="F33" s="267"/>
      <c r="G33" s="805"/>
    </row>
    <row r="34" spans="1:33" ht="18.600000000000001" customHeight="1">
      <c r="A34" s="1114" t="s">
        <v>2004</v>
      </c>
      <c r="B34" s="1115"/>
      <c r="C34" s="1115"/>
      <c r="D34" s="1115"/>
      <c r="E34" s="266">
        <v>1580.85</v>
      </c>
      <c r="F34" s="267"/>
      <c r="G34" s="805"/>
    </row>
    <row r="35" spans="1:33" s="5" customFormat="1" ht="18.600000000000001" customHeight="1">
      <c r="A35" s="229"/>
      <c r="B35" s="230"/>
      <c r="C35" s="230"/>
      <c r="D35" s="230"/>
      <c r="E35" s="268"/>
      <c r="F35" s="269"/>
      <c r="G35" s="796" t="s">
        <v>602</v>
      </c>
      <c r="H35" s="795" t="s">
        <v>603</v>
      </c>
      <c r="I35" s="795" t="s">
        <v>553</v>
      </c>
      <c r="J35" s="759" t="s">
        <v>65</v>
      </c>
      <c r="Z35" s="6"/>
      <c r="AA35" s="6"/>
      <c r="AB35" s="6"/>
      <c r="AC35" s="6"/>
      <c r="AD35" s="6"/>
      <c r="AE35" s="6"/>
      <c r="AF35" s="6"/>
      <c r="AG35" s="6"/>
    </row>
    <row r="36" spans="1:33" s="5" customFormat="1" ht="24.75" customHeight="1" thickBot="1">
      <c r="A36" s="14" t="s">
        <v>2007</v>
      </c>
      <c r="B36" s="15"/>
      <c r="C36" s="15"/>
      <c r="D36" s="15"/>
      <c r="E36" s="270"/>
      <c r="F36" s="271">
        <f>SUM(E8:E35)</f>
        <v>587377.35000000021</v>
      </c>
      <c r="G36" s="5">
        <f>+F36+Adhesiones!H74</f>
        <v>18599900.350000001</v>
      </c>
      <c r="H36" s="758">
        <f>+G36-F36</f>
        <v>18012523</v>
      </c>
      <c r="I36" s="5">
        <f>-'Anexo 3-Porcion C-NC'!B29</f>
        <v>-18012523</v>
      </c>
      <c r="J36" s="5">
        <f>+H36+I36</f>
        <v>0</v>
      </c>
      <c r="Z36" s="6"/>
      <c r="AA36" s="6"/>
      <c r="AB36" s="6"/>
      <c r="AC36" s="6"/>
      <c r="AD36" s="6"/>
      <c r="AE36" s="6"/>
      <c r="AF36" s="6"/>
      <c r="AG36" s="6"/>
    </row>
    <row r="37" spans="1:33" s="20" customFormat="1" ht="15.75">
      <c r="A37" s="6"/>
      <c r="B37" s="6"/>
      <c r="C37" s="16"/>
      <c r="D37" s="17"/>
      <c r="E37" s="18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1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5" customFormat="1" ht="16.5" thickBot="1">
      <c r="A41" s="23"/>
      <c r="B41" s="24"/>
      <c r="C41" s="25"/>
      <c r="D41" s="134"/>
      <c r="E41" s="135"/>
      <c r="F41" s="136"/>
    </row>
    <row r="42" spans="1:33" s="5" customFormat="1" ht="15" customHeight="1">
      <c r="A42" s="1327" t="s">
        <v>135</v>
      </c>
      <c r="B42" s="1327"/>
      <c r="C42" s="1"/>
      <c r="D42" s="1327" t="s">
        <v>554</v>
      </c>
      <c r="E42" s="1327"/>
      <c r="F42" s="227"/>
    </row>
    <row r="43" spans="1:33" s="5" customFormat="1" ht="14.45" customHeight="1">
      <c r="A43" s="1325" t="s">
        <v>145</v>
      </c>
      <c r="B43" s="1325"/>
      <c r="C43" s="2"/>
      <c r="D43" s="1325" t="s">
        <v>556</v>
      </c>
      <c r="E43" s="1325"/>
      <c r="F43" s="228"/>
    </row>
    <row r="44" spans="1:33" s="5" customFormat="1" ht="15.75" customHeight="1">
      <c r="A44" s="1325" t="s">
        <v>48</v>
      </c>
      <c r="B44" s="1325"/>
      <c r="C44" s="2"/>
      <c r="D44" s="1325" t="s">
        <v>48</v>
      </c>
      <c r="E44" s="1325"/>
      <c r="F44" s="228"/>
    </row>
    <row r="45" spans="1:33" s="20" customFormat="1" ht="15.75" customHeight="1">
      <c r="A45" s="6"/>
      <c r="B45" s="6"/>
      <c r="C45" s="16"/>
      <c r="D45" s="1326" t="s">
        <v>555</v>
      </c>
      <c r="E45" s="1326"/>
      <c r="F45" s="2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5" customFormat="1" ht="15.75">
      <c r="A49" s="27"/>
      <c r="B49" s="27"/>
      <c r="C49" s="27"/>
      <c r="D49" s="27"/>
      <c r="E49" s="27"/>
      <c r="F49" s="26"/>
    </row>
    <row r="50" spans="1:25" s="5" customFormat="1" ht="1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20" customFormat="1" ht="15.75">
      <c r="A53" s="27"/>
      <c r="B53" s="27"/>
      <c r="C53" s="27"/>
      <c r="D53" s="27"/>
      <c r="E53" s="27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</sheetData>
  <mergeCells count="21">
    <mergeCell ref="A9:D9"/>
    <mergeCell ref="A12:D12"/>
    <mergeCell ref="A11:D11"/>
    <mergeCell ref="A10:D10"/>
    <mergeCell ref="D42:E42"/>
    <mergeCell ref="A14:D14"/>
    <mergeCell ref="A1:F3"/>
    <mergeCell ref="A4:F4"/>
    <mergeCell ref="A5:F5"/>
    <mergeCell ref="A6:E6"/>
    <mergeCell ref="A8:D8"/>
    <mergeCell ref="D45:E45"/>
    <mergeCell ref="A42:B42"/>
    <mergeCell ref="A13:D13"/>
    <mergeCell ref="A17:D17"/>
    <mergeCell ref="A15:D15"/>
    <mergeCell ref="A16:D16"/>
    <mergeCell ref="A44:B44"/>
    <mergeCell ref="A43:B43"/>
    <mergeCell ref="D44:E44"/>
    <mergeCell ref="D43:E4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32">
    <tabColor rgb="FF00B0F0"/>
    <pageSetUpPr fitToPage="1"/>
  </sheetPr>
  <dimension ref="A1:AG227"/>
  <sheetViews>
    <sheetView showGridLines="0" topLeftCell="A21" zoomScale="80" zoomScaleNormal="80" workbookViewId="0">
      <selection activeCell="I36" sqref="I36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1" t="s">
        <v>2023</v>
      </c>
      <c r="B1" s="1331"/>
      <c r="C1" s="1331"/>
      <c r="D1" s="1331"/>
      <c r="E1" s="1331"/>
      <c r="F1" s="133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1"/>
      <c r="B2" s="1331"/>
      <c r="C2" s="1331"/>
      <c r="D2" s="1331"/>
      <c r="E2" s="1331"/>
      <c r="F2" s="133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31"/>
      <c r="B3" s="1331"/>
      <c r="C3" s="1331"/>
      <c r="D3" s="1331"/>
      <c r="E3" s="1331"/>
      <c r="F3" s="133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276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F33</f>
        <v>742718.2699999999</v>
      </c>
      <c r="I8" s="13"/>
      <c r="J8" s="12"/>
    </row>
    <row r="9" spans="1:25" ht="18.600000000000001" customHeight="1">
      <c r="A9" s="1316" t="s">
        <v>231</v>
      </c>
      <c r="B9" s="1317"/>
      <c r="C9" s="1317"/>
      <c r="D9" s="1317"/>
      <c r="E9" s="266">
        <v>0</v>
      </c>
      <c r="F9" s="267"/>
    </row>
    <row r="10" spans="1:25" ht="18.600000000000001" customHeight="1">
      <c r="A10" s="1316" t="s">
        <v>244</v>
      </c>
      <c r="B10" s="1317"/>
      <c r="C10" s="1317"/>
      <c r="D10" s="1317"/>
      <c r="E10" s="266">
        <v>41000</v>
      </c>
      <c r="F10" s="267"/>
    </row>
    <row r="11" spans="1:25" ht="15.75" customHeight="1">
      <c r="A11" s="1316" t="s">
        <v>275</v>
      </c>
      <c r="B11" s="1317"/>
      <c r="C11" s="1317"/>
      <c r="D11" s="1317"/>
      <c r="E11" s="266">
        <v>85003.48</v>
      </c>
      <c r="F11" s="267"/>
    </row>
    <row r="12" spans="1:25" ht="18.600000000000001" customHeight="1">
      <c r="A12" s="1316" t="s">
        <v>279</v>
      </c>
      <c r="B12" s="1317"/>
      <c r="C12" s="1317"/>
      <c r="D12" s="1317"/>
      <c r="E12" s="266">
        <v>82010.33</v>
      </c>
      <c r="F12" s="267"/>
    </row>
    <row r="13" spans="1:25" ht="18.600000000000001" customHeight="1">
      <c r="A13" s="1316" t="s">
        <v>298</v>
      </c>
      <c r="B13" s="1317"/>
      <c r="C13" s="1317"/>
      <c r="D13" s="1317"/>
      <c r="E13" s="266">
        <v>85017.68</v>
      </c>
      <c r="F13" s="267"/>
    </row>
    <row r="14" spans="1:25" ht="18.600000000000001" customHeight="1">
      <c r="A14" s="1316" t="s">
        <v>313</v>
      </c>
      <c r="B14" s="1317"/>
      <c r="C14" s="1317"/>
      <c r="D14" s="1317"/>
      <c r="E14" s="266">
        <v>85024.9</v>
      </c>
      <c r="F14" s="267"/>
    </row>
    <row r="15" spans="1:25" ht="16.5" customHeight="1">
      <c r="A15" s="553" t="s">
        <v>371</v>
      </c>
      <c r="B15" s="554"/>
      <c r="C15" s="554"/>
      <c r="D15" s="554"/>
      <c r="E15" s="266">
        <v>82031</v>
      </c>
      <c r="F15" s="267"/>
    </row>
    <row r="16" spans="1:25" ht="16.5" customHeight="1">
      <c r="A16" s="584" t="s">
        <v>433</v>
      </c>
      <c r="B16" s="585"/>
      <c r="C16" s="585"/>
      <c r="D16" s="585"/>
      <c r="E16" s="266">
        <v>85039.1</v>
      </c>
      <c r="F16" s="267"/>
    </row>
    <row r="17" spans="1:33" ht="16.5" customHeight="1">
      <c r="A17" s="663" t="s">
        <v>471</v>
      </c>
      <c r="B17" s="664"/>
      <c r="C17" s="664"/>
      <c r="D17" s="664"/>
      <c r="E17" s="266">
        <v>82044.7</v>
      </c>
      <c r="F17" s="267"/>
    </row>
    <row r="18" spans="1:33" ht="16.5" customHeight="1">
      <c r="A18" s="686" t="s">
        <v>508</v>
      </c>
      <c r="B18" s="687"/>
      <c r="C18" s="687"/>
      <c r="D18" s="687"/>
      <c r="E18" s="266">
        <f>49092.6+1</f>
        <v>49093.599999999999</v>
      </c>
      <c r="F18" s="267"/>
      <c r="G18" s="5" t="str">
        <f>+"+1"</f>
        <v>+1</v>
      </c>
    </row>
    <row r="19" spans="1:33" ht="16.5" customHeight="1">
      <c r="A19" s="706" t="s">
        <v>518</v>
      </c>
      <c r="B19" s="707"/>
      <c r="C19" s="707"/>
      <c r="D19" s="707"/>
      <c r="E19" s="266">
        <v>26384.75</v>
      </c>
      <c r="F19" s="267"/>
    </row>
    <row r="20" spans="1:33" ht="16.5" customHeight="1">
      <c r="A20" s="742" t="s">
        <v>552</v>
      </c>
      <c r="B20" s="743"/>
      <c r="C20" s="743"/>
      <c r="D20" s="743"/>
      <c r="E20" s="266">
        <v>23903.51</v>
      </c>
      <c r="F20" s="267"/>
    </row>
    <row r="21" spans="1:33" ht="16.5" customHeight="1">
      <c r="A21" s="760" t="s">
        <v>557</v>
      </c>
      <c r="B21" s="761"/>
      <c r="C21" s="761"/>
      <c r="D21" s="761"/>
      <c r="E21" s="266">
        <f>6701.35+1</f>
        <v>6702.35</v>
      </c>
      <c r="F21" s="267"/>
      <c r="G21" s="5" t="str">
        <f>+"+1"</f>
        <v>+1</v>
      </c>
    </row>
    <row r="22" spans="1:33" ht="16.5" customHeight="1">
      <c r="A22" s="793" t="s">
        <v>604</v>
      </c>
      <c r="B22" s="794"/>
      <c r="C22" s="794"/>
      <c r="D22" s="794"/>
      <c r="E22" s="266">
        <f>925.81-2</f>
        <v>923.81</v>
      </c>
      <c r="F22" s="267"/>
      <c r="G22" s="805" t="str">
        <f>"-2"</f>
        <v>-2</v>
      </c>
    </row>
    <row r="23" spans="1:33" ht="16.5" customHeight="1">
      <c r="A23" s="816" t="s">
        <v>698</v>
      </c>
      <c r="B23" s="817"/>
      <c r="C23" s="817"/>
      <c r="D23" s="817"/>
      <c r="E23" s="266">
        <v>959.76</v>
      </c>
      <c r="F23" s="267"/>
      <c r="G23" s="805"/>
    </row>
    <row r="24" spans="1:33" ht="16.5" customHeight="1">
      <c r="A24" s="835" t="s">
        <v>743</v>
      </c>
      <c r="B24" s="836"/>
      <c r="C24" s="836"/>
      <c r="D24" s="836"/>
      <c r="E24" s="266">
        <v>925.96</v>
      </c>
      <c r="F24" s="267"/>
      <c r="G24" s="805"/>
    </row>
    <row r="25" spans="1:33" ht="16.5" customHeight="1">
      <c r="A25" s="915" t="s">
        <v>819</v>
      </c>
      <c r="B25" s="916"/>
      <c r="C25" s="916"/>
      <c r="D25" s="916"/>
      <c r="E25" s="266">
        <v>959.92</v>
      </c>
      <c r="F25" s="267"/>
      <c r="G25" s="805"/>
    </row>
    <row r="26" spans="1:33" ht="16.5" customHeight="1">
      <c r="A26" s="952" t="s">
        <v>867</v>
      </c>
      <c r="B26" s="953"/>
      <c r="C26" s="953"/>
      <c r="D26" s="953"/>
      <c r="E26" s="266">
        <v>960</v>
      </c>
      <c r="F26" s="267"/>
      <c r="G26" s="805"/>
    </row>
    <row r="27" spans="1:33" ht="16.5" customHeight="1">
      <c r="A27" s="965" t="s">
        <v>901</v>
      </c>
      <c r="B27" s="966"/>
      <c r="C27" s="966"/>
      <c r="D27" s="966"/>
      <c r="E27" s="266">
        <v>926.19</v>
      </c>
      <c r="F27" s="267"/>
      <c r="G27" s="805"/>
    </row>
    <row r="28" spans="1:33" ht="16.5" customHeight="1">
      <c r="A28" s="996" t="s">
        <v>1008</v>
      </c>
      <c r="B28" s="997"/>
      <c r="C28" s="997"/>
      <c r="D28" s="997"/>
      <c r="E28" s="266">
        <v>960.16</v>
      </c>
      <c r="F28" s="267"/>
      <c r="G28" s="805"/>
    </row>
    <row r="29" spans="1:33" ht="16.5" customHeight="1">
      <c r="A29" s="1038" t="s">
        <v>1029</v>
      </c>
      <c r="B29" s="1039"/>
      <c r="C29" s="1039"/>
      <c r="D29" s="1039"/>
      <c r="E29" s="266">
        <v>926.35</v>
      </c>
      <c r="F29" s="267"/>
      <c r="G29" s="805"/>
    </row>
    <row r="30" spans="1:33" ht="16.5" customHeight="1">
      <c r="A30" s="1069" t="s">
        <v>1134</v>
      </c>
      <c r="B30" s="1070"/>
      <c r="C30" s="1070"/>
      <c r="D30" s="1070"/>
      <c r="E30" s="266">
        <v>960.32</v>
      </c>
      <c r="F30" s="267"/>
      <c r="G30" s="805"/>
    </row>
    <row r="31" spans="1:33" ht="16.5" customHeight="1">
      <c r="A31" s="1114" t="s">
        <v>2004</v>
      </c>
      <c r="B31" s="1115"/>
      <c r="C31" s="1115"/>
      <c r="D31" s="1115"/>
      <c r="E31" s="266">
        <v>960.4</v>
      </c>
      <c r="F31" s="267"/>
      <c r="G31" s="805"/>
    </row>
    <row r="32" spans="1:33" s="5" customFormat="1" ht="18.600000000000001" customHeight="1">
      <c r="A32" s="273"/>
      <c r="B32" s="274"/>
      <c r="C32" s="274"/>
      <c r="D32" s="274"/>
      <c r="E32" s="268"/>
      <c r="F32" s="269"/>
      <c r="G32" s="796" t="s">
        <v>602</v>
      </c>
      <c r="H32" s="795" t="s">
        <v>603</v>
      </c>
      <c r="I32" s="795" t="s">
        <v>553</v>
      </c>
      <c r="J32" s="759" t="s">
        <v>65</v>
      </c>
      <c r="Z32" s="6"/>
      <c r="AA32" s="6"/>
      <c r="AB32" s="6"/>
      <c r="AC32" s="6"/>
      <c r="AD32" s="6"/>
      <c r="AE32" s="6"/>
      <c r="AF32" s="6"/>
      <c r="AG32" s="6"/>
    </row>
    <row r="33" spans="1:33" s="5" customFormat="1" ht="24.75" customHeight="1" thickBot="1">
      <c r="A33" s="14" t="s">
        <v>2007</v>
      </c>
      <c r="B33" s="15"/>
      <c r="C33" s="15"/>
      <c r="D33" s="15"/>
      <c r="E33" s="270"/>
      <c r="F33" s="271">
        <f>SUM(E8:E32)</f>
        <v>742718.2699999999</v>
      </c>
      <c r="G33" s="5">
        <f>+F33+Adhesiones!H78</f>
        <v>11299851.27</v>
      </c>
      <c r="H33" s="758">
        <f>+G33-F33</f>
        <v>10557133</v>
      </c>
      <c r="I33" s="5">
        <f>-'Anexo 3-Porcion C-NC'!B31</f>
        <v>-10557133</v>
      </c>
      <c r="J33" s="5">
        <f>+H33+I33</f>
        <v>0</v>
      </c>
      <c r="Z33" s="6"/>
      <c r="AA33" s="6"/>
      <c r="AB33" s="6"/>
      <c r="AC33" s="6"/>
      <c r="AD33" s="6"/>
      <c r="AE33" s="6"/>
      <c r="AF33" s="6"/>
      <c r="AG33" s="6"/>
    </row>
    <row r="34" spans="1:33" s="20" customFormat="1" ht="15.75">
      <c r="A34" s="6"/>
      <c r="B34" s="6"/>
      <c r="C34" s="16"/>
      <c r="D34" s="17"/>
      <c r="E34" s="18"/>
      <c r="F34" s="19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33" s="20" customFormat="1" ht="15.75">
      <c r="A35" s="6"/>
      <c r="B35" s="6"/>
      <c r="C35" s="16"/>
      <c r="D35" s="17"/>
      <c r="E35" s="21"/>
      <c r="F35" s="19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33" s="20" customFormat="1" ht="15.75">
      <c r="A36" s="6"/>
      <c r="B36" s="6"/>
      <c r="C36" s="16"/>
      <c r="D36" s="17"/>
      <c r="E36" s="22"/>
      <c r="F36" s="19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33" s="20" customFormat="1" ht="15.75">
      <c r="A37" s="6"/>
      <c r="B37" s="6"/>
      <c r="C37" s="16"/>
      <c r="D37" s="17"/>
      <c r="E37" s="22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5" customFormat="1" ht="16.5" thickBot="1">
      <c r="A38" s="23"/>
      <c r="B38" s="24"/>
      <c r="C38" s="25"/>
      <c r="D38" s="134"/>
      <c r="E38" s="135"/>
      <c r="F38" s="136"/>
    </row>
    <row r="39" spans="1:33" s="5" customFormat="1" ht="15" customHeight="1">
      <c r="A39" s="1327" t="s">
        <v>135</v>
      </c>
      <c r="B39" s="1327"/>
      <c r="C39" s="1"/>
      <c r="D39" s="1327" t="s">
        <v>554</v>
      </c>
      <c r="E39" s="1327"/>
      <c r="F39" s="275"/>
    </row>
    <row r="40" spans="1:33" s="5" customFormat="1" ht="14.45" customHeight="1">
      <c r="A40" s="1325" t="s">
        <v>145</v>
      </c>
      <c r="B40" s="1325"/>
      <c r="C40" s="2"/>
      <c r="D40" s="1325" t="s">
        <v>556</v>
      </c>
      <c r="E40" s="1325"/>
      <c r="F40" s="276"/>
    </row>
    <row r="41" spans="1:33" s="5" customFormat="1" ht="15.75" customHeight="1">
      <c r="A41" s="1325" t="s">
        <v>48</v>
      </c>
      <c r="B41" s="1325"/>
      <c r="C41" s="2"/>
      <c r="D41" s="1325" t="s">
        <v>48</v>
      </c>
      <c r="E41" s="1325"/>
      <c r="F41" s="276"/>
    </row>
    <row r="42" spans="1:33" s="20" customFormat="1" ht="15.75" customHeight="1">
      <c r="A42" s="6"/>
      <c r="B42" s="6"/>
      <c r="C42" s="16"/>
      <c r="D42" s="1326" t="s">
        <v>555</v>
      </c>
      <c r="E42" s="1326"/>
      <c r="F42" s="276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33" s="20" customFormat="1" ht="15.75">
      <c r="A43" s="6"/>
      <c r="B43" s="6"/>
      <c r="C43" s="16"/>
      <c r="D43" s="17"/>
      <c r="E43" s="22"/>
      <c r="F43" s="19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33" s="20" customFormat="1" ht="15.75">
      <c r="A44" s="6"/>
      <c r="B44" s="6"/>
      <c r="C44" s="16"/>
      <c r="D44" s="17"/>
      <c r="E44" s="22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27"/>
      <c r="B45" s="27"/>
      <c r="C45" s="27"/>
      <c r="D45" s="27"/>
      <c r="E45" s="27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5" customFormat="1" ht="15.75">
      <c r="A46" s="27"/>
      <c r="B46" s="27"/>
      <c r="C46" s="27"/>
      <c r="D46" s="27"/>
      <c r="E46" s="27"/>
      <c r="F46" s="26"/>
    </row>
    <row r="47" spans="1:33" s="5" customFormat="1" ht="15" customHeight="1">
      <c r="A47" s="27"/>
      <c r="B47" s="27"/>
      <c r="C47" s="27"/>
      <c r="D47" s="27"/>
      <c r="E47" s="27"/>
      <c r="F47" s="26"/>
    </row>
    <row r="48" spans="1:33" s="5" customFormat="1" ht="14.45" customHeight="1">
      <c r="A48" s="27"/>
      <c r="B48" s="27"/>
      <c r="C48" s="27"/>
      <c r="D48" s="27"/>
      <c r="E48" s="27"/>
      <c r="F48" s="26"/>
    </row>
    <row r="49" spans="1:25" s="5" customFormat="1" ht="14.45" customHeight="1">
      <c r="A49" s="27"/>
      <c r="B49" s="27"/>
      <c r="C49" s="27"/>
      <c r="D49" s="27"/>
      <c r="E49" s="27"/>
      <c r="F49" s="26"/>
    </row>
    <row r="50" spans="1:25" s="20" customFormat="1" ht="15.75">
      <c r="A50" s="27"/>
      <c r="B50" s="27"/>
      <c r="C50" s="27"/>
      <c r="D50" s="27"/>
      <c r="E50" s="27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6"/>
      <c r="B51" s="6"/>
      <c r="C51" s="16"/>
      <c r="D51" s="17"/>
      <c r="E51" s="6"/>
      <c r="F51" s="19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20" customFormat="1" ht="15.75">
      <c r="A52" s="6"/>
      <c r="B52" s="6"/>
      <c r="C52" s="16"/>
      <c r="D52" s="17"/>
      <c r="E52" s="6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6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89.25" customHeight="1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89.25" customHeight="1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89.25" customHeight="1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</sheetData>
  <mergeCells count="18">
    <mergeCell ref="A9:D9"/>
    <mergeCell ref="A12:D12"/>
    <mergeCell ref="A1:F3"/>
    <mergeCell ref="A4:F4"/>
    <mergeCell ref="A5:F5"/>
    <mergeCell ref="A6:E6"/>
    <mergeCell ref="A8:D8"/>
    <mergeCell ref="D42:E42"/>
    <mergeCell ref="A10:D10"/>
    <mergeCell ref="A39:B39"/>
    <mergeCell ref="D39:E39"/>
    <mergeCell ref="A40:B40"/>
    <mergeCell ref="D40:E40"/>
    <mergeCell ref="A11:D11"/>
    <mergeCell ref="A14:D14"/>
    <mergeCell ref="A13:D13"/>
    <mergeCell ref="A41:B41"/>
    <mergeCell ref="D41:E41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7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33">
    <tabColor rgb="FF00B0F0"/>
    <pageSetUpPr fitToPage="1"/>
  </sheetPr>
  <dimension ref="A1:AG225"/>
  <sheetViews>
    <sheetView showGridLines="0" topLeftCell="A19" zoomScale="80" zoomScaleNormal="80" workbookViewId="0">
      <selection activeCell="I36" sqref="I36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1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1" t="s">
        <v>2024</v>
      </c>
      <c r="B1" s="1331"/>
      <c r="C1" s="1331"/>
      <c r="D1" s="1331"/>
      <c r="E1" s="1331"/>
      <c r="F1" s="133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1"/>
      <c r="B2" s="1331"/>
      <c r="C2" s="1331"/>
      <c r="D2" s="1331"/>
      <c r="E2" s="1331"/>
      <c r="F2" s="133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31"/>
      <c r="B3" s="1331"/>
      <c r="C3" s="1331"/>
      <c r="D3" s="1331"/>
      <c r="E3" s="1331"/>
      <c r="F3" s="133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287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F31</f>
        <v>1242130.29</v>
      </c>
      <c r="I8" s="13"/>
      <c r="J8" s="12"/>
    </row>
    <row r="9" spans="1:25" ht="15.75" customHeight="1">
      <c r="A9" s="1316" t="s">
        <v>275</v>
      </c>
      <c r="B9" s="1317"/>
      <c r="C9" s="1317"/>
      <c r="D9" s="1317"/>
      <c r="E9" s="266">
        <v>8774.19</v>
      </c>
      <c r="F9" s="267"/>
    </row>
    <row r="10" spans="1:25" ht="18.600000000000001" customHeight="1">
      <c r="A10" s="1316" t="s">
        <v>279</v>
      </c>
      <c r="B10" s="1317"/>
      <c r="C10" s="1317"/>
      <c r="D10" s="1317"/>
      <c r="E10" s="266">
        <v>65600.710000000006</v>
      </c>
      <c r="F10" s="267"/>
    </row>
    <row r="11" spans="1:25" ht="18.600000000000001" customHeight="1">
      <c r="A11" s="1316" t="s">
        <v>298</v>
      </c>
      <c r="B11" s="1317"/>
      <c r="C11" s="1317"/>
      <c r="D11" s="1317"/>
      <c r="E11" s="266">
        <v>68006.320000000007</v>
      </c>
      <c r="F11" s="267"/>
    </row>
    <row r="12" spans="1:25" ht="18.600000000000001" customHeight="1">
      <c r="A12" s="1316" t="s">
        <v>313</v>
      </c>
      <c r="B12" s="1317"/>
      <c r="C12" s="1317"/>
      <c r="D12" s="1317"/>
      <c r="E12" s="266">
        <v>68012.100000000006</v>
      </c>
      <c r="F12" s="267"/>
    </row>
    <row r="13" spans="1:25" ht="18.600000000000001" customHeight="1">
      <c r="A13" s="553" t="s">
        <v>371</v>
      </c>
      <c r="B13" s="554"/>
      <c r="C13" s="554"/>
      <c r="D13" s="554"/>
      <c r="E13" s="266">
        <v>65617.25</v>
      </c>
      <c r="F13" s="267"/>
    </row>
    <row r="14" spans="1:25" ht="18.600000000000001" customHeight="1">
      <c r="A14" s="584" t="s">
        <v>433</v>
      </c>
      <c r="B14" s="585"/>
      <c r="C14" s="585"/>
      <c r="D14" s="585"/>
      <c r="E14" s="266">
        <v>68023.460000000006</v>
      </c>
      <c r="F14" s="267"/>
    </row>
    <row r="15" spans="1:25" ht="18.600000000000001" customHeight="1">
      <c r="A15" s="663" t="s">
        <v>471</v>
      </c>
      <c r="B15" s="664"/>
      <c r="C15" s="664"/>
      <c r="D15" s="664"/>
      <c r="E15" s="266">
        <v>65628.210000000006</v>
      </c>
      <c r="F15" s="267"/>
    </row>
    <row r="16" spans="1:25" ht="18.600000000000001" customHeight="1">
      <c r="A16" s="686" t="s">
        <v>508</v>
      </c>
      <c r="B16" s="687"/>
      <c r="C16" s="687"/>
      <c r="D16" s="687"/>
      <c r="E16" s="266">
        <v>89433.83</v>
      </c>
      <c r="F16" s="267"/>
    </row>
    <row r="17" spans="1:33" ht="18.600000000000001" customHeight="1">
      <c r="A17" s="706" t="s">
        <v>518</v>
      </c>
      <c r="B17" s="707"/>
      <c r="C17" s="707"/>
      <c r="D17" s="707"/>
      <c r="E17" s="266">
        <v>93763.18</v>
      </c>
      <c r="F17" s="267"/>
    </row>
    <row r="18" spans="1:33" ht="18.600000000000001" customHeight="1">
      <c r="A18" s="742" t="s">
        <v>552</v>
      </c>
      <c r="B18" s="743"/>
      <c r="C18" s="743"/>
      <c r="D18" s="743"/>
      <c r="E18" s="266">
        <v>84945.63</v>
      </c>
      <c r="F18" s="267"/>
    </row>
    <row r="19" spans="1:33" ht="18.600000000000001" customHeight="1">
      <c r="A19" s="760" t="s">
        <v>557</v>
      </c>
      <c r="B19" s="761"/>
      <c r="C19" s="761"/>
      <c r="D19" s="761"/>
      <c r="E19" s="266">
        <v>71601.98</v>
      </c>
      <c r="F19" s="267"/>
      <c r="G19" s="785" t="str">
        <f>"+1"</f>
        <v>+1</v>
      </c>
    </row>
    <row r="20" spans="1:33" ht="18.600000000000001" customHeight="1">
      <c r="A20" s="793" t="s">
        <v>604</v>
      </c>
      <c r="B20" s="794"/>
      <c r="C20" s="794"/>
      <c r="D20" s="794"/>
      <c r="E20" s="266">
        <f>56945.65-1</f>
        <v>56944.65</v>
      </c>
      <c r="F20" s="267"/>
      <c r="G20" s="805" t="str">
        <f>"-1"</f>
        <v>-1</v>
      </c>
    </row>
    <row r="21" spans="1:33" ht="18.600000000000001" customHeight="1">
      <c r="A21" s="816" t="s">
        <v>698</v>
      </c>
      <c r="B21" s="817"/>
      <c r="C21" s="817"/>
      <c r="D21" s="817"/>
      <c r="E21" s="266">
        <v>58355.02</v>
      </c>
      <c r="F21" s="267"/>
      <c r="G21" s="805"/>
    </row>
    <row r="22" spans="1:33" ht="18.600000000000001" customHeight="1">
      <c r="A22" s="835" t="s">
        <v>743</v>
      </c>
      <c r="B22" s="836"/>
      <c r="C22" s="836"/>
      <c r="D22" s="836"/>
      <c r="E22" s="266">
        <v>56300.21</v>
      </c>
      <c r="F22" s="267"/>
      <c r="G22" s="805"/>
    </row>
    <row r="23" spans="1:33" ht="18.600000000000001" customHeight="1">
      <c r="A23" s="915" t="s">
        <v>819</v>
      </c>
      <c r="B23" s="916"/>
      <c r="C23" s="916"/>
      <c r="D23" s="916"/>
      <c r="E23" s="266">
        <v>58364.76</v>
      </c>
      <c r="F23" s="267"/>
      <c r="G23" s="805"/>
    </row>
    <row r="24" spans="1:33" ht="18.600000000000001" customHeight="1">
      <c r="A24" s="952" t="s">
        <v>867</v>
      </c>
      <c r="B24" s="953"/>
      <c r="C24" s="953"/>
      <c r="D24" s="953"/>
      <c r="E24" s="266">
        <v>58369.72</v>
      </c>
      <c r="F24" s="267"/>
      <c r="G24" s="805"/>
    </row>
    <row r="25" spans="1:33" ht="18.600000000000001" customHeight="1">
      <c r="A25" s="965" t="s">
        <v>901</v>
      </c>
      <c r="B25" s="966"/>
      <c r="C25" s="966"/>
      <c r="D25" s="966"/>
      <c r="E25" s="266">
        <v>56314.400000000001</v>
      </c>
      <c r="F25" s="267"/>
      <c r="G25" s="805"/>
    </row>
    <row r="26" spans="1:33" ht="18.600000000000001" customHeight="1">
      <c r="A26" s="996" t="s">
        <v>1008</v>
      </c>
      <c r="B26" s="997"/>
      <c r="C26" s="997"/>
      <c r="D26" s="997"/>
      <c r="E26" s="266">
        <v>58379.47</v>
      </c>
      <c r="F26" s="267"/>
      <c r="G26" s="805"/>
    </row>
    <row r="27" spans="1:33" ht="18.600000000000001" customHeight="1">
      <c r="A27" s="1038" t="s">
        <v>1029</v>
      </c>
      <c r="B27" s="1039"/>
      <c r="C27" s="1039"/>
      <c r="D27" s="1039"/>
      <c r="E27" s="266">
        <v>53725.23</v>
      </c>
      <c r="F27" s="267"/>
      <c r="G27" s="805"/>
    </row>
    <row r="28" spans="1:33" ht="18.600000000000001" customHeight="1">
      <c r="A28" s="1069" t="s">
        <v>1134</v>
      </c>
      <c r="B28" s="1070"/>
      <c r="C28" s="1070"/>
      <c r="D28" s="1070"/>
      <c r="E28" s="266">
        <v>17984.22</v>
      </c>
      <c r="F28" s="267"/>
      <c r="G28" s="805"/>
    </row>
    <row r="29" spans="1:33" ht="18.600000000000001" customHeight="1">
      <c r="A29" s="1114" t="s">
        <v>2004</v>
      </c>
      <c r="B29" s="1115"/>
      <c r="C29" s="1115"/>
      <c r="D29" s="1115"/>
      <c r="E29" s="266">
        <v>17985.75</v>
      </c>
      <c r="F29" s="267"/>
      <c r="G29" s="805"/>
    </row>
    <row r="30" spans="1:33" s="5" customFormat="1" ht="18.600000000000001" customHeight="1">
      <c r="A30" s="273"/>
      <c r="B30" s="274"/>
      <c r="C30" s="274"/>
      <c r="D30" s="274"/>
      <c r="E30" s="268"/>
      <c r="F30" s="269"/>
      <c r="G30" s="796" t="s">
        <v>602</v>
      </c>
      <c r="H30" s="795" t="s">
        <v>603</v>
      </c>
      <c r="I30" s="795" t="s">
        <v>553</v>
      </c>
      <c r="J30" s="759" t="s">
        <v>65</v>
      </c>
      <c r="Z30" s="6"/>
      <c r="AA30" s="6"/>
      <c r="AB30" s="6"/>
      <c r="AC30" s="6"/>
      <c r="AD30" s="6"/>
      <c r="AE30" s="6"/>
      <c r="AF30" s="6"/>
      <c r="AG30" s="6"/>
    </row>
    <row r="31" spans="1:33" s="5" customFormat="1" ht="24.75" customHeight="1" thickBot="1">
      <c r="A31" s="14" t="s">
        <v>2007</v>
      </c>
      <c r="B31" s="15"/>
      <c r="C31" s="15"/>
      <c r="D31" s="15"/>
      <c r="E31" s="270"/>
      <c r="F31" s="271">
        <f>SUM(E8:E30)</f>
        <v>1242130.29</v>
      </c>
      <c r="G31" s="5">
        <f>+F31+Adhesiones!H79</f>
        <v>211615079.28999999</v>
      </c>
      <c r="H31" s="758">
        <f>+G31-F31</f>
        <v>210372949</v>
      </c>
      <c r="I31" s="5">
        <f>-'Anexo 3-Porcion C-NC'!B32</f>
        <v>-210372949</v>
      </c>
      <c r="J31" s="5">
        <f>+H31+I31</f>
        <v>0</v>
      </c>
      <c r="Z31" s="6"/>
      <c r="AA31" s="6"/>
      <c r="AB31" s="6"/>
      <c r="AC31" s="6"/>
      <c r="AD31" s="6"/>
      <c r="AE31" s="6"/>
      <c r="AF31" s="6"/>
      <c r="AG31" s="6"/>
    </row>
    <row r="32" spans="1:33" s="20" customFormat="1" ht="15.75">
      <c r="A32" s="6"/>
      <c r="B32" s="6"/>
      <c r="C32" s="16"/>
      <c r="D32" s="17"/>
      <c r="E32" s="18"/>
      <c r="F32" s="19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s="20" customFormat="1" ht="15.75">
      <c r="A33" s="6"/>
      <c r="B33" s="6"/>
      <c r="C33" s="16"/>
      <c r="D33" s="17"/>
      <c r="E33" s="21"/>
      <c r="F33" s="19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s="20" customFormat="1" ht="15.75">
      <c r="A34" s="6"/>
      <c r="B34" s="6"/>
      <c r="C34" s="16"/>
      <c r="D34" s="17"/>
      <c r="E34" s="22"/>
      <c r="F34" s="19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s="20" customFormat="1" ht="15.75">
      <c r="A35" s="6"/>
      <c r="B35" s="6"/>
      <c r="C35" s="16"/>
      <c r="D35" s="17"/>
      <c r="E35" s="22"/>
      <c r="F35" s="19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s="5" customFormat="1" ht="16.5" thickBot="1">
      <c r="A36" s="23"/>
      <c r="B36" s="24"/>
      <c r="C36" s="25"/>
      <c r="D36" s="134"/>
      <c r="E36" s="135"/>
      <c r="F36" s="136"/>
    </row>
    <row r="37" spans="1:25" s="5" customFormat="1" ht="15" customHeight="1">
      <c r="A37" s="1327" t="s">
        <v>135</v>
      </c>
      <c r="B37" s="1327"/>
      <c r="C37" s="1"/>
      <c r="D37" s="1327" t="s">
        <v>554</v>
      </c>
      <c r="E37" s="1327"/>
      <c r="F37" s="287"/>
    </row>
    <row r="38" spans="1:25" s="5" customFormat="1" ht="14.45" customHeight="1">
      <c r="A38" s="1325" t="s">
        <v>145</v>
      </c>
      <c r="B38" s="1325"/>
      <c r="C38" s="2"/>
      <c r="D38" s="1325" t="s">
        <v>556</v>
      </c>
      <c r="E38" s="1325"/>
      <c r="F38" s="288"/>
    </row>
    <row r="39" spans="1:25" s="5" customFormat="1" ht="15.75" customHeight="1">
      <c r="A39" s="1325" t="s">
        <v>48</v>
      </c>
      <c r="B39" s="1325"/>
      <c r="C39" s="2"/>
      <c r="D39" s="1325" t="s">
        <v>48</v>
      </c>
      <c r="E39" s="1325"/>
      <c r="F39" s="288"/>
    </row>
    <row r="40" spans="1:25" s="20" customFormat="1" ht="15.75" customHeight="1">
      <c r="A40" s="6"/>
      <c r="B40" s="6"/>
      <c r="C40" s="16"/>
      <c r="D40" s="1326" t="s">
        <v>555</v>
      </c>
      <c r="E40" s="1326"/>
      <c r="F40" s="288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s="20" customFormat="1" ht="15.75">
      <c r="A41" s="6"/>
      <c r="B41" s="6"/>
      <c r="C41" s="16"/>
      <c r="D41" s="17"/>
      <c r="E41" s="22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s="20" customFormat="1" ht="15.75">
      <c r="A42" s="6"/>
      <c r="B42" s="6"/>
      <c r="C42" s="16"/>
      <c r="D42" s="17"/>
      <c r="E42" s="22"/>
      <c r="F42" s="19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s="20" customFormat="1" ht="15.75">
      <c r="A43" s="27"/>
      <c r="B43" s="27"/>
      <c r="C43" s="27"/>
      <c r="D43" s="27"/>
      <c r="E43" s="27"/>
      <c r="F43" s="19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s="5" customFormat="1" ht="15.75">
      <c r="A44" s="27"/>
      <c r="B44" s="27"/>
      <c r="C44" s="27"/>
      <c r="D44" s="27"/>
      <c r="E44" s="27"/>
      <c r="F44" s="26"/>
    </row>
    <row r="45" spans="1:25" s="5" customFormat="1" ht="15" customHeight="1">
      <c r="A45" s="27"/>
      <c r="B45" s="27"/>
      <c r="C45" s="27"/>
      <c r="D45" s="27"/>
      <c r="E45" s="27"/>
      <c r="F45" s="26"/>
    </row>
    <row r="46" spans="1:25" s="5" customFormat="1" ht="14.45" customHeight="1">
      <c r="A46" s="27"/>
      <c r="B46" s="27"/>
      <c r="C46" s="27"/>
      <c r="D46" s="27"/>
      <c r="E46" s="27"/>
      <c r="F46" s="26"/>
    </row>
    <row r="47" spans="1:25" s="5" customFormat="1" ht="14.45" customHeight="1">
      <c r="A47" s="27"/>
      <c r="B47" s="27"/>
      <c r="C47" s="27"/>
      <c r="D47" s="27"/>
      <c r="E47" s="27"/>
      <c r="F47" s="26"/>
    </row>
    <row r="48" spans="1:25" s="20" customFormat="1" ht="15.75">
      <c r="A48" s="27"/>
      <c r="B48" s="27"/>
      <c r="C48" s="27"/>
      <c r="D48" s="27"/>
      <c r="E48" s="27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6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6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6"/>
      <c r="B51" s="6"/>
      <c r="C51" s="16"/>
      <c r="D51" s="17"/>
      <c r="E51" s="6"/>
      <c r="F51" s="19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20" customFormat="1" ht="15.75">
      <c r="A52" s="6"/>
      <c r="B52" s="6"/>
      <c r="C52" s="16"/>
      <c r="D52" s="17"/>
      <c r="E52" s="6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6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89.25" customHeight="1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89.25" customHeight="1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89.25" customHeight="1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89.25" customHeight="1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89.25" customHeight="1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</sheetData>
  <mergeCells count="16">
    <mergeCell ref="A1:F3"/>
    <mergeCell ref="A4:F4"/>
    <mergeCell ref="A5:F5"/>
    <mergeCell ref="A6:E6"/>
    <mergeCell ref="A8:D8"/>
    <mergeCell ref="D40:E40"/>
    <mergeCell ref="A9:D9"/>
    <mergeCell ref="A37:B37"/>
    <mergeCell ref="D37:E37"/>
    <mergeCell ref="A38:B38"/>
    <mergeCell ref="D38:E38"/>
    <mergeCell ref="A12:D12"/>
    <mergeCell ref="A11:D11"/>
    <mergeCell ref="A39:B39"/>
    <mergeCell ref="D39:E39"/>
    <mergeCell ref="A10:D10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7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35">
    <tabColor rgb="FF00B0F0"/>
    <pageSetUpPr fitToPage="1"/>
  </sheetPr>
  <dimension ref="A1:AG224"/>
  <sheetViews>
    <sheetView showGridLines="0" topLeftCell="A19" zoomScale="80" zoomScaleNormal="80" workbookViewId="0">
      <selection activeCell="I36" sqref="I36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1" t="s">
        <v>2026</v>
      </c>
      <c r="B1" s="1331"/>
      <c r="C1" s="1331"/>
      <c r="D1" s="1331"/>
      <c r="E1" s="1331"/>
      <c r="F1" s="133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1"/>
      <c r="B2" s="1331"/>
      <c r="C2" s="1331"/>
      <c r="D2" s="1331"/>
      <c r="E2" s="1331"/>
      <c r="F2" s="133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31"/>
      <c r="B3" s="1331"/>
      <c r="C3" s="1331"/>
      <c r="D3" s="1331"/>
      <c r="E3" s="1331"/>
      <c r="F3" s="133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289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F30</f>
        <v>176121.24999999994</v>
      </c>
      <c r="I8" s="13"/>
      <c r="J8" s="12"/>
    </row>
    <row r="9" spans="1:25" ht="18.600000000000001" customHeight="1">
      <c r="A9" s="1316" t="s">
        <v>279</v>
      </c>
      <c r="B9" s="1317"/>
      <c r="C9" s="1317"/>
      <c r="D9" s="1317"/>
      <c r="E9" s="266">
        <v>0</v>
      </c>
      <c r="F9" s="267"/>
    </row>
    <row r="10" spans="1:25" ht="18.600000000000001" customHeight="1">
      <c r="A10" s="1316" t="s">
        <v>298</v>
      </c>
      <c r="B10" s="1317"/>
      <c r="C10" s="1317"/>
      <c r="D10" s="1317"/>
      <c r="E10" s="266">
        <v>0</v>
      </c>
      <c r="F10" s="267"/>
    </row>
    <row r="11" spans="1:25" ht="18.600000000000001" customHeight="1">
      <c r="A11" s="1316" t="s">
        <v>313</v>
      </c>
      <c r="B11" s="1317"/>
      <c r="C11" s="1317"/>
      <c r="D11" s="1317"/>
      <c r="E11" s="266">
        <v>19462.25</v>
      </c>
      <c r="F11" s="267"/>
    </row>
    <row r="12" spans="1:25" ht="18.600000000000001" customHeight="1">
      <c r="A12" s="553" t="s">
        <v>371</v>
      </c>
      <c r="B12" s="554"/>
      <c r="C12" s="554"/>
      <c r="D12" s="554"/>
      <c r="E12" s="266">
        <v>22387.59</v>
      </c>
      <c r="F12" s="267"/>
    </row>
    <row r="13" spans="1:25" ht="18.600000000000001" customHeight="1">
      <c r="A13" s="584" t="s">
        <v>433</v>
      </c>
      <c r="B13" s="585"/>
      <c r="C13" s="585"/>
      <c r="D13" s="585"/>
      <c r="E13" s="266">
        <v>23208.55</v>
      </c>
      <c r="F13" s="267"/>
    </row>
    <row r="14" spans="1:25" ht="18.600000000000001" customHeight="1">
      <c r="A14" s="663" t="s">
        <v>471</v>
      </c>
      <c r="B14" s="664"/>
      <c r="C14" s="664"/>
      <c r="D14" s="664"/>
      <c r="E14" s="266">
        <v>22391.33</v>
      </c>
      <c r="F14" s="267"/>
    </row>
    <row r="15" spans="1:25" ht="18.600000000000001" customHeight="1">
      <c r="A15" s="686" t="s">
        <v>508</v>
      </c>
      <c r="B15" s="687"/>
      <c r="C15" s="687"/>
      <c r="D15" s="687"/>
      <c r="E15" s="266">
        <v>23212.43</v>
      </c>
      <c r="F15" s="267"/>
    </row>
    <row r="16" spans="1:25" ht="18.600000000000001" customHeight="1">
      <c r="A16" s="706" t="s">
        <v>518</v>
      </c>
      <c r="B16" s="707"/>
      <c r="C16" s="707"/>
      <c r="D16" s="707"/>
      <c r="E16" s="266">
        <v>23214.400000000001</v>
      </c>
      <c r="F16" s="267"/>
    </row>
    <row r="17" spans="1:33" ht="18.600000000000001" customHeight="1">
      <c r="A17" s="742" t="s">
        <v>552</v>
      </c>
      <c r="B17" s="743"/>
      <c r="C17" s="743"/>
      <c r="D17" s="743"/>
      <c r="E17" s="266">
        <v>21031.3</v>
      </c>
      <c r="F17" s="267"/>
    </row>
    <row r="18" spans="1:33" ht="18.600000000000001" customHeight="1">
      <c r="A18" s="760" t="s">
        <v>557</v>
      </c>
      <c r="B18" s="761"/>
      <c r="C18" s="761"/>
      <c r="D18" s="761"/>
      <c r="E18" s="266">
        <v>9248.25</v>
      </c>
      <c r="F18" s="267"/>
      <c r="G18" s="785" t="str">
        <f>"+1"</f>
        <v>+1</v>
      </c>
    </row>
    <row r="19" spans="1:33" ht="18.600000000000001" customHeight="1">
      <c r="A19" s="793" t="s">
        <v>604</v>
      </c>
      <c r="B19" s="794"/>
      <c r="C19" s="794"/>
      <c r="D19" s="794"/>
      <c r="E19" s="266">
        <f>1057.12-1</f>
        <v>1056.1199999999999</v>
      </c>
      <c r="F19" s="267"/>
      <c r="G19" s="805" t="str">
        <f>"-1"</f>
        <v>-1</v>
      </c>
    </row>
    <row r="20" spans="1:33" ht="18.600000000000001" customHeight="1">
      <c r="A20" s="816" t="s">
        <v>698</v>
      </c>
      <c r="B20" s="817"/>
      <c r="C20" s="817"/>
      <c r="D20" s="817"/>
      <c r="E20" s="266">
        <v>642.84</v>
      </c>
      <c r="F20" s="267"/>
      <c r="G20" s="805"/>
    </row>
    <row r="21" spans="1:33" ht="18.600000000000001" customHeight="1">
      <c r="A21" s="835" t="s">
        <v>743</v>
      </c>
      <c r="B21" s="836"/>
      <c r="C21" s="836"/>
      <c r="D21" s="836"/>
      <c r="E21" s="266">
        <v>620.20000000000005</v>
      </c>
      <c r="F21" s="267"/>
      <c r="G21" s="805"/>
    </row>
    <row r="22" spans="1:33" ht="18.600000000000001" customHeight="1">
      <c r="A22" s="915" t="s">
        <v>819</v>
      </c>
      <c r="B22" s="916"/>
      <c r="C22" s="916"/>
      <c r="D22" s="916"/>
      <c r="E22" s="266">
        <v>642.95000000000005</v>
      </c>
      <c r="F22" s="267"/>
      <c r="G22" s="805"/>
    </row>
    <row r="23" spans="1:33" ht="18.600000000000001" customHeight="1">
      <c r="A23" s="952" t="s">
        <v>867</v>
      </c>
      <c r="B23" s="953"/>
      <c r="C23" s="953"/>
      <c r="D23" s="953"/>
      <c r="E23" s="266">
        <v>643</v>
      </c>
      <c r="F23" s="267"/>
      <c r="G23" s="805"/>
    </row>
    <row r="24" spans="1:33" ht="18.600000000000001" customHeight="1">
      <c r="A24" s="965" t="s">
        <v>901</v>
      </c>
      <c r="B24" s="966"/>
      <c r="C24" s="966"/>
      <c r="D24" s="966"/>
      <c r="E24" s="266">
        <v>620.36</v>
      </c>
      <c r="F24" s="267"/>
      <c r="G24" s="805"/>
    </row>
    <row r="25" spans="1:33" ht="18.600000000000001" customHeight="1">
      <c r="A25" s="996" t="s">
        <v>1008</v>
      </c>
      <c r="B25" s="997"/>
      <c r="C25" s="997"/>
      <c r="D25" s="997"/>
      <c r="E25" s="266">
        <v>643.11</v>
      </c>
      <c r="F25" s="267"/>
      <c r="G25" s="805"/>
    </row>
    <row r="26" spans="1:33" ht="18.600000000000001" customHeight="1">
      <c r="A26" s="1038" t="s">
        <v>1029</v>
      </c>
      <c r="B26" s="1039"/>
      <c r="C26" s="1039"/>
      <c r="D26" s="1039"/>
      <c r="E26" s="266">
        <v>1276.46</v>
      </c>
      <c r="F26" s="267"/>
      <c r="G26" s="805"/>
    </row>
    <row r="27" spans="1:33" ht="18.600000000000001" customHeight="1">
      <c r="A27" s="1069" t="s">
        <v>1134</v>
      </c>
      <c r="B27" s="1070"/>
      <c r="C27" s="1070"/>
      <c r="D27" s="1070"/>
      <c r="E27" s="266">
        <v>2909.93</v>
      </c>
      <c r="F27" s="267"/>
      <c r="G27" s="805"/>
    </row>
    <row r="28" spans="1:33" ht="18.600000000000001" customHeight="1">
      <c r="A28" s="1114" t="s">
        <v>2004</v>
      </c>
      <c r="B28" s="1115"/>
      <c r="C28" s="1115"/>
      <c r="D28" s="1115"/>
      <c r="E28" s="266">
        <v>2910.18</v>
      </c>
      <c r="F28" s="267"/>
      <c r="G28" s="805"/>
    </row>
    <row r="29" spans="1:33" s="5" customFormat="1" ht="18.600000000000001" customHeight="1">
      <c r="A29" s="273"/>
      <c r="B29" s="274"/>
      <c r="C29" s="274"/>
      <c r="D29" s="274"/>
      <c r="E29" s="268"/>
      <c r="F29" s="269"/>
      <c r="G29" s="796" t="s">
        <v>602</v>
      </c>
      <c r="H29" s="795" t="s">
        <v>603</v>
      </c>
      <c r="I29" s="795" t="s">
        <v>553</v>
      </c>
      <c r="J29" s="759" t="s">
        <v>65</v>
      </c>
      <c r="Z29" s="6"/>
      <c r="AA29" s="6"/>
      <c r="AB29" s="6"/>
      <c r="AC29" s="6"/>
      <c r="AD29" s="6"/>
      <c r="AE29" s="6"/>
      <c r="AF29" s="6"/>
      <c r="AG29" s="6"/>
    </row>
    <row r="30" spans="1:33" s="5" customFormat="1" ht="24.75" customHeight="1" thickBot="1">
      <c r="A30" s="14" t="s">
        <v>2007</v>
      </c>
      <c r="B30" s="15"/>
      <c r="C30" s="15"/>
      <c r="D30" s="15"/>
      <c r="E30" s="270"/>
      <c r="F30" s="271">
        <f>SUM(E8:E29)</f>
        <v>176121.24999999994</v>
      </c>
      <c r="G30" s="5">
        <f>+F30+'Anexo 3-Porcion C-NC'!B33</f>
        <v>34240372.25</v>
      </c>
      <c r="H30" s="758">
        <f>+G30-F30</f>
        <v>34064251</v>
      </c>
      <c r="I30" s="5">
        <f>-'Anexo 3-Porcion C-NC'!B33</f>
        <v>-34064251</v>
      </c>
      <c r="J30" s="5">
        <f>+H30+I30</f>
        <v>0</v>
      </c>
      <c r="Z30" s="6"/>
      <c r="AA30" s="6"/>
      <c r="AB30" s="6"/>
      <c r="AC30" s="6"/>
      <c r="AD30" s="6"/>
      <c r="AE30" s="6"/>
      <c r="AF30" s="6"/>
      <c r="AG30" s="6"/>
    </row>
    <row r="31" spans="1:33" s="20" customFormat="1" ht="15.75">
      <c r="A31" s="6"/>
      <c r="B31" s="6"/>
      <c r="C31" s="16"/>
      <c r="D31" s="17"/>
      <c r="E31" s="18"/>
      <c r="F31" s="19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33" s="20" customFormat="1" ht="15.75">
      <c r="A32" s="6"/>
      <c r="B32" s="6"/>
      <c r="C32" s="16"/>
      <c r="D32" s="17"/>
      <c r="E32" s="21"/>
      <c r="F32" s="19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s="20" customFormat="1" ht="15.75">
      <c r="A33" s="6"/>
      <c r="B33" s="6"/>
      <c r="C33" s="16"/>
      <c r="D33" s="17"/>
      <c r="E33" s="22"/>
      <c r="F33" s="19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s="20" customFormat="1" ht="15.75">
      <c r="A34" s="6"/>
      <c r="B34" s="6"/>
      <c r="C34" s="16"/>
      <c r="D34" s="17"/>
      <c r="E34" s="22"/>
      <c r="F34" s="19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s="5" customFormat="1" ht="16.5" thickBot="1">
      <c r="A35" s="23"/>
      <c r="B35" s="24"/>
      <c r="C35" s="25"/>
      <c r="D35" s="134"/>
      <c r="E35" s="135"/>
      <c r="F35" s="136"/>
    </row>
    <row r="36" spans="1:25" s="5" customFormat="1" ht="15" customHeight="1">
      <c r="A36" s="1327" t="s">
        <v>135</v>
      </c>
      <c r="B36" s="1327"/>
      <c r="C36" s="1"/>
      <c r="D36" s="1327" t="s">
        <v>554</v>
      </c>
      <c r="E36" s="1327"/>
      <c r="F36" s="317"/>
    </row>
    <row r="37" spans="1:25" s="5" customFormat="1" ht="14.45" customHeight="1">
      <c r="A37" s="1325" t="s">
        <v>145</v>
      </c>
      <c r="B37" s="1325"/>
      <c r="C37" s="2"/>
      <c r="D37" s="1325" t="s">
        <v>556</v>
      </c>
      <c r="E37" s="1325"/>
      <c r="F37" s="318"/>
    </row>
    <row r="38" spans="1:25" s="5" customFormat="1" ht="15.75" customHeight="1">
      <c r="A38" s="1325" t="s">
        <v>48</v>
      </c>
      <c r="B38" s="1325"/>
      <c r="C38" s="2"/>
      <c r="D38" s="1325" t="s">
        <v>48</v>
      </c>
      <c r="E38" s="1325"/>
      <c r="F38" s="318"/>
    </row>
    <row r="39" spans="1:25" s="20" customFormat="1" ht="15.75" customHeight="1">
      <c r="A39" s="6"/>
      <c r="B39" s="6"/>
      <c r="C39" s="16"/>
      <c r="D39" s="1326" t="s">
        <v>555</v>
      </c>
      <c r="E39" s="1326"/>
      <c r="F39" s="318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s="20" customFormat="1" ht="15.75">
      <c r="A41" s="6"/>
      <c r="B41" s="6"/>
      <c r="C41" s="16"/>
      <c r="D41" s="17"/>
      <c r="E41" s="22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s="20" customFormat="1" ht="15.75">
      <c r="A42" s="27"/>
      <c r="B42" s="27"/>
      <c r="C42" s="27"/>
      <c r="D42" s="27"/>
      <c r="E42" s="27"/>
      <c r="F42" s="19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s="5" customFormat="1" ht="15.75">
      <c r="A43" s="27"/>
      <c r="B43" s="27"/>
      <c r="C43" s="27"/>
      <c r="D43" s="27"/>
      <c r="E43" s="27"/>
      <c r="F43" s="26"/>
    </row>
    <row r="44" spans="1:25" s="5" customFormat="1" ht="15" customHeight="1">
      <c r="A44" s="27"/>
      <c r="B44" s="27"/>
      <c r="C44" s="27"/>
      <c r="D44" s="27"/>
      <c r="E44" s="27"/>
      <c r="F44" s="26"/>
    </row>
    <row r="45" spans="1:25" s="5" customFormat="1" ht="14.45" customHeight="1">
      <c r="A45" s="27"/>
      <c r="B45" s="27"/>
      <c r="C45" s="27"/>
      <c r="D45" s="27"/>
      <c r="E45" s="27"/>
      <c r="F45" s="26"/>
    </row>
    <row r="46" spans="1:25" s="5" customFormat="1" ht="14.45" customHeight="1">
      <c r="A46" s="27"/>
      <c r="B46" s="27"/>
      <c r="C46" s="27"/>
      <c r="D46" s="27"/>
      <c r="E46" s="27"/>
      <c r="F46" s="26"/>
    </row>
    <row r="47" spans="1:25" s="20" customFormat="1" ht="15.75">
      <c r="A47" s="27"/>
      <c r="B47" s="27"/>
      <c r="C47" s="27"/>
      <c r="D47" s="27"/>
      <c r="E47" s="27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s="20" customFormat="1" ht="15.75">
      <c r="A48" s="6"/>
      <c r="B48" s="6"/>
      <c r="C48" s="16"/>
      <c r="D48" s="17"/>
      <c r="E48" s="6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6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6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6"/>
      <c r="B51" s="6"/>
      <c r="C51" s="16"/>
      <c r="D51" s="17"/>
      <c r="E51" s="6"/>
      <c r="F51" s="19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20" customFormat="1" ht="15.75">
      <c r="A52" s="6"/>
      <c r="B52" s="6"/>
      <c r="C52" s="16"/>
      <c r="D52" s="17"/>
      <c r="E52" s="6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6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89.25" customHeight="1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89.25" customHeight="1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89.25" customHeight="1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89.25" customHeight="1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89.25" customHeight="1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89.25" customHeight="1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</sheetData>
  <mergeCells count="15">
    <mergeCell ref="A11:D11"/>
    <mergeCell ref="A9:D9"/>
    <mergeCell ref="A10:D10"/>
    <mergeCell ref="A1:F3"/>
    <mergeCell ref="A4:F4"/>
    <mergeCell ref="A5:F5"/>
    <mergeCell ref="A6:E6"/>
    <mergeCell ref="A8:D8"/>
    <mergeCell ref="D39:E39"/>
    <mergeCell ref="A36:B36"/>
    <mergeCell ref="D36:E36"/>
    <mergeCell ref="A37:B37"/>
    <mergeCell ref="D37:E37"/>
    <mergeCell ref="A38:B38"/>
    <mergeCell ref="D38:E38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8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34">
    <tabColor rgb="FF00B0F0"/>
    <pageSetUpPr fitToPage="1"/>
  </sheetPr>
  <dimension ref="A1:AG224"/>
  <sheetViews>
    <sheetView showGridLines="0" topLeftCell="A12" zoomScale="80" zoomScaleNormal="80" workbookViewId="0">
      <selection activeCell="I36" sqref="I36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1" t="s">
        <v>2025</v>
      </c>
      <c r="B1" s="1331"/>
      <c r="C1" s="1331"/>
      <c r="D1" s="1331"/>
      <c r="E1" s="1331"/>
      <c r="F1" s="133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1"/>
      <c r="B2" s="1331"/>
      <c r="C2" s="1331"/>
      <c r="D2" s="1331"/>
      <c r="E2" s="1331"/>
      <c r="F2" s="133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31"/>
      <c r="B3" s="1331"/>
      <c r="C3" s="1331"/>
      <c r="D3" s="1331"/>
      <c r="E3" s="1331"/>
      <c r="F3" s="133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288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F30</f>
        <v>373496.97999999986</v>
      </c>
      <c r="I8" s="13"/>
      <c r="J8" s="12"/>
    </row>
    <row r="9" spans="1:25" ht="18.600000000000001" customHeight="1">
      <c r="A9" s="1316" t="s">
        <v>279</v>
      </c>
      <c r="B9" s="1317"/>
      <c r="C9" s="1317"/>
      <c r="D9" s="1317"/>
      <c r="E9" s="266">
        <v>0</v>
      </c>
      <c r="F9" s="267"/>
    </row>
    <row r="10" spans="1:25" ht="18.600000000000001" customHeight="1">
      <c r="A10" s="1316" t="s">
        <v>298</v>
      </c>
      <c r="B10" s="1317"/>
      <c r="C10" s="1317"/>
      <c r="D10" s="1317"/>
      <c r="E10" s="266">
        <v>0</v>
      </c>
      <c r="F10" s="267"/>
    </row>
    <row r="11" spans="1:25" ht="18.600000000000001" customHeight="1">
      <c r="A11" s="1316" t="s">
        <v>313</v>
      </c>
      <c r="B11" s="1317"/>
      <c r="C11" s="1317"/>
      <c r="D11" s="1317"/>
      <c r="E11" s="266">
        <v>12475.8</v>
      </c>
      <c r="F11" s="267"/>
    </row>
    <row r="12" spans="1:25" ht="18.600000000000001" customHeight="1">
      <c r="A12" s="553" t="s">
        <v>371</v>
      </c>
      <c r="B12" s="554"/>
      <c r="C12" s="554"/>
      <c r="D12" s="554"/>
      <c r="E12" s="266">
        <v>53301.02</v>
      </c>
      <c r="F12" s="267"/>
    </row>
    <row r="13" spans="1:25" ht="18.600000000000001" customHeight="1">
      <c r="A13" s="584" t="s">
        <v>433</v>
      </c>
      <c r="B13" s="585"/>
      <c r="C13" s="585"/>
      <c r="D13" s="585"/>
      <c r="E13" s="266">
        <v>55255.59</v>
      </c>
      <c r="F13" s="267"/>
    </row>
    <row r="14" spans="1:25" ht="18.600000000000001" customHeight="1">
      <c r="A14" s="663" t="s">
        <v>471</v>
      </c>
      <c r="B14" s="664"/>
      <c r="C14" s="664"/>
      <c r="D14" s="664"/>
      <c r="E14" s="266">
        <v>53309.919999999998</v>
      </c>
      <c r="F14" s="267"/>
    </row>
    <row r="15" spans="1:25" ht="18.600000000000001" customHeight="1">
      <c r="A15" s="686" t="s">
        <v>508</v>
      </c>
      <c r="B15" s="687"/>
      <c r="C15" s="687"/>
      <c r="D15" s="687"/>
      <c r="E15" s="266">
        <v>55264.81</v>
      </c>
      <c r="F15" s="267"/>
    </row>
    <row r="16" spans="1:25" ht="18.600000000000001" customHeight="1">
      <c r="A16" s="706" t="s">
        <v>518</v>
      </c>
      <c r="B16" s="707"/>
      <c r="C16" s="707"/>
      <c r="D16" s="707"/>
      <c r="E16" s="266">
        <v>55269.51</v>
      </c>
      <c r="F16" s="267"/>
    </row>
    <row r="17" spans="1:33" ht="18.600000000000001" customHeight="1">
      <c r="A17" s="742" t="s">
        <v>552</v>
      </c>
      <c r="B17" s="743"/>
      <c r="C17" s="743"/>
      <c r="D17" s="743"/>
      <c r="E17" s="266">
        <v>50071.93</v>
      </c>
      <c r="F17" s="267"/>
    </row>
    <row r="18" spans="1:33" ht="18.600000000000001" customHeight="1">
      <c r="A18" s="760" t="s">
        <v>557</v>
      </c>
      <c r="B18" s="761"/>
      <c r="C18" s="761"/>
      <c r="D18" s="761"/>
      <c r="E18" s="266">
        <v>13430.11</v>
      </c>
      <c r="F18" s="267"/>
      <c r="G18" s="785" t="str">
        <f>"+1"</f>
        <v>+1</v>
      </c>
    </row>
    <row r="19" spans="1:33" ht="18.600000000000001" customHeight="1">
      <c r="A19" s="793" t="s">
        <v>604</v>
      </c>
      <c r="B19" s="794"/>
      <c r="C19" s="794"/>
      <c r="D19" s="794"/>
      <c r="E19" s="266">
        <f>1180.99-1</f>
        <v>1179.99</v>
      </c>
      <c r="F19" s="267"/>
      <c r="G19" s="805" t="str">
        <f>"-1"</f>
        <v>-1</v>
      </c>
    </row>
    <row r="20" spans="1:33" ht="18.600000000000001" customHeight="1">
      <c r="A20" s="816" t="s">
        <v>698</v>
      </c>
      <c r="B20" s="817"/>
      <c r="C20" s="817"/>
      <c r="D20" s="817"/>
      <c r="E20" s="266">
        <v>1224.29</v>
      </c>
      <c r="F20" s="267"/>
      <c r="G20" s="805"/>
    </row>
    <row r="21" spans="1:33" ht="18.600000000000001" customHeight="1">
      <c r="A21" s="835" t="s">
        <v>743</v>
      </c>
      <c r="B21" s="836"/>
      <c r="C21" s="836"/>
      <c r="D21" s="836"/>
      <c r="E21" s="266">
        <v>1181.18</v>
      </c>
      <c r="F21" s="267"/>
      <c r="G21" s="805"/>
    </row>
    <row r="22" spans="1:33" ht="18.600000000000001" customHeight="1">
      <c r="A22" s="915" t="s">
        <v>819</v>
      </c>
      <c r="B22" s="916"/>
      <c r="C22" s="916"/>
      <c r="D22" s="916"/>
      <c r="E22" s="266">
        <v>1224.5</v>
      </c>
      <c r="F22" s="267"/>
      <c r="G22" s="805"/>
    </row>
    <row r="23" spans="1:33" ht="18.600000000000001" customHeight="1">
      <c r="A23" s="952" t="s">
        <v>867</v>
      </c>
      <c r="B23" s="953"/>
      <c r="C23" s="953"/>
      <c r="D23" s="953"/>
      <c r="E23" s="266">
        <v>1224.5999999999999</v>
      </c>
      <c r="F23" s="267"/>
      <c r="G23" s="805"/>
    </row>
    <row r="24" spans="1:33" ht="18.600000000000001" customHeight="1">
      <c r="A24" s="965" t="s">
        <v>901</v>
      </c>
      <c r="B24" s="966"/>
      <c r="C24" s="966"/>
      <c r="D24" s="966"/>
      <c r="E24" s="266">
        <v>1181.48</v>
      </c>
      <c r="F24" s="267"/>
      <c r="G24" s="805"/>
    </row>
    <row r="25" spans="1:33" ht="18.600000000000001" customHeight="1">
      <c r="A25" s="996" t="s">
        <v>1008</v>
      </c>
      <c r="B25" s="997"/>
      <c r="C25" s="997"/>
      <c r="D25" s="997"/>
      <c r="E25" s="266">
        <v>1224.81</v>
      </c>
      <c r="F25" s="267"/>
      <c r="G25" s="805"/>
    </row>
    <row r="26" spans="1:33" ht="18.600000000000001" customHeight="1">
      <c r="A26" s="1038" t="s">
        <v>1029</v>
      </c>
      <c r="B26" s="1039"/>
      <c r="C26" s="1039"/>
      <c r="D26" s="1039"/>
      <c r="E26" s="266">
        <v>2830.72</v>
      </c>
      <c r="F26" s="267"/>
      <c r="G26" s="805"/>
    </row>
    <row r="27" spans="1:33" ht="18.600000000000001" customHeight="1">
      <c r="A27" s="1069" t="s">
        <v>1134</v>
      </c>
      <c r="B27" s="1070"/>
      <c r="C27" s="1070"/>
      <c r="D27" s="1070"/>
      <c r="E27" s="266">
        <v>6923.07</v>
      </c>
      <c r="F27" s="267"/>
      <c r="G27" s="805"/>
    </row>
    <row r="28" spans="1:33" ht="18.600000000000001" customHeight="1">
      <c r="A28" s="1114" t="s">
        <v>2004</v>
      </c>
      <c r="B28" s="1115"/>
      <c r="C28" s="1115"/>
      <c r="D28" s="1115"/>
      <c r="E28" s="266">
        <v>6923.65</v>
      </c>
      <c r="F28" s="267"/>
      <c r="G28" s="805"/>
    </row>
    <row r="29" spans="1:33" s="5" customFormat="1" ht="18.600000000000001" customHeight="1">
      <c r="A29" s="273"/>
      <c r="B29" s="274"/>
      <c r="C29" s="274"/>
      <c r="D29" s="274"/>
      <c r="E29" s="268"/>
      <c r="F29" s="269"/>
      <c r="G29" s="796" t="s">
        <v>602</v>
      </c>
      <c r="H29" s="795" t="s">
        <v>603</v>
      </c>
      <c r="I29" s="795" t="s">
        <v>553</v>
      </c>
      <c r="J29" s="759" t="s">
        <v>65</v>
      </c>
      <c r="Z29" s="6"/>
      <c r="AA29" s="6"/>
      <c r="AB29" s="6"/>
      <c r="AC29" s="6"/>
      <c r="AD29" s="6"/>
      <c r="AE29" s="6"/>
      <c r="AF29" s="6"/>
      <c r="AG29" s="6"/>
    </row>
    <row r="30" spans="1:33" s="5" customFormat="1" ht="24.75" customHeight="1" thickBot="1">
      <c r="A30" s="14" t="s">
        <v>2007</v>
      </c>
      <c r="B30" s="15"/>
      <c r="C30" s="15"/>
      <c r="D30" s="15"/>
      <c r="E30" s="270"/>
      <c r="F30" s="271">
        <f>SUM(E8:E29)</f>
        <v>373496.97999999986</v>
      </c>
      <c r="G30" s="5">
        <f>+F30+'Anexo 3-Porcion C-NC'!B34</f>
        <v>81461736.200000003</v>
      </c>
      <c r="H30" s="758">
        <f>+G30-F30</f>
        <v>81088239.219999999</v>
      </c>
      <c r="I30" s="5">
        <f>-'Anexo 3-Porcion C-NC'!B34</f>
        <v>-81088239.219999999</v>
      </c>
      <c r="J30" s="5">
        <f>+H30+I30</f>
        <v>0</v>
      </c>
      <c r="Z30" s="6"/>
      <c r="AA30" s="6"/>
      <c r="AB30" s="6"/>
      <c r="AC30" s="6"/>
      <c r="AD30" s="6"/>
      <c r="AE30" s="6"/>
      <c r="AF30" s="6"/>
      <c r="AG30" s="6"/>
    </row>
    <row r="31" spans="1:33" s="20" customFormat="1" ht="15.75">
      <c r="A31" s="6"/>
      <c r="B31" s="6"/>
      <c r="C31" s="16"/>
      <c r="D31" s="17"/>
      <c r="E31" s="18"/>
      <c r="F31" s="19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33" s="20" customFormat="1" ht="15.75">
      <c r="A32" s="6"/>
      <c r="B32" s="6"/>
      <c r="C32" s="16"/>
      <c r="D32" s="17"/>
      <c r="E32" s="21"/>
      <c r="F32" s="19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s="20" customFormat="1" ht="15.75">
      <c r="A33" s="6"/>
      <c r="B33" s="6"/>
      <c r="C33" s="16"/>
      <c r="D33" s="17"/>
      <c r="E33" s="22"/>
      <c r="F33" s="19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s="20" customFormat="1" ht="15.75">
      <c r="A34" s="6"/>
      <c r="B34" s="6"/>
      <c r="C34" s="16"/>
      <c r="D34" s="17"/>
      <c r="E34" s="22"/>
      <c r="F34" s="19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s="5" customFormat="1" ht="16.5" thickBot="1">
      <c r="A35" s="23"/>
      <c r="B35" s="24"/>
      <c r="C35" s="25"/>
      <c r="D35" s="134"/>
      <c r="E35" s="135"/>
      <c r="F35" s="136"/>
    </row>
    <row r="36" spans="1:25" s="5" customFormat="1" ht="15" customHeight="1">
      <c r="A36" s="1327" t="s">
        <v>135</v>
      </c>
      <c r="B36" s="1327"/>
      <c r="C36" s="1"/>
      <c r="D36" s="1327" t="s">
        <v>554</v>
      </c>
      <c r="E36" s="1327"/>
      <c r="F36" s="317"/>
    </row>
    <row r="37" spans="1:25" s="5" customFormat="1" ht="14.45" customHeight="1">
      <c r="A37" s="1325" t="s">
        <v>145</v>
      </c>
      <c r="B37" s="1325"/>
      <c r="C37" s="2"/>
      <c r="D37" s="1325" t="s">
        <v>556</v>
      </c>
      <c r="E37" s="1325"/>
      <c r="F37" s="318"/>
    </row>
    <row r="38" spans="1:25" s="5" customFormat="1" ht="15.75" customHeight="1">
      <c r="A38" s="1325" t="s">
        <v>48</v>
      </c>
      <c r="B38" s="1325"/>
      <c r="C38" s="2"/>
      <c r="D38" s="1325" t="s">
        <v>48</v>
      </c>
      <c r="E38" s="1325"/>
      <c r="F38" s="318"/>
    </row>
    <row r="39" spans="1:25" s="20" customFormat="1" ht="15.75" customHeight="1">
      <c r="A39" s="6"/>
      <c r="B39" s="6"/>
      <c r="C39" s="16"/>
      <c r="D39" s="1326" t="s">
        <v>555</v>
      </c>
      <c r="E39" s="1326"/>
      <c r="F39" s="318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s="20" customFormat="1" ht="15.75">
      <c r="A41" s="6"/>
      <c r="B41" s="6"/>
      <c r="C41" s="16"/>
      <c r="D41" s="17"/>
      <c r="E41" s="22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s="20" customFormat="1" ht="15.75">
      <c r="A42" s="27"/>
      <c r="B42" s="27"/>
      <c r="C42" s="27"/>
      <c r="D42" s="27"/>
      <c r="E42" s="27"/>
      <c r="F42" s="19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s="5" customFormat="1" ht="15.75">
      <c r="A43" s="27"/>
      <c r="B43" s="27"/>
      <c r="C43" s="27"/>
      <c r="D43" s="27"/>
      <c r="E43" s="27"/>
      <c r="F43" s="26"/>
    </row>
    <row r="44" spans="1:25" s="5" customFormat="1" ht="15" customHeight="1">
      <c r="A44" s="27"/>
      <c r="B44" s="27"/>
      <c r="C44" s="27"/>
      <c r="D44" s="27"/>
      <c r="E44" s="27"/>
      <c r="F44" s="26"/>
    </row>
    <row r="45" spans="1:25" s="5" customFormat="1" ht="14.45" customHeight="1">
      <c r="A45" s="27"/>
      <c r="B45" s="27"/>
      <c r="C45" s="27"/>
      <c r="D45" s="27"/>
      <c r="E45" s="27"/>
      <c r="F45" s="26"/>
    </row>
    <row r="46" spans="1:25" s="5" customFormat="1" ht="14.45" customHeight="1">
      <c r="A46" s="27"/>
      <c r="B46" s="27"/>
      <c r="C46" s="27"/>
      <c r="D46" s="27"/>
      <c r="E46" s="27"/>
      <c r="F46" s="26"/>
    </row>
    <row r="47" spans="1:25" s="20" customFormat="1" ht="15.75">
      <c r="A47" s="27"/>
      <c r="B47" s="27"/>
      <c r="C47" s="27"/>
      <c r="D47" s="27"/>
      <c r="E47" s="27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s="20" customFormat="1" ht="15.75">
      <c r="A48" s="6"/>
      <c r="B48" s="6"/>
      <c r="C48" s="16"/>
      <c r="D48" s="17"/>
      <c r="E48" s="6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6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6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6"/>
      <c r="B51" s="6"/>
      <c r="C51" s="16"/>
      <c r="D51" s="17"/>
      <c r="E51" s="6"/>
      <c r="F51" s="19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20" customFormat="1" ht="15.75">
      <c r="A52" s="6"/>
      <c r="B52" s="6"/>
      <c r="C52" s="16"/>
      <c r="D52" s="17"/>
      <c r="E52" s="6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6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89.25" customHeight="1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89.25" customHeight="1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89.25" customHeight="1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89.25" customHeight="1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89.25" customHeight="1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89.25" customHeight="1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</sheetData>
  <mergeCells count="15">
    <mergeCell ref="A9:D9"/>
    <mergeCell ref="A1:F3"/>
    <mergeCell ref="A4:F4"/>
    <mergeCell ref="A5:F5"/>
    <mergeCell ref="A6:E6"/>
    <mergeCell ref="A8:D8"/>
    <mergeCell ref="A10:D10"/>
    <mergeCell ref="D39:E39"/>
    <mergeCell ref="A11:D11"/>
    <mergeCell ref="A36:B36"/>
    <mergeCell ref="D36:E36"/>
    <mergeCell ref="A37:B37"/>
    <mergeCell ref="D37:E37"/>
    <mergeCell ref="A38:B38"/>
    <mergeCell ref="D38:E38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8"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36">
    <tabColor rgb="FF00B0F0"/>
    <pageSetUpPr fitToPage="1"/>
  </sheetPr>
  <dimension ref="A1:AG222"/>
  <sheetViews>
    <sheetView showGridLines="0" topLeftCell="A10" zoomScale="80" zoomScaleNormal="80" workbookViewId="0">
      <selection activeCell="I36" sqref="I36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7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1" t="s">
        <v>2027</v>
      </c>
      <c r="B1" s="1331"/>
      <c r="C1" s="1331"/>
      <c r="D1" s="1331"/>
      <c r="E1" s="1331"/>
      <c r="F1" s="133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1"/>
      <c r="B2" s="1331"/>
      <c r="C2" s="1331"/>
      <c r="D2" s="1331"/>
      <c r="E2" s="1331"/>
      <c r="F2" s="133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31"/>
      <c r="B3" s="1331"/>
      <c r="C3" s="1331"/>
      <c r="D3" s="1331"/>
      <c r="E3" s="1331"/>
      <c r="F3" s="133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314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F28</f>
        <v>8179302</v>
      </c>
      <c r="I8" s="13"/>
      <c r="J8" s="12"/>
    </row>
    <row r="9" spans="1:25" ht="18.600000000000001" customHeight="1">
      <c r="A9" s="1316" t="s">
        <v>313</v>
      </c>
      <c r="B9" s="1317"/>
      <c r="C9" s="1317"/>
      <c r="D9" s="1317"/>
      <c r="E9" s="266">
        <v>112185</v>
      </c>
      <c r="F9" s="267"/>
    </row>
    <row r="10" spans="1:25" ht="18.600000000000001" customHeight="1">
      <c r="A10" s="553" t="s">
        <v>371</v>
      </c>
      <c r="B10" s="554"/>
      <c r="C10" s="554"/>
      <c r="D10" s="554"/>
      <c r="E10" s="266">
        <v>695680</v>
      </c>
      <c r="F10" s="267"/>
    </row>
    <row r="11" spans="1:25" ht="18.600000000000001" customHeight="1">
      <c r="A11" s="584" t="s">
        <v>433</v>
      </c>
      <c r="B11" s="585"/>
      <c r="C11" s="585"/>
      <c r="D11" s="585"/>
      <c r="E11" s="266">
        <v>696487</v>
      </c>
      <c r="F11" s="267"/>
    </row>
    <row r="12" spans="1:25" ht="18.600000000000001" customHeight="1">
      <c r="A12" s="663" t="s">
        <v>471</v>
      </c>
      <c r="B12" s="664"/>
      <c r="C12" s="664"/>
      <c r="D12" s="664"/>
      <c r="E12" s="266">
        <v>697294</v>
      </c>
      <c r="F12" s="267"/>
    </row>
    <row r="13" spans="1:25" ht="18.600000000000001" customHeight="1">
      <c r="A13" s="686" t="s">
        <v>508</v>
      </c>
      <c r="B13" s="687"/>
      <c r="C13" s="687"/>
      <c r="D13" s="687"/>
      <c r="E13" s="266">
        <v>698102</v>
      </c>
      <c r="F13" s="267"/>
    </row>
    <row r="14" spans="1:25" ht="18.600000000000001" customHeight="1">
      <c r="A14" s="706" t="s">
        <v>518</v>
      </c>
      <c r="B14" s="707"/>
      <c r="C14" s="707"/>
      <c r="D14" s="707"/>
      <c r="E14" s="266">
        <v>751646</v>
      </c>
      <c r="F14" s="267"/>
    </row>
    <row r="15" spans="1:25" ht="18.600000000000001" customHeight="1">
      <c r="A15" s="742" t="s">
        <v>552</v>
      </c>
      <c r="B15" s="743"/>
      <c r="C15" s="743"/>
      <c r="D15" s="743"/>
      <c r="E15" s="266">
        <v>1351575</v>
      </c>
      <c r="F15" s="267"/>
    </row>
    <row r="16" spans="1:25" ht="18.600000000000001" customHeight="1">
      <c r="A16" s="760" t="s">
        <v>557</v>
      </c>
      <c r="B16" s="761"/>
      <c r="C16" s="761"/>
      <c r="D16" s="761"/>
      <c r="E16" s="266">
        <v>1156501</v>
      </c>
      <c r="F16" s="267"/>
    </row>
    <row r="17" spans="1:33" ht="18.600000000000001" customHeight="1">
      <c r="A17" s="793" t="s">
        <v>604</v>
      </c>
      <c r="B17" s="794"/>
      <c r="C17" s="794"/>
      <c r="D17" s="794"/>
      <c r="E17" s="266">
        <v>296007</v>
      </c>
      <c r="F17" s="267"/>
    </row>
    <row r="18" spans="1:33" ht="18.600000000000001" customHeight="1">
      <c r="A18" s="816" t="s">
        <v>698</v>
      </c>
      <c r="B18" s="817"/>
      <c r="C18" s="817"/>
      <c r="D18" s="817"/>
      <c r="E18" s="266">
        <v>75762</v>
      </c>
      <c r="F18" s="267"/>
    </row>
    <row r="19" spans="1:33" ht="18.600000000000001" customHeight="1">
      <c r="A19" s="835" t="s">
        <v>743</v>
      </c>
      <c r="B19" s="836"/>
      <c r="C19" s="836"/>
      <c r="D19" s="836"/>
      <c r="E19" s="266">
        <v>75949</v>
      </c>
      <c r="F19" s="267"/>
    </row>
    <row r="20" spans="1:33" ht="18.600000000000001" customHeight="1">
      <c r="A20" s="915" t="s">
        <v>819</v>
      </c>
      <c r="B20" s="916"/>
      <c r="C20" s="916"/>
      <c r="D20" s="916"/>
      <c r="E20" s="266">
        <v>126244</v>
      </c>
      <c r="F20" s="267"/>
    </row>
    <row r="21" spans="1:33" ht="18.600000000000001" customHeight="1">
      <c r="A21" s="952" t="s">
        <v>867</v>
      </c>
      <c r="B21" s="953"/>
      <c r="C21" s="953"/>
      <c r="D21" s="953"/>
      <c r="E21" s="266">
        <v>163098</v>
      </c>
      <c r="F21" s="267"/>
    </row>
    <row r="22" spans="1:33" ht="18.600000000000001" customHeight="1">
      <c r="A22" s="965" t="s">
        <v>901</v>
      </c>
      <c r="B22" s="966"/>
      <c r="C22" s="966"/>
      <c r="D22" s="966"/>
      <c r="E22" s="266">
        <v>163956</v>
      </c>
      <c r="F22" s="267"/>
    </row>
    <row r="23" spans="1:33" ht="18.600000000000001" customHeight="1">
      <c r="A23" s="996" t="s">
        <v>1008</v>
      </c>
      <c r="B23" s="997"/>
      <c r="C23" s="997"/>
      <c r="D23" s="997"/>
      <c r="E23" s="266">
        <v>186979</v>
      </c>
      <c r="F23" s="267"/>
    </row>
    <row r="24" spans="1:33" ht="18.600000000000001" customHeight="1">
      <c r="A24" s="1038" t="s">
        <v>1029</v>
      </c>
      <c r="B24" s="1039"/>
      <c r="C24" s="1039"/>
      <c r="D24" s="1039"/>
      <c r="E24" s="266">
        <v>196205</v>
      </c>
      <c r="F24" s="267"/>
    </row>
    <row r="25" spans="1:33" ht="18.600000000000001" customHeight="1">
      <c r="A25" s="1069" t="s">
        <v>1134</v>
      </c>
      <c r="B25" s="1070"/>
      <c r="C25" s="1070"/>
      <c r="D25" s="1070"/>
      <c r="E25" s="266">
        <f>323555+100</f>
        <v>323655</v>
      </c>
      <c r="F25" s="267"/>
    </row>
    <row r="26" spans="1:33" ht="18.600000000000001" customHeight="1">
      <c r="A26" s="1114" t="s">
        <v>2004</v>
      </c>
      <c r="B26" s="1115"/>
      <c r="C26" s="1115"/>
      <c r="D26" s="1115"/>
      <c r="E26" s="266">
        <v>411977</v>
      </c>
      <c r="F26" s="267"/>
    </row>
    <row r="27" spans="1:33" s="5" customFormat="1" ht="18.600000000000001" customHeight="1">
      <c r="A27" s="273"/>
      <c r="B27" s="274"/>
      <c r="C27" s="274"/>
      <c r="D27" s="274"/>
      <c r="E27" s="268"/>
      <c r="F27" s="269"/>
      <c r="G27" s="796" t="s">
        <v>602</v>
      </c>
      <c r="H27" s="795" t="s">
        <v>603</v>
      </c>
      <c r="I27" s="795" t="s">
        <v>553</v>
      </c>
      <c r="J27" s="759" t="s">
        <v>65</v>
      </c>
      <c r="Z27" s="6"/>
      <c r="AA27" s="6"/>
      <c r="AB27" s="6"/>
      <c r="AC27" s="6"/>
      <c r="AD27" s="6"/>
      <c r="AE27" s="6"/>
      <c r="AF27" s="6"/>
      <c r="AG27" s="6"/>
    </row>
    <row r="28" spans="1:33" s="5" customFormat="1" ht="24.75" customHeight="1" thickBot="1">
      <c r="A28" s="14" t="s">
        <v>2007</v>
      </c>
      <c r="B28" s="15"/>
      <c r="C28" s="15"/>
      <c r="D28" s="15"/>
      <c r="E28" s="270"/>
      <c r="F28" s="271">
        <f>SUM(E8:E27)</f>
        <v>8179302</v>
      </c>
      <c r="G28" s="5">
        <f>+F28+'Anexo 3-Porcion C-NC'!B35</f>
        <v>64443245</v>
      </c>
      <c r="H28" s="758">
        <f>+G28-F28</f>
        <v>56263943</v>
      </c>
      <c r="I28" s="5">
        <f>-'Anexo 3-Porcion C-NC'!B35</f>
        <v>-56263943</v>
      </c>
      <c r="J28" s="5">
        <f>+H28+I28</f>
        <v>0</v>
      </c>
      <c r="Z28" s="6"/>
      <c r="AA28" s="6"/>
      <c r="AB28" s="6"/>
      <c r="AC28" s="6"/>
      <c r="AD28" s="6"/>
      <c r="AE28" s="6"/>
      <c r="AF28" s="6"/>
      <c r="AG28" s="6"/>
    </row>
    <row r="29" spans="1:33" s="20" customFormat="1" ht="15.75">
      <c r="A29" s="6"/>
      <c r="B29" s="6"/>
      <c r="C29" s="16"/>
      <c r="D29" s="17"/>
      <c r="E29" s="18"/>
      <c r="F29" s="19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33" s="20" customFormat="1" ht="15.75">
      <c r="A30" s="6"/>
      <c r="B30" s="6"/>
      <c r="C30" s="16"/>
      <c r="D30" s="17"/>
      <c r="E30" s="21"/>
      <c r="F30" s="19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33" s="20" customFormat="1" ht="15.75">
      <c r="A31" s="6"/>
      <c r="B31" s="6"/>
      <c r="C31" s="16"/>
      <c r="D31" s="17"/>
      <c r="E31" s="22"/>
      <c r="F31" s="19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33" s="20" customFormat="1" ht="15.75">
      <c r="A32" s="6"/>
      <c r="B32" s="6"/>
      <c r="C32" s="16"/>
      <c r="D32" s="17"/>
      <c r="E32" s="22"/>
      <c r="F32" s="19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s="5" customFormat="1" ht="16.5" thickBot="1">
      <c r="A33" s="23"/>
      <c r="B33" s="24"/>
      <c r="C33" s="25"/>
      <c r="D33" s="134"/>
      <c r="E33" s="135"/>
      <c r="F33" s="136"/>
    </row>
    <row r="34" spans="1:25" s="5" customFormat="1" ht="15" customHeight="1">
      <c r="A34" s="1327" t="s">
        <v>135</v>
      </c>
      <c r="B34" s="1327"/>
      <c r="C34" s="1"/>
      <c r="D34" s="1327" t="s">
        <v>554</v>
      </c>
      <c r="E34" s="1327"/>
      <c r="F34" s="370"/>
    </row>
    <row r="35" spans="1:25" s="5" customFormat="1" ht="14.45" customHeight="1">
      <c r="A35" s="1325" t="s">
        <v>145</v>
      </c>
      <c r="B35" s="1325"/>
      <c r="C35" s="2"/>
      <c r="D35" s="1325" t="s">
        <v>556</v>
      </c>
      <c r="E35" s="1325"/>
      <c r="F35" s="371"/>
    </row>
    <row r="36" spans="1:25" s="5" customFormat="1" ht="15.75" customHeight="1">
      <c r="A36" s="1325" t="s">
        <v>48</v>
      </c>
      <c r="B36" s="1325"/>
      <c r="C36" s="2"/>
      <c r="D36" s="1325" t="s">
        <v>48</v>
      </c>
      <c r="E36" s="1325"/>
      <c r="F36" s="371"/>
    </row>
    <row r="37" spans="1:25" s="20" customFormat="1" ht="15.75" customHeight="1">
      <c r="A37" s="6"/>
      <c r="B37" s="6"/>
      <c r="C37" s="16"/>
      <c r="D37" s="1326" t="s">
        <v>555</v>
      </c>
      <c r="E37" s="1326"/>
      <c r="F37" s="371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s="20" customFormat="1" ht="15.75">
      <c r="A38" s="6"/>
      <c r="B38" s="6"/>
      <c r="C38" s="16"/>
      <c r="D38" s="17"/>
      <c r="E38" s="22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s="20" customFormat="1" ht="15.75">
      <c r="A40" s="27"/>
      <c r="B40" s="27"/>
      <c r="C40" s="27"/>
      <c r="D40" s="27"/>
      <c r="E40" s="27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s="5" customFormat="1" ht="15.75">
      <c r="A41" s="27"/>
      <c r="B41" s="27"/>
      <c r="C41" s="27"/>
      <c r="D41" s="27"/>
      <c r="E41" s="27"/>
      <c r="F41" s="26"/>
    </row>
    <row r="42" spans="1:25" s="5" customFormat="1" ht="15" customHeight="1">
      <c r="A42" s="27"/>
      <c r="B42" s="27"/>
      <c r="C42" s="27"/>
      <c r="D42" s="27"/>
      <c r="E42" s="27"/>
      <c r="F42" s="26"/>
    </row>
    <row r="43" spans="1:25" s="5" customFormat="1" ht="14.45" customHeight="1">
      <c r="A43" s="27"/>
      <c r="B43" s="27"/>
      <c r="C43" s="27"/>
      <c r="D43" s="27"/>
      <c r="E43" s="27"/>
      <c r="F43" s="26"/>
    </row>
    <row r="44" spans="1:25" s="5" customFormat="1" ht="14.45" customHeight="1">
      <c r="A44" s="27"/>
      <c r="B44" s="27"/>
      <c r="C44" s="27"/>
      <c r="D44" s="27"/>
      <c r="E44" s="27"/>
      <c r="F44" s="26"/>
    </row>
    <row r="45" spans="1:25" s="20" customFormat="1" ht="15.75">
      <c r="A45" s="27"/>
      <c r="B45" s="27"/>
      <c r="C45" s="27"/>
      <c r="D45" s="27"/>
      <c r="E45" s="27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s="20" customFormat="1" ht="15.75">
      <c r="A46" s="6"/>
      <c r="B46" s="6"/>
      <c r="C46" s="16"/>
      <c r="D46" s="17"/>
      <c r="E46" s="6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s="20" customFormat="1" ht="15.75">
      <c r="A47" s="6"/>
      <c r="B47" s="6"/>
      <c r="C47" s="16"/>
      <c r="D47" s="17"/>
      <c r="E47" s="6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s="20" customFormat="1" ht="15.75">
      <c r="A48" s="6"/>
      <c r="B48" s="6"/>
      <c r="C48" s="16"/>
      <c r="D48" s="17"/>
      <c r="E48" s="6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6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6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6"/>
      <c r="B51" s="6"/>
      <c r="C51" s="16"/>
      <c r="D51" s="17"/>
      <c r="E51" s="6"/>
      <c r="F51" s="19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20" customFormat="1" ht="15.75">
      <c r="A52" s="6"/>
      <c r="B52" s="6"/>
      <c r="C52" s="16"/>
      <c r="D52" s="17"/>
      <c r="E52" s="6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6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89.25" customHeight="1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89.25" customHeight="1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89.25" customHeight="1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89.25" customHeight="1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89.25" customHeight="1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89.25" customHeight="1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89.25" customHeight="1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89.25" customHeight="1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</sheetData>
  <mergeCells count="13">
    <mergeCell ref="A1:F3"/>
    <mergeCell ref="A4:F4"/>
    <mergeCell ref="A5:F5"/>
    <mergeCell ref="A6:E6"/>
    <mergeCell ref="A8:D8"/>
    <mergeCell ref="D37:E37"/>
    <mergeCell ref="A9:D9"/>
    <mergeCell ref="A34:B34"/>
    <mergeCell ref="D34:E34"/>
    <mergeCell ref="A35:B35"/>
    <mergeCell ref="D35:E35"/>
    <mergeCell ref="A36:B36"/>
    <mergeCell ref="D36:E36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61" orientation="landscape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37">
    <tabColor rgb="FF00B0F0"/>
    <pageSetUpPr fitToPage="1"/>
  </sheetPr>
  <dimension ref="A1:AG222"/>
  <sheetViews>
    <sheetView showGridLines="0" topLeftCell="A19" zoomScale="80" zoomScaleNormal="80" workbookViewId="0">
      <selection activeCell="I36" sqref="I36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1" t="s">
        <v>2028</v>
      </c>
      <c r="B1" s="1331"/>
      <c r="C1" s="1331"/>
      <c r="D1" s="1331"/>
      <c r="E1" s="1331"/>
      <c r="F1" s="133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1"/>
      <c r="B2" s="1331"/>
      <c r="C2" s="1331"/>
      <c r="D2" s="1331"/>
      <c r="E2" s="1331"/>
      <c r="F2" s="133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31"/>
      <c r="B3" s="1331"/>
      <c r="C3" s="1331"/>
      <c r="D3" s="1331"/>
      <c r="E3" s="1331"/>
      <c r="F3" s="133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22" t="s">
        <v>205</v>
      </c>
      <c r="B4" s="1322"/>
      <c r="C4" s="1322"/>
      <c r="D4" s="1322"/>
      <c r="E4" s="1322"/>
      <c r="F4" s="1322"/>
    </row>
    <row r="5" spans="1:25" ht="30" customHeight="1" thickBot="1">
      <c r="A5" s="1322" t="s">
        <v>315</v>
      </c>
      <c r="B5" s="1322"/>
      <c r="C5" s="1322"/>
      <c r="D5" s="1322"/>
      <c r="E5" s="1322"/>
      <c r="F5" s="1322"/>
    </row>
    <row r="6" spans="1:25" ht="30" customHeight="1" thickBot="1">
      <c r="A6" s="1329" t="s">
        <v>1</v>
      </c>
      <c r="B6" s="1330"/>
      <c r="C6" s="1330"/>
      <c r="D6" s="1330"/>
      <c r="E6" s="1330"/>
      <c r="F6" s="7" t="s">
        <v>2</v>
      </c>
    </row>
    <row r="7" spans="1:25" ht="18.600000000000001" customHeight="1">
      <c r="A7" s="8"/>
      <c r="B7" s="9"/>
      <c r="C7" s="9"/>
      <c r="D7" s="9"/>
      <c r="E7" s="10"/>
      <c r="F7" s="11"/>
      <c r="I7" s="12"/>
      <c r="J7" s="12"/>
    </row>
    <row r="8" spans="1:25" ht="18.600000000000001" customHeight="1">
      <c r="A8" s="1320" t="s">
        <v>2006</v>
      </c>
      <c r="B8" s="1321"/>
      <c r="C8" s="1321"/>
      <c r="D8" s="1321"/>
      <c r="E8" s="264"/>
      <c r="F8" s="265">
        <f>F28</f>
        <v>2706500</v>
      </c>
      <c r="I8" s="13"/>
      <c r="J8" s="12"/>
    </row>
    <row r="9" spans="1:25" ht="18.600000000000001" customHeight="1">
      <c r="A9" s="1316" t="s">
        <v>313</v>
      </c>
      <c r="B9" s="1317"/>
      <c r="C9" s="1317"/>
      <c r="D9" s="1317"/>
      <c r="E9" s="266">
        <v>0</v>
      </c>
      <c r="F9" s="267"/>
    </row>
    <row r="10" spans="1:25" ht="18.600000000000001" customHeight="1">
      <c r="A10" s="553" t="s">
        <v>371</v>
      </c>
      <c r="B10" s="554"/>
      <c r="C10" s="554"/>
      <c r="D10" s="554"/>
      <c r="E10" s="266">
        <v>0</v>
      </c>
      <c r="F10" s="267"/>
    </row>
    <row r="11" spans="1:25" ht="18.600000000000001" customHeight="1">
      <c r="A11" s="584" t="s">
        <v>433</v>
      </c>
      <c r="B11" s="585"/>
      <c r="C11" s="585"/>
      <c r="D11" s="585"/>
      <c r="E11" s="266">
        <v>269245</v>
      </c>
      <c r="F11" s="267"/>
    </row>
    <row r="12" spans="1:25" ht="18.600000000000001" customHeight="1">
      <c r="A12" s="663" t="s">
        <v>471</v>
      </c>
      <c r="B12" s="664"/>
      <c r="C12" s="664"/>
      <c r="D12" s="664"/>
      <c r="E12" s="266">
        <v>348087</v>
      </c>
      <c r="F12" s="267"/>
    </row>
    <row r="13" spans="1:25" ht="18.600000000000001" customHeight="1">
      <c r="A13" s="686" t="s">
        <v>508</v>
      </c>
      <c r="B13" s="687"/>
      <c r="C13" s="687"/>
      <c r="D13" s="687"/>
      <c r="E13" s="266">
        <v>348491</v>
      </c>
      <c r="F13" s="267"/>
    </row>
    <row r="14" spans="1:25" ht="18.600000000000001" customHeight="1">
      <c r="A14" s="706" t="s">
        <v>518</v>
      </c>
      <c r="B14" s="707"/>
      <c r="C14" s="707"/>
      <c r="D14" s="707"/>
      <c r="E14" s="266">
        <v>375219</v>
      </c>
      <c r="F14" s="267"/>
    </row>
    <row r="15" spans="1:25" ht="18.600000000000001" customHeight="1">
      <c r="A15" s="742" t="s">
        <v>552</v>
      </c>
      <c r="B15" s="743"/>
      <c r="C15" s="743"/>
      <c r="D15" s="743"/>
      <c r="E15" s="266">
        <v>674703</v>
      </c>
      <c r="F15" s="267"/>
    </row>
    <row r="16" spans="1:25" ht="18.600000000000001" customHeight="1">
      <c r="A16" s="760" t="s">
        <v>557</v>
      </c>
      <c r="B16" s="761"/>
      <c r="C16" s="761"/>
      <c r="D16" s="761"/>
      <c r="E16" s="266">
        <v>232519</v>
      </c>
      <c r="F16" s="267"/>
    </row>
    <row r="17" spans="1:33" ht="18.600000000000001" customHeight="1">
      <c r="A17" s="793" t="s">
        <v>604</v>
      </c>
      <c r="B17" s="794"/>
      <c r="C17" s="794"/>
      <c r="D17" s="794"/>
      <c r="E17" s="266">
        <v>23504</v>
      </c>
      <c r="F17" s="267"/>
    </row>
    <row r="18" spans="1:33" ht="18.600000000000001" customHeight="1">
      <c r="A18" s="816" t="s">
        <v>698</v>
      </c>
      <c r="B18" s="817"/>
      <c r="C18" s="817"/>
      <c r="D18" s="817"/>
      <c r="E18" s="266">
        <v>23562</v>
      </c>
      <c r="F18" s="267"/>
    </row>
    <row r="19" spans="1:33" ht="18.600000000000001" customHeight="1">
      <c r="A19" s="835" t="s">
        <v>743</v>
      </c>
      <c r="B19" s="836"/>
      <c r="C19" s="836"/>
      <c r="D19" s="836"/>
      <c r="E19" s="266">
        <v>23620</v>
      </c>
      <c r="F19" s="267"/>
    </row>
    <row r="20" spans="1:33" ht="18.600000000000001" customHeight="1">
      <c r="A20" s="915" t="s">
        <v>819</v>
      </c>
      <c r="B20" s="916"/>
      <c r="C20" s="916"/>
      <c r="D20" s="916"/>
      <c r="E20" s="266">
        <v>39262</v>
      </c>
      <c r="F20" s="267"/>
    </row>
    <row r="21" spans="1:33" ht="18.600000000000001" customHeight="1">
      <c r="A21" s="952" t="s">
        <v>867</v>
      </c>
      <c r="B21" s="953"/>
      <c r="C21" s="953"/>
      <c r="D21" s="953"/>
      <c r="E21" s="266">
        <v>50724</v>
      </c>
      <c r="F21" s="267"/>
    </row>
    <row r="22" spans="1:33" ht="18.600000000000001" customHeight="1">
      <c r="A22" s="965" t="s">
        <v>901</v>
      </c>
      <c r="B22" s="966"/>
      <c r="C22" s="966"/>
      <c r="D22" s="966"/>
      <c r="E22" s="266">
        <v>50991</v>
      </c>
      <c r="F22" s="267"/>
    </row>
    <row r="23" spans="1:33" ht="18.600000000000001" customHeight="1">
      <c r="A23" s="996" t="s">
        <v>1008</v>
      </c>
      <c r="B23" s="997"/>
      <c r="C23" s="997"/>
      <c r="D23" s="997"/>
      <c r="E23" s="266">
        <v>58151</v>
      </c>
      <c r="F23" s="267"/>
    </row>
    <row r="24" spans="1:33" ht="18.600000000000001" customHeight="1">
      <c r="A24" s="1038" t="s">
        <v>1029</v>
      </c>
      <c r="B24" s="1039"/>
      <c r="C24" s="1039"/>
      <c r="D24" s="1039"/>
      <c r="E24" s="266">
        <v>61020</v>
      </c>
      <c r="F24" s="267"/>
    </row>
    <row r="25" spans="1:33" ht="18.600000000000001" customHeight="1">
      <c r="A25" s="1069" t="s">
        <v>1134</v>
      </c>
      <c r="B25" s="1070"/>
      <c r="C25" s="1070"/>
      <c r="D25" s="1070"/>
      <c r="E25" s="266">
        <f>63447+100</f>
        <v>63547</v>
      </c>
      <c r="F25" s="267"/>
    </row>
    <row r="26" spans="1:33" ht="18.600000000000001" customHeight="1">
      <c r="A26" s="1114" t="s">
        <v>2004</v>
      </c>
      <c r="B26" s="1115"/>
      <c r="C26" s="1115"/>
      <c r="D26" s="1115"/>
      <c r="E26" s="266">
        <v>63855</v>
      </c>
      <c r="F26" s="267"/>
    </row>
    <row r="27" spans="1:33" s="5" customFormat="1" ht="18.600000000000001" customHeight="1">
      <c r="A27" s="273"/>
      <c r="B27" s="274"/>
      <c r="C27" s="274"/>
      <c r="D27" s="274"/>
      <c r="E27" s="268"/>
      <c r="F27" s="269"/>
      <c r="G27" s="796" t="s">
        <v>602</v>
      </c>
      <c r="H27" s="795" t="s">
        <v>603</v>
      </c>
      <c r="I27" s="795" t="s">
        <v>553</v>
      </c>
      <c r="J27" s="759" t="s">
        <v>65</v>
      </c>
      <c r="Z27" s="6"/>
      <c r="AA27" s="6"/>
      <c r="AB27" s="6"/>
      <c r="AC27" s="6"/>
      <c r="AD27" s="6"/>
      <c r="AE27" s="6"/>
      <c r="AF27" s="6"/>
      <c r="AG27" s="6"/>
    </row>
    <row r="28" spans="1:33" s="5" customFormat="1" ht="24.75" customHeight="1" thickBot="1">
      <c r="A28" s="14" t="s">
        <v>2007</v>
      </c>
      <c r="B28" s="15"/>
      <c r="C28" s="15"/>
      <c r="D28" s="15"/>
      <c r="E28" s="270"/>
      <c r="F28" s="271">
        <f>SUM(E8:E27)</f>
        <v>2706500</v>
      </c>
      <c r="G28" s="5">
        <f>+F28+'Anexo 3-Porcion C-NC'!H36</f>
        <v>9988550</v>
      </c>
      <c r="H28" s="758">
        <f>+G28-F28</f>
        <v>7282050</v>
      </c>
      <c r="I28" s="5">
        <f>-'Anexo 3-Porcion C-NC'!B36</f>
        <v>-7282050</v>
      </c>
      <c r="J28" s="5">
        <f>+H28+I28</f>
        <v>0</v>
      </c>
      <c r="Z28" s="6"/>
      <c r="AA28" s="6"/>
      <c r="AB28" s="6"/>
      <c r="AC28" s="6"/>
      <c r="AD28" s="6"/>
      <c r="AE28" s="6"/>
      <c r="AF28" s="6"/>
      <c r="AG28" s="6"/>
    </row>
    <row r="29" spans="1:33" s="20" customFormat="1" ht="15.75">
      <c r="A29" s="6"/>
      <c r="B29" s="6"/>
      <c r="C29" s="16"/>
      <c r="D29" s="17"/>
      <c r="E29" s="18"/>
      <c r="F29" s="19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33" s="20" customFormat="1" ht="15.75">
      <c r="A30" s="6"/>
      <c r="B30" s="6"/>
      <c r="C30" s="16"/>
      <c r="D30" s="17"/>
      <c r="E30" s="21"/>
      <c r="F30" s="19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33" s="20" customFormat="1" ht="15.75">
      <c r="A31" s="6"/>
      <c r="B31" s="6"/>
      <c r="C31" s="16"/>
      <c r="D31" s="17"/>
      <c r="E31" s="22"/>
      <c r="F31" s="19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33" s="20" customFormat="1" ht="15.75">
      <c r="A32" s="6"/>
      <c r="B32" s="6"/>
      <c r="C32" s="16"/>
      <c r="D32" s="17"/>
      <c r="E32" s="22"/>
      <c r="F32" s="19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s="5" customFormat="1" ht="16.5" thickBot="1">
      <c r="A33" s="23"/>
      <c r="B33" s="24"/>
      <c r="C33" s="25"/>
      <c r="D33" s="134"/>
      <c r="E33" s="135"/>
      <c r="F33" s="136"/>
    </row>
    <row r="34" spans="1:25" s="5" customFormat="1" ht="15" customHeight="1">
      <c r="A34" s="1327" t="s">
        <v>135</v>
      </c>
      <c r="B34" s="1327"/>
      <c r="C34" s="1"/>
      <c r="D34" s="1327" t="s">
        <v>554</v>
      </c>
      <c r="E34" s="1327"/>
      <c r="F34" s="370"/>
    </row>
    <row r="35" spans="1:25" s="5" customFormat="1" ht="14.45" customHeight="1">
      <c r="A35" s="1325" t="s">
        <v>145</v>
      </c>
      <c r="B35" s="1325"/>
      <c r="C35" s="2"/>
      <c r="D35" s="1325" t="s">
        <v>556</v>
      </c>
      <c r="E35" s="1325"/>
      <c r="F35" s="371"/>
    </row>
    <row r="36" spans="1:25" s="5" customFormat="1" ht="15.75" customHeight="1">
      <c r="A36" s="1325" t="s">
        <v>48</v>
      </c>
      <c r="B36" s="1325"/>
      <c r="C36" s="2"/>
      <c r="D36" s="1325" t="s">
        <v>48</v>
      </c>
      <c r="E36" s="1325"/>
      <c r="F36" s="371"/>
    </row>
    <row r="37" spans="1:25" s="20" customFormat="1" ht="15.75" customHeight="1">
      <c r="A37" s="6"/>
      <c r="B37" s="6"/>
      <c r="C37" s="16"/>
      <c r="D37" s="1326" t="s">
        <v>555</v>
      </c>
      <c r="E37" s="1326"/>
      <c r="F37" s="371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s="20" customFormat="1" ht="15.75">
      <c r="A38" s="6"/>
      <c r="B38" s="6"/>
      <c r="C38" s="16"/>
      <c r="D38" s="17"/>
      <c r="E38" s="22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s="20" customFormat="1" ht="15.75">
      <c r="A40" s="27"/>
      <c r="B40" s="27"/>
      <c r="C40" s="27"/>
      <c r="D40" s="27"/>
      <c r="E40" s="27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s="5" customFormat="1" ht="15.75">
      <c r="A41" s="27"/>
      <c r="B41" s="27"/>
      <c r="C41" s="27"/>
      <c r="D41" s="27"/>
      <c r="E41" s="27"/>
      <c r="F41" s="26"/>
    </row>
    <row r="42" spans="1:25" s="5" customFormat="1" ht="15" customHeight="1">
      <c r="A42" s="27"/>
      <c r="B42" s="27"/>
      <c r="C42" s="27"/>
      <c r="D42" s="27"/>
      <c r="E42" s="27"/>
      <c r="F42" s="26"/>
    </row>
    <row r="43" spans="1:25" s="5" customFormat="1" ht="14.45" customHeight="1">
      <c r="A43" s="27"/>
      <c r="B43" s="27"/>
      <c r="C43" s="27"/>
      <c r="D43" s="27"/>
      <c r="E43" s="27"/>
      <c r="F43" s="26"/>
    </row>
    <row r="44" spans="1:25" s="5" customFormat="1" ht="14.45" customHeight="1">
      <c r="A44" s="27"/>
      <c r="B44" s="27"/>
      <c r="C44" s="27"/>
      <c r="D44" s="27"/>
      <c r="E44" s="27"/>
      <c r="F44" s="26"/>
    </row>
    <row r="45" spans="1:25" s="20" customFormat="1" ht="15.75">
      <c r="A45" s="27"/>
      <c r="B45" s="27"/>
      <c r="C45" s="27"/>
      <c r="D45" s="27"/>
      <c r="E45" s="27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s="20" customFormat="1" ht="15.75">
      <c r="A46" s="6"/>
      <c r="B46" s="6"/>
      <c r="C46" s="16"/>
      <c r="D46" s="17"/>
      <c r="E46" s="6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s="20" customFormat="1" ht="15.75">
      <c r="A47" s="6"/>
      <c r="B47" s="6"/>
      <c r="C47" s="16"/>
      <c r="D47" s="17"/>
      <c r="E47" s="6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s="20" customFormat="1" ht="15.75">
      <c r="A48" s="6"/>
      <c r="B48" s="6"/>
      <c r="C48" s="16"/>
      <c r="D48" s="17"/>
      <c r="E48" s="6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6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6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6"/>
      <c r="B51" s="6"/>
      <c r="C51" s="16"/>
      <c r="D51" s="17"/>
      <c r="E51" s="6"/>
      <c r="F51" s="19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20" customFormat="1" ht="15.75">
      <c r="A52" s="6"/>
      <c r="B52" s="6"/>
      <c r="C52" s="16"/>
      <c r="D52" s="17"/>
      <c r="E52" s="6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6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89.25" customHeight="1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89.25" customHeight="1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89.25" customHeight="1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89.25" customHeight="1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89.25" customHeight="1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89.25" customHeight="1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89.25" customHeight="1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89.25" customHeight="1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</sheetData>
  <mergeCells count="13">
    <mergeCell ref="A9:D9"/>
    <mergeCell ref="A1:F3"/>
    <mergeCell ref="A4:F4"/>
    <mergeCell ref="A5:F5"/>
    <mergeCell ref="A6:E6"/>
    <mergeCell ref="A8:D8"/>
    <mergeCell ref="D37:E37"/>
    <mergeCell ref="A34:B34"/>
    <mergeCell ref="D34:E34"/>
    <mergeCell ref="A35:B35"/>
    <mergeCell ref="D35:E35"/>
    <mergeCell ref="A36:B36"/>
    <mergeCell ref="D36:E36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61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38"/>
  <dimension ref="A1:IV35"/>
  <sheetViews>
    <sheetView showGridLines="0" zoomScale="80" zoomScaleNormal="80" zoomScaleSheetLayoutView="80" workbookViewId="0">
      <selection activeCell="I9" sqref="I9"/>
    </sheetView>
  </sheetViews>
  <sheetFormatPr baseColWidth="10" defaultRowHeight="15"/>
  <cols>
    <col min="1" max="1" width="16.140625" style="186" customWidth="1"/>
    <col min="2" max="2" width="17.5703125" style="186" customWidth="1"/>
    <col min="3" max="3" width="13.28515625" style="186" bestFit="1" customWidth="1"/>
    <col min="4" max="4" width="17.140625" style="186" customWidth="1"/>
    <col min="5" max="5" width="16.85546875" style="187" bestFit="1" customWidth="1"/>
    <col min="6" max="6" width="27.85546875" style="186" customWidth="1"/>
    <col min="7" max="7" width="35.85546875" style="186" customWidth="1"/>
    <col min="8" max="8" width="19.5703125" style="188" bestFit="1" customWidth="1"/>
    <col min="9" max="9" width="18.28515625" style="188" bestFit="1" customWidth="1"/>
    <col min="10" max="10" width="17.28515625" style="188" bestFit="1" customWidth="1"/>
    <col min="11" max="11" width="17.5703125" style="188" customWidth="1"/>
    <col min="12" max="12" width="17.7109375" style="188" bestFit="1" customWidth="1"/>
    <col min="13" max="16384" width="11.42578125" style="186"/>
  </cols>
  <sheetData>
    <row r="1" spans="1:256" ht="33" customHeight="1">
      <c r="A1" s="1274" t="s">
        <v>1986</v>
      </c>
      <c r="B1" s="1274"/>
      <c r="C1" s="1274"/>
      <c r="D1" s="1274"/>
      <c r="E1" s="1274"/>
      <c r="F1" s="1274"/>
      <c r="G1" s="1274"/>
      <c r="H1" s="1274"/>
      <c r="I1" s="1274"/>
      <c r="J1" s="1274"/>
      <c r="K1" s="1274"/>
      <c r="L1" s="1274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0"/>
      <c r="DO1" s="140"/>
      <c r="DP1" s="140"/>
      <c r="DQ1" s="140"/>
      <c r="DR1" s="140"/>
      <c r="DS1" s="140"/>
      <c r="DT1" s="140"/>
      <c r="DU1" s="140"/>
      <c r="DV1" s="140"/>
      <c r="DW1" s="140"/>
      <c r="DX1" s="140"/>
      <c r="DY1" s="140"/>
      <c r="DZ1" s="140"/>
      <c r="EA1" s="140"/>
      <c r="EB1" s="140"/>
      <c r="EC1" s="140"/>
      <c r="ED1" s="140"/>
      <c r="EE1" s="140"/>
      <c r="EF1" s="140"/>
      <c r="EG1" s="140"/>
      <c r="EH1" s="140"/>
      <c r="EI1" s="140"/>
      <c r="EJ1" s="140"/>
      <c r="EK1" s="140"/>
      <c r="EL1" s="140"/>
      <c r="EM1" s="140"/>
      <c r="EN1" s="140"/>
      <c r="EO1" s="140"/>
      <c r="EP1" s="140"/>
      <c r="EQ1" s="140"/>
      <c r="ER1" s="140"/>
      <c r="ES1" s="140"/>
      <c r="ET1" s="140"/>
      <c r="EU1" s="140"/>
      <c r="EV1" s="140"/>
      <c r="EW1" s="140"/>
      <c r="EX1" s="140"/>
      <c r="EY1" s="140"/>
      <c r="EZ1" s="140"/>
      <c r="FA1" s="140"/>
      <c r="FB1" s="140"/>
      <c r="FC1" s="140"/>
      <c r="FD1" s="140"/>
      <c r="FE1" s="140"/>
      <c r="FF1" s="140"/>
      <c r="FG1" s="140"/>
      <c r="FH1" s="140"/>
      <c r="FI1" s="140"/>
      <c r="FJ1" s="140"/>
      <c r="FK1" s="140"/>
      <c r="FL1" s="140"/>
      <c r="FM1" s="140"/>
      <c r="FN1" s="140"/>
      <c r="FO1" s="140"/>
      <c r="FP1" s="140"/>
      <c r="FQ1" s="140"/>
      <c r="FR1" s="140"/>
      <c r="FS1" s="140"/>
      <c r="FT1" s="140"/>
      <c r="FU1" s="140"/>
      <c r="FV1" s="140"/>
      <c r="FW1" s="140"/>
      <c r="FX1" s="140"/>
      <c r="FY1" s="140"/>
      <c r="FZ1" s="140"/>
      <c r="GA1" s="140"/>
      <c r="GB1" s="140"/>
      <c r="GC1" s="140"/>
      <c r="GD1" s="140"/>
      <c r="GE1" s="140"/>
      <c r="GF1" s="140"/>
      <c r="GG1" s="140"/>
      <c r="GH1" s="140"/>
      <c r="GI1" s="140"/>
      <c r="GJ1" s="140"/>
      <c r="GK1" s="140"/>
      <c r="GL1" s="140"/>
      <c r="GM1" s="140"/>
      <c r="GN1" s="140"/>
      <c r="GO1" s="140"/>
      <c r="GP1" s="140"/>
      <c r="GQ1" s="140"/>
      <c r="GR1" s="140"/>
      <c r="GS1" s="140"/>
      <c r="GT1" s="140"/>
      <c r="GU1" s="140"/>
      <c r="GV1" s="140"/>
      <c r="GW1" s="140"/>
      <c r="GX1" s="140"/>
      <c r="GY1" s="140"/>
      <c r="GZ1" s="140"/>
      <c r="HA1" s="140"/>
      <c r="HB1" s="140"/>
      <c r="HC1" s="140"/>
      <c r="HD1" s="140"/>
      <c r="HE1" s="140"/>
      <c r="HF1" s="140"/>
      <c r="HG1" s="140"/>
      <c r="HH1" s="140"/>
      <c r="HI1" s="140"/>
      <c r="HJ1" s="140"/>
      <c r="HK1" s="140"/>
      <c r="HL1" s="140"/>
      <c r="HM1" s="140"/>
      <c r="HN1" s="140"/>
      <c r="HO1" s="140"/>
      <c r="HP1" s="140"/>
      <c r="HQ1" s="140"/>
      <c r="HR1" s="140"/>
      <c r="HS1" s="140"/>
      <c r="HT1" s="140"/>
      <c r="HU1" s="140"/>
      <c r="HV1" s="140"/>
      <c r="HW1" s="140"/>
      <c r="HX1" s="140"/>
      <c r="HY1" s="140"/>
      <c r="HZ1" s="140"/>
      <c r="IA1" s="140"/>
      <c r="IB1" s="140"/>
      <c r="IC1" s="140"/>
      <c r="ID1" s="140"/>
      <c r="IE1" s="140"/>
      <c r="IF1" s="140"/>
      <c r="IG1" s="140"/>
      <c r="IH1" s="140"/>
      <c r="II1" s="140"/>
      <c r="IJ1" s="140"/>
      <c r="IK1" s="140"/>
      <c r="IL1" s="140"/>
      <c r="IM1" s="140"/>
      <c r="IN1" s="140"/>
      <c r="IO1" s="140"/>
      <c r="IP1" s="140"/>
      <c r="IQ1" s="140"/>
      <c r="IR1" s="140"/>
      <c r="IS1" s="140"/>
      <c r="IT1" s="140"/>
      <c r="IU1" s="140"/>
      <c r="IV1" s="140"/>
    </row>
    <row r="2" spans="1:256" ht="33" customHeight="1">
      <c r="A2" s="1274"/>
      <c r="B2" s="1274"/>
      <c r="C2" s="1274"/>
      <c r="D2" s="1274"/>
      <c r="E2" s="1274"/>
      <c r="F2" s="1274"/>
      <c r="G2" s="1274"/>
      <c r="H2" s="1274"/>
      <c r="I2" s="1274"/>
      <c r="J2" s="1274"/>
      <c r="K2" s="1274"/>
      <c r="L2" s="1274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140"/>
      <c r="BI2" s="140"/>
      <c r="BJ2" s="140"/>
      <c r="BK2" s="140"/>
      <c r="BL2" s="140"/>
      <c r="BM2" s="140"/>
      <c r="BN2" s="140"/>
      <c r="BO2" s="140"/>
      <c r="BP2" s="140"/>
      <c r="BQ2" s="140"/>
      <c r="BR2" s="140"/>
      <c r="BS2" s="140"/>
      <c r="BT2" s="140"/>
      <c r="BU2" s="140"/>
      <c r="BV2" s="140"/>
      <c r="BW2" s="140"/>
      <c r="BX2" s="140"/>
      <c r="BY2" s="140"/>
      <c r="BZ2" s="140"/>
      <c r="CA2" s="140"/>
      <c r="CB2" s="140"/>
      <c r="CC2" s="140"/>
      <c r="CD2" s="140"/>
      <c r="CE2" s="140"/>
      <c r="CF2" s="140"/>
      <c r="CG2" s="140"/>
      <c r="CH2" s="140"/>
      <c r="CI2" s="140"/>
      <c r="CJ2" s="140"/>
      <c r="CK2" s="140"/>
      <c r="CL2" s="140"/>
      <c r="CM2" s="140"/>
      <c r="CN2" s="140"/>
      <c r="CO2" s="140"/>
      <c r="CP2" s="140"/>
      <c r="CQ2" s="140"/>
      <c r="CR2" s="140"/>
      <c r="CS2" s="140"/>
      <c r="CT2" s="140"/>
      <c r="CU2" s="140"/>
      <c r="CV2" s="140"/>
      <c r="CW2" s="140"/>
      <c r="CX2" s="140"/>
      <c r="CY2" s="140"/>
      <c r="CZ2" s="140"/>
      <c r="DA2" s="140"/>
      <c r="DB2" s="140"/>
      <c r="DC2" s="140"/>
      <c r="DD2" s="140"/>
      <c r="DE2" s="140"/>
      <c r="DF2" s="140"/>
      <c r="DG2" s="140"/>
      <c r="DH2" s="140"/>
      <c r="DI2" s="140"/>
      <c r="DJ2" s="140"/>
      <c r="DK2" s="140"/>
      <c r="DL2" s="140"/>
      <c r="DM2" s="140"/>
      <c r="DN2" s="140"/>
      <c r="DO2" s="140"/>
      <c r="DP2" s="140"/>
      <c r="DQ2" s="140"/>
      <c r="DR2" s="140"/>
      <c r="DS2" s="140"/>
      <c r="DT2" s="140"/>
      <c r="DU2" s="140"/>
      <c r="DV2" s="140"/>
      <c r="DW2" s="140"/>
      <c r="DX2" s="140"/>
      <c r="DY2" s="140"/>
      <c r="DZ2" s="140"/>
      <c r="EA2" s="140"/>
      <c r="EB2" s="140"/>
      <c r="EC2" s="140"/>
      <c r="ED2" s="140"/>
      <c r="EE2" s="140"/>
      <c r="EF2" s="140"/>
      <c r="EG2" s="140"/>
      <c r="EH2" s="140"/>
      <c r="EI2" s="140"/>
      <c r="EJ2" s="140"/>
      <c r="EK2" s="140"/>
      <c r="EL2" s="140"/>
      <c r="EM2" s="140"/>
      <c r="EN2" s="140"/>
      <c r="EO2" s="140"/>
      <c r="EP2" s="140"/>
      <c r="EQ2" s="140"/>
      <c r="ER2" s="140"/>
      <c r="ES2" s="140"/>
      <c r="ET2" s="140"/>
      <c r="EU2" s="140"/>
      <c r="EV2" s="140"/>
      <c r="EW2" s="140"/>
      <c r="EX2" s="140"/>
      <c r="EY2" s="140"/>
      <c r="EZ2" s="140"/>
      <c r="FA2" s="140"/>
      <c r="FB2" s="140"/>
      <c r="FC2" s="140"/>
      <c r="FD2" s="140"/>
      <c r="FE2" s="140"/>
      <c r="FF2" s="140"/>
      <c r="FG2" s="140"/>
      <c r="FH2" s="140"/>
      <c r="FI2" s="140"/>
      <c r="FJ2" s="140"/>
      <c r="FK2" s="140"/>
      <c r="FL2" s="140"/>
      <c r="FM2" s="140"/>
      <c r="FN2" s="140"/>
      <c r="FO2" s="140"/>
      <c r="FP2" s="140"/>
      <c r="FQ2" s="140"/>
      <c r="FR2" s="140"/>
      <c r="FS2" s="140"/>
      <c r="FT2" s="140"/>
      <c r="FU2" s="140"/>
      <c r="FV2" s="140"/>
      <c r="FW2" s="140"/>
      <c r="FX2" s="140"/>
      <c r="FY2" s="140"/>
      <c r="FZ2" s="140"/>
      <c r="GA2" s="140"/>
      <c r="GB2" s="140"/>
      <c r="GC2" s="140"/>
      <c r="GD2" s="140"/>
      <c r="GE2" s="140"/>
      <c r="GF2" s="140"/>
      <c r="GG2" s="140"/>
      <c r="GH2" s="140"/>
      <c r="GI2" s="140"/>
      <c r="GJ2" s="140"/>
      <c r="GK2" s="140"/>
      <c r="GL2" s="140"/>
      <c r="GM2" s="140"/>
      <c r="GN2" s="140"/>
      <c r="GO2" s="140"/>
      <c r="GP2" s="140"/>
      <c r="GQ2" s="140"/>
      <c r="GR2" s="140"/>
      <c r="GS2" s="140"/>
      <c r="GT2" s="140"/>
      <c r="GU2" s="140"/>
      <c r="GV2" s="140"/>
      <c r="GW2" s="140"/>
      <c r="GX2" s="140"/>
      <c r="GY2" s="140"/>
      <c r="GZ2" s="140"/>
      <c r="HA2" s="140"/>
      <c r="HB2" s="140"/>
      <c r="HC2" s="140"/>
      <c r="HD2" s="140"/>
      <c r="HE2" s="140"/>
      <c r="HF2" s="140"/>
      <c r="HG2" s="140"/>
      <c r="HH2" s="140"/>
      <c r="HI2" s="140"/>
      <c r="HJ2" s="140"/>
      <c r="HK2" s="140"/>
      <c r="HL2" s="140"/>
      <c r="HM2" s="140"/>
      <c r="HN2" s="140"/>
      <c r="HO2" s="140"/>
      <c r="HP2" s="140"/>
      <c r="HQ2" s="140"/>
      <c r="HR2" s="140"/>
      <c r="HS2" s="140"/>
      <c r="HT2" s="140"/>
      <c r="HU2" s="140"/>
      <c r="HV2" s="140"/>
      <c r="HW2" s="140"/>
      <c r="HX2" s="140"/>
      <c r="HY2" s="140"/>
      <c r="HZ2" s="140"/>
      <c r="IA2" s="140"/>
      <c r="IB2" s="140"/>
      <c r="IC2" s="140"/>
      <c r="ID2" s="140"/>
      <c r="IE2" s="140"/>
      <c r="IF2" s="140"/>
      <c r="IG2" s="140"/>
      <c r="IH2" s="140"/>
      <c r="II2" s="140"/>
      <c r="IJ2" s="140"/>
      <c r="IK2" s="140"/>
      <c r="IL2" s="140"/>
      <c r="IM2" s="140"/>
      <c r="IN2" s="140"/>
      <c r="IO2" s="140"/>
      <c r="IP2" s="140"/>
      <c r="IQ2" s="140"/>
      <c r="IR2" s="140"/>
      <c r="IS2" s="140"/>
      <c r="IT2" s="140"/>
      <c r="IU2" s="140"/>
      <c r="IV2" s="140"/>
    </row>
    <row r="3" spans="1:256" ht="33" customHeight="1">
      <c r="A3" s="1274"/>
      <c r="B3" s="1274"/>
      <c r="C3" s="1274"/>
      <c r="D3" s="1274"/>
      <c r="E3" s="1274"/>
      <c r="F3" s="1274"/>
      <c r="G3" s="1274"/>
      <c r="H3" s="1274"/>
      <c r="I3" s="1274"/>
      <c r="J3" s="1274"/>
      <c r="K3" s="1274"/>
      <c r="L3" s="1274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140"/>
      <c r="BC3" s="140"/>
      <c r="BD3" s="140"/>
      <c r="BE3" s="140"/>
      <c r="BF3" s="140"/>
      <c r="BG3" s="140"/>
      <c r="BH3" s="140"/>
      <c r="BI3" s="140"/>
      <c r="BJ3" s="140"/>
      <c r="BK3" s="140"/>
      <c r="BL3" s="140"/>
      <c r="BM3" s="140"/>
      <c r="BN3" s="140"/>
      <c r="BO3" s="140"/>
      <c r="BP3" s="140"/>
      <c r="BQ3" s="140"/>
      <c r="BR3" s="140"/>
      <c r="BS3" s="140"/>
      <c r="BT3" s="140"/>
      <c r="BU3" s="140"/>
      <c r="BV3" s="140"/>
      <c r="BW3" s="140"/>
      <c r="BX3" s="140"/>
      <c r="BY3" s="140"/>
      <c r="BZ3" s="140"/>
      <c r="CA3" s="140"/>
      <c r="CB3" s="140"/>
      <c r="CC3" s="140"/>
      <c r="CD3" s="140"/>
      <c r="CE3" s="140"/>
      <c r="CF3" s="140"/>
      <c r="CG3" s="140"/>
      <c r="CH3" s="140"/>
      <c r="CI3" s="140"/>
      <c r="CJ3" s="140"/>
      <c r="CK3" s="140"/>
      <c r="CL3" s="140"/>
      <c r="CM3" s="140"/>
      <c r="CN3" s="140"/>
      <c r="CO3" s="140"/>
      <c r="CP3" s="140"/>
      <c r="CQ3" s="140"/>
      <c r="CR3" s="140"/>
      <c r="CS3" s="140"/>
      <c r="CT3" s="140"/>
      <c r="CU3" s="140"/>
      <c r="CV3" s="140"/>
      <c r="CW3" s="140"/>
      <c r="CX3" s="140"/>
      <c r="CY3" s="140"/>
      <c r="CZ3" s="140"/>
      <c r="DA3" s="140"/>
      <c r="DB3" s="140"/>
      <c r="DC3" s="140"/>
      <c r="DD3" s="140"/>
      <c r="DE3" s="140"/>
      <c r="DF3" s="140"/>
      <c r="DG3" s="140"/>
      <c r="DH3" s="140"/>
      <c r="DI3" s="140"/>
      <c r="DJ3" s="140"/>
      <c r="DK3" s="140"/>
      <c r="DL3" s="140"/>
      <c r="DM3" s="140"/>
      <c r="DN3" s="140"/>
      <c r="DO3" s="140"/>
      <c r="DP3" s="140"/>
      <c r="DQ3" s="140"/>
      <c r="DR3" s="140"/>
      <c r="DS3" s="140"/>
      <c r="DT3" s="140"/>
      <c r="DU3" s="140"/>
      <c r="DV3" s="140"/>
      <c r="DW3" s="140"/>
      <c r="DX3" s="140"/>
      <c r="DY3" s="140"/>
      <c r="DZ3" s="140"/>
      <c r="EA3" s="140"/>
      <c r="EB3" s="140"/>
      <c r="EC3" s="140"/>
      <c r="ED3" s="140"/>
      <c r="EE3" s="140"/>
      <c r="EF3" s="140"/>
      <c r="EG3" s="140"/>
      <c r="EH3" s="140"/>
      <c r="EI3" s="140"/>
      <c r="EJ3" s="140"/>
      <c r="EK3" s="140"/>
      <c r="EL3" s="140"/>
      <c r="EM3" s="140"/>
      <c r="EN3" s="140"/>
      <c r="EO3" s="140"/>
      <c r="EP3" s="140"/>
      <c r="EQ3" s="140"/>
      <c r="ER3" s="140"/>
      <c r="ES3" s="140"/>
      <c r="ET3" s="140"/>
      <c r="EU3" s="140"/>
      <c r="EV3" s="140"/>
      <c r="EW3" s="140"/>
      <c r="EX3" s="140"/>
      <c r="EY3" s="140"/>
      <c r="EZ3" s="140"/>
      <c r="FA3" s="140"/>
      <c r="FB3" s="140"/>
      <c r="FC3" s="140"/>
      <c r="FD3" s="140"/>
      <c r="FE3" s="140"/>
      <c r="FF3" s="140"/>
      <c r="FG3" s="140"/>
      <c r="FH3" s="140"/>
      <c r="FI3" s="140"/>
      <c r="FJ3" s="140"/>
      <c r="FK3" s="140"/>
      <c r="FL3" s="140"/>
      <c r="FM3" s="140"/>
      <c r="FN3" s="140"/>
      <c r="FO3" s="140"/>
      <c r="FP3" s="140"/>
      <c r="FQ3" s="140"/>
      <c r="FR3" s="140"/>
      <c r="FS3" s="140"/>
      <c r="FT3" s="140"/>
      <c r="FU3" s="140"/>
      <c r="FV3" s="140"/>
      <c r="FW3" s="140"/>
      <c r="FX3" s="140"/>
      <c r="FY3" s="140"/>
      <c r="FZ3" s="140"/>
      <c r="GA3" s="140"/>
      <c r="GB3" s="140"/>
      <c r="GC3" s="140"/>
      <c r="GD3" s="140"/>
      <c r="GE3" s="140"/>
      <c r="GF3" s="140"/>
      <c r="GG3" s="140"/>
      <c r="GH3" s="140"/>
      <c r="GI3" s="140"/>
      <c r="GJ3" s="140"/>
      <c r="GK3" s="140"/>
      <c r="GL3" s="140"/>
      <c r="GM3" s="140"/>
      <c r="GN3" s="140"/>
      <c r="GO3" s="140"/>
      <c r="GP3" s="140"/>
      <c r="GQ3" s="140"/>
      <c r="GR3" s="140"/>
      <c r="GS3" s="140"/>
      <c r="GT3" s="140"/>
      <c r="GU3" s="140"/>
      <c r="GV3" s="140"/>
      <c r="GW3" s="140"/>
      <c r="GX3" s="140"/>
      <c r="GY3" s="140"/>
      <c r="GZ3" s="140"/>
      <c r="HA3" s="140"/>
      <c r="HB3" s="140"/>
      <c r="HC3" s="140"/>
      <c r="HD3" s="140"/>
      <c r="HE3" s="140"/>
      <c r="HF3" s="140"/>
      <c r="HG3" s="140"/>
      <c r="HH3" s="140"/>
      <c r="HI3" s="140"/>
      <c r="HJ3" s="140"/>
      <c r="HK3" s="140"/>
      <c r="HL3" s="140"/>
      <c r="HM3" s="140"/>
      <c r="HN3" s="140"/>
      <c r="HO3" s="140"/>
      <c r="HP3" s="140"/>
      <c r="HQ3" s="140"/>
      <c r="HR3" s="140"/>
      <c r="HS3" s="140"/>
      <c r="HT3" s="140"/>
      <c r="HU3" s="140"/>
      <c r="HV3" s="140"/>
      <c r="HW3" s="140"/>
      <c r="HX3" s="140"/>
      <c r="HY3" s="140"/>
      <c r="HZ3" s="140"/>
      <c r="IA3" s="140"/>
      <c r="IB3" s="140"/>
      <c r="IC3" s="140"/>
      <c r="ID3" s="140"/>
      <c r="IE3" s="140"/>
      <c r="IF3" s="140"/>
      <c r="IG3" s="140"/>
      <c r="IH3" s="140"/>
      <c r="II3" s="140"/>
      <c r="IJ3" s="140"/>
      <c r="IK3" s="140"/>
      <c r="IL3" s="140"/>
      <c r="IM3" s="140"/>
      <c r="IN3" s="140"/>
      <c r="IO3" s="140"/>
      <c r="IP3" s="140"/>
      <c r="IQ3" s="140"/>
      <c r="IR3" s="140"/>
      <c r="IS3" s="140"/>
      <c r="IT3" s="140"/>
      <c r="IU3" s="140"/>
      <c r="IV3" s="140"/>
    </row>
    <row r="4" spans="1:256" ht="15.75" thickBot="1"/>
    <row r="5" spans="1:256" ht="42" customHeight="1">
      <c r="A5" s="189" t="s">
        <v>149</v>
      </c>
      <c r="B5" s="190" t="s">
        <v>150</v>
      </c>
      <c r="C5" s="190" t="s">
        <v>151</v>
      </c>
      <c r="D5" s="190" t="s">
        <v>152</v>
      </c>
      <c r="E5" s="191" t="s">
        <v>153</v>
      </c>
      <c r="F5" s="190" t="s">
        <v>368</v>
      </c>
      <c r="G5" s="192" t="s">
        <v>154</v>
      </c>
      <c r="H5" s="193" t="s">
        <v>155</v>
      </c>
      <c r="I5" s="193" t="s">
        <v>156</v>
      </c>
      <c r="J5" s="193" t="s">
        <v>157</v>
      </c>
      <c r="K5" s="193" t="s">
        <v>158</v>
      </c>
      <c r="L5" s="194" t="s">
        <v>159</v>
      </c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349"/>
      <c r="AG5" s="349"/>
      <c r="AH5" s="349"/>
      <c r="AI5" s="349"/>
      <c r="AJ5" s="349"/>
      <c r="AK5" s="349"/>
      <c r="AL5" s="349"/>
      <c r="AM5" s="349"/>
      <c r="AN5" s="349"/>
      <c r="AO5" s="349"/>
      <c r="AP5" s="349"/>
      <c r="AQ5" s="349"/>
      <c r="AR5" s="349"/>
      <c r="AS5" s="349"/>
      <c r="AT5" s="349"/>
      <c r="AU5" s="349"/>
      <c r="AV5" s="349"/>
      <c r="AW5" s="349"/>
      <c r="AX5" s="349"/>
      <c r="AY5" s="349"/>
      <c r="AZ5" s="349"/>
      <c r="BA5" s="349"/>
      <c r="BB5" s="349"/>
      <c r="BC5" s="349"/>
      <c r="BD5" s="349"/>
      <c r="BE5" s="349"/>
      <c r="BF5" s="349"/>
      <c r="BG5" s="349"/>
      <c r="BH5" s="349"/>
      <c r="BI5" s="349"/>
      <c r="BJ5" s="349"/>
      <c r="BK5" s="349"/>
      <c r="BL5" s="349"/>
      <c r="BM5" s="349"/>
      <c r="BN5" s="349"/>
      <c r="BO5" s="349"/>
      <c r="BP5" s="349"/>
      <c r="BQ5" s="349"/>
      <c r="BR5" s="349"/>
      <c r="BS5" s="349"/>
      <c r="BT5" s="349"/>
      <c r="BU5" s="349"/>
      <c r="BV5" s="349"/>
      <c r="BW5" s="349"/>
      <c r="BX5" s="349"/>
      <c r="BY5" s="349"/>
      <c r="BZ5" s="349"/>
      <c r="CA5" s="349"/>
      <c r="CB5" s="349"/>
      <c r="CC5" s="349"/>
      <c r="CD5" s="349"/>
      <c r="CE5" s="349"/>
      <c r="CF5" s="349"/>
      <c r="CG5" s="349"/>
      <c r="CH5" s="349"/>
      <c r="CI5" s="349"/>
      <c r="CJ5" s="349"/>
      <c r="CK5" s="349"/>
      <c r="CL5" s="349"/>
      <c r="CM5" s="349"/>
      <c r="CN5" s="349"/>
      <c r="CO5" s="349"/>
      <c r="CP5" s="349"/>
      <c r="CQ5" s="349"/>
      <c r="CR5" s="349"/>
      <c r="CS5" s="349"/>
      <c r="CT5" s="349"/>
      <c r="CU5" s="349"/>
      <c r="CV5" s="349"/>
      <c r="CW5" s="349"/>
      <c r="CX5" s="349"/>
      <c r="CY5" s="349"/>
      <c r="CZ5" s="349"/>
      <c r="DA5" s="349"/>
      <c r="DB5" s="349"/>
      <c r="DC5" s="349"/>
      <c r="DD5" s="349"/>
      <c r="DE5" s="349"/>
      <c r="DF5" s="349"/>
      <c r="DG5" s="349"/>
      <c r="DH5" s="349"/>
      <c r="DI5" s="349"/>
      <c r="DJ5" s="349"/>
      <c r="DK5" s="349"/>
      <c r="DL5" s="349"/>
      <c r="DM5" s="349"/>
      <c r="DN5" s="349"/>
      <c r="DO5" s="349"/>
      <c r="DP5" s="349"/>
      <c r="DQ5" s="349"/>
      <c r="DR5" s="349"/>
      <c r="DS5" s="349"/>
      <c r="DT5" s="349"/>
      <c r="DU5" s="349"/>
      <c r="DV5" s="349"/>
      <c r="DW5" s="349"/>
      <c r="DX5" s="349"/>
      <c r="DY5" s="349"/>
      <c r="DZ5" s="349"/>
      <c r="EA5" s="349"/>
      <c r="EB5" s="349"/>
      <c r="EC5" s="349"/>
      <c r="ED5" s="349"/>
      <c r="EE5" s="349"/>
      <c r="EF5" s="349"/>
      <c r="EG5" s="349"/>
      <c r="EH5" s="349"/>
      <c r="EI5" s="349"/>
      <c r="EJ5" s="349"/>
      <c r="EK5" s="349"/>
      <c r="EL5" s="349"/>
      <c r="EM5" s="349"/>
      <c r="EN5" s="349"/>
      <c r="EO5" s="349"/>
      <c r="EP5" s="349"/>
      <c r="EQ5" s="349"/>
      <c r="ER5" s="349"/>
      <c r="ES5" s="349"/>
      <c r="ET5" s="349"/>
      <c r="EU5" s="349"/>
      <c r="EV5" s="349"/>
      <c r="EW5" s="349"/>
      <c r="EX5" s="349"/>
      <c r="EY5" s="349"/>
      <c r="EZ5" s="349"/>
      <c r="FA5" s="349"/>
      <c r="FB5" s="349"/>
      <c r="FC5" s="349"/>
      <c r="FD5" s="349"/>
      <c r="FE5" s="349"/>
      <c r="FF5" s="349"/>
      <c r="FG5" s="349"/>
      <c r="FH5" s="349"/>
      <c r="FI5" s="349"/>
      <c r="FJ5" s="349"/>
      <c r="FK5" s="349"/>
      <c r="FL5" s="349"/>
      <c r="FM5" s="349"/>
      <c r="FN5" s="349"/>
      <c r="FO5" s="349"/>
      <c r="FP5" s="349"/>
      <c r="FQ5" s="349"/>
      <c r="FR5" s="349"/>
      <c r="FS5" s="349"/>
      <c r="FT5" s="349"/>
      <c r="FU5" s="349"/>
      <c r="FV5" s="349"/>
      <c r="FW5" s="349"/>
      <c r="FX5" s="349"/>
      <c r="FY5" s="349"/>
      <c r="FZ5" s="349"/>
      <c r="GA5" s="349"/>
      <c r="GB5" s="349"/>
      <c r="GC5" s="349"/>
      <c r="GD5" s="349"/>
      <c r="GE5" s="349"/>
      <c r="GF5" s="349"/>
      <c r="GG5" s="349"/>
      <c r="GH5" s="349"/>
      <c r="GI5" s="349"/>
      <c r="GJ5" s="349"/>
      <c r="GK5" s="349"/>
      <c r="GL5" s="349"/>
      <c r="GM5" s="349"/>
      <c r="GN5" s="349"/>
      <c r="GO5" s="349"/>
      <c r="GP5" s="349"/>
      <c r="GQ5" s="349"/>
      <c r="GR5" s="349"/>
      <c r="GS5" s="349"/>
      <c r="GT5" s="349"/>
      <c r="GU5" s="349"/>
      <c r="GV5" s="349"/>
      <c r="GW5" s="349"/>
      <c r="GX5" s="349"/>
      <c r="GY5" s="349"/>
      <c r="GZ5" s="349"/>
      <c r="HA5" s="349"/>
      <c r="HB5" s="349"/>
      <c r="HC5" s="349"/>
      <c r="HD5" s="349"/>
      <c r="HE5" s="349"/>
      <c r="HF5" s="349"/>
      <c r="HG5" s="349"/>
      <c r="HH5" s="349"/>
      <c r="HI5" s="349"/>
      <c r="HJ5" s="349"/>
      <c r="HK5" s="349"/>
      <c r="HL5" s="349"/>
      <c r="HM5" s="349"/>
      <c r="HN5" s="349"/>
      <c r="HO5" s="349"/>
      <c r="HP5" s="349"/>
      <c r="HQ5" s="349"/>
      <c r="HR5" s="349"/>
      <c r="HS5" s="349"/>
      <c r="HT5" s="349"/>
      <c r="HU5" s="349"/>
      <c r="HV5" s="349"/>
      <c r="HW5" s="349"/>
      <c r="HX5" s="349"/>
      <c r="HY5" s="349"/>
      <c r="HZ5" s="349"/>
      <c r="IA5" s="349"/>
      <c r="IB5" s="349"/>
      <c r="IC5" s="349"/>
      <c r="ID5" s="349"/>
      <c r="IE5" s="349"/>
      <c r="IF5" s="349"/>
      <c r="IG5" s="349"/>
      <c r="IH5" s="349"/>
      <c r="II5" s="349"/>
      <c r="IJ5" s="349"/>
      <c r="IK5" s="349"/>
      <c r="IL5" s="349"/>
      <c r="IM5" s="349"/>
      <c r="IN5" s="349"/>
      <c r="IO5" s="349"/>
      <c r="IP5" s="349"/>
      <c r="IQ5" s="349"/>
      <c r="IR5" s="349"/>
      <c r="IS5" s="349"/>
      <c r="IT5" s="349"/>
      <c r="IU5" s="349"/>
      <c r="IV5" s="349"/>
    </row>
    <row r="6" spans="1:256" ht="50.25" customHeight="1">
      <c r="A6" s="839">
        <v>44953</v>
      </c>
      <c r="B6" s="837" t="s">
        <v>1987</v>
      </c>
      <c r="C6" s="838">
        <v>124246</v>
      </c>
      <c r="D6" s="839">
        <v>44936</v>
      </c>
      <c r="E6" s="840">
        <v>800141235</v>
      </c>
      <c r="F6" s="841" t="s">
        <v>1009</v>
      </c>
      <c r="G6" s="842" t="s">
        <v>1988</v>
      </c>
      <c r="H6" s="843">
        <v>2815655</v>
      </c>
      <c r="I6" s="843">
        <v>2815655</v>
      </c>
      <c r="J6" s="843">
        <v>534974</v>
      </c>
      <c r="K6" s="843"/>
      <c r="L6" s="843">
        <f>+I6+J6</f>
        <v>3350629</v>
      </c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49"/>
      <c r="AD6" s="349"/>
      <c r="AE6" s="349"/>
      <c r="AF6" s="349"/>
      <c r="AG6" s="349"/>
      <c r="AH6" s="349"/>
      <c r="AI6" s="349"/>
      <c r="AJ6" s="349"/>
      <c r="AK6" s="349"/>
      <c r="AL6" s="349"/>
      <c r="AM6" s="349"/>
      <c r="AN6" s="349"/>
      <c r="AO6" s="349"/>
      <c r="AP6" s="349"/>
      <c r="AQ6" s="349"/>
      <c r="AR6" s="349"/>
      <c r="AS6" s="349"/>
      <c r="AT6" s="349"/>
      <c r="AU6" s="349"/>
      <c r="AV6" s="349"/>
      <c r="AW6" s="349"/>
      <c r="AX6" s="349"/>
      <c r="AY6" s="349"/>
      <c r="AZ6" s="349"/>
      <c r="BA6" s="349"/>
      <c r="BB6" s="349"/>
      <c r="BC6" s="349"/>
      <c r="BD6" s="349"/>
      <c r="BE6" s="349"/>
      <c r="BF6" s="349"/>
      <c r="BG6" s="349"/>
      <c r="BH6" s="349"/>
      <c r="BI6" s="349"/>
      <c r="BJ6" s="349"/>
      <c r="BK6" s="349"/>
      <c r="BL6" s="349"/>
      <c r="BM6" s="349"/>
      <c r="BN6" s="349"/>
      <c r="BO6" s="349"/>
      <c r="BP6" s="349"/>
      <c r="BQ6" s="349"/>
      <c r="BR6" s="349"/>
      <c r="BS6" s="349"/>
      <c r="BT6" s="349"/>
      <c r="BU6" s="349"/>
      <c r="BV6" s="349"/>
      <c r="BW6" s="349"/>
      <c r="BX6" s="349"/>
      <c r="BY6" s="349"/>
      <c r="BZ6" s="349"/>
      <c r="CA6" s="349"/>
      <c r="CB6" s="349"/>
      <c r="CC6" s="349"/>
      <c r="CD6" s="349"/>
      <c r="CE6" s="349"/>
      <c r="CF6" s="349"/>
      <c r="CG6" s="349"/>
      <c r="CH6" s="349"/>
      <c r="CI6" s="349"/>
      <c r="CJ6" s="349"/>
      <c r="CK6" s="349"/>
      <c r="CL6" s="349"/>
      <c r="CM6" s="349"/>
      <c r="CN6" s="349"/>
      <c r="CO6" s="349"/>
      <c r="CP6" s="349"/>
      <c r="CQ6" s="349"/>
      <c r="CR6" s="349"/>
      <c r="CS6" s="349"/>
      <c r="CT6" s="349"/>
      <c r="CU6" s="349"/>
      <c r="CV6" s="349"/>
      <c r="CW6" s="349"/>
      <c r="CX6" s="349"/>
      <c r="CY6" s="349"/>
      <c r="CZ6" s="349"/>
      <c r="DA6" s="349"/>
      <c r="DB6" s="349"/>
      <c r="DC6" s="349"/>
      <c r="DD6" s="349"/>
      <c r="DE6" s="349"/>
      <c r="DF6" s="349"/>
      <c r="DG6" s="349"/>
      <c r="DH6" s="349"/>
      <c r="DI6" s="349"/>
      <c r="DJ6" s="349"/>
      <c r="DK6" s="349"/>
      <c r="DL6" s="349"/>
      <c r="DM6" s="349"/>
      <c r="DN6" s="349"/>
      <c r="DO6" s="349"/>
      <c r="DP6" s="349"/>
      <c r="DQ6" s="349"/>
      <c r="DR6" s="349"/>
      <c r="DS6" s="349"/>
      <c r="DT6" s="349"/>
      <c r="DU6" s="349"/>
      <c r="DV6" s="349"/>
      <c r="DW6" s="349"/>
      <c r="DX6" s="349"/>
      <c r="DY6" s="349"/>
      <c r="DZ6" s="349"/>
      <c r="EA6" s="349"/>
      <c r="EB6" s="349"/>
      <c r="EC6" s="349"/>
      <c r="ED6" s="349"/>
      <c r="EE6" s="349"/>
      <c r="EF6" s="349"/>
      <c r="EG6" s="349"/>
      <c r="EH6" s="349"/>
      <c r="EI6" s="349"/>
      <c r="EJ6" s="349"/>
      <c r="EK6" s="349"/>
      <c r="EL6" s="349"/>
      <c r="EM6" s="349"/>
      <c r="EN6" s="349"/>
      <c r="EO6" s="349"/>
      <c r="EP6" s="349"/>
      <c r="EQ6" s="349"/>
      <c r="ER6" s="349"/>
      <c r="ES6" s="349"/>
      <c r="ET6" s="349"/>
      <c r="EU6" s="349"/>
      <c r="EV6" s="349"/>
      <c r="EW6" s="349"/>
      <c r="EX6" s="349"/>
      <c r="EY6" s="349"/>
      <c r="EZ6" s="349"/>
      <c r="FA6" s="349"/>
      <c r="FB6" s="349"/>
      <c r="FC6" s="349"/>
      <c r="FD6" s="349"/>
      <c r="FE6" s="349"/>
      <c r="FF6" s="349"/>
      <c r="FG6" s="349"/>
      <c r="FH6" s="349"/>
      <c r="FI6" s="349"/>
      <c r="FJ6" s="349"/>
      <c r="FK6" s="349"/>
      <c r="FL6" s="349"/>
      <c r="FM6" s="349"/>
      <c r="FN6" s="349"/>
      <c r="FO6" s="349"/>
      <c r="FP6" s="349"/>
      <c r="FQ6" s="349"/>
      <c r="FR6" s="349"/>
      <c r="FS6" s="349"/>
      <c r="FT6" s="349"/>
      <c r="FU6" s="349"/>
      <c r="FV6" s="349"/>
      <c r="FW6" s="349"/>
      <c r="FX6" s="349"/>
      <c r="FY6" s="349"/>
      <c r="FZ6" s="349"/>
      <c r="GA6" s="349"/>
      <c r="GB6" s="349"/>
      <c r="GC6" s="349"/>
      <c r="GD6" s="349"/>
      <c r="GE6" s="349"/>
      <c r="GF6" s="349"/>
      <c r="GG6" s="349"/>
      <c r="GH6" s="349"/>
      <c r="GI6" s="349"/>
      <c r="GJ6" s="349"/>
      <c r="GK6" s="349"/>
      <c r="GL6" s="349"/>
      <c r="GM6" s="349"/>
      <c r="GN6" s="349"/>
      <c r="GO6" s="349"/>
      <c r="GP6" s="349"/>
      <c r="GQ6" s="349"/>
      <c r="GR6" s="349"/>
      <c r="GS6" s="349"/>
      <c r="GT6" s="349"/>
      <c r="GU6" s="349"/>
      <c r="GV6" s="349"/>
      <c r="GW6" s="349"/>
      <c r="GX6" s="349"/>
      <c r="GY6" s="349"/>
      <c r="GZ6" s="349"/>
      <c r="HA6" s="349"/>
      <c r="HB6" s="349"/>
      <c r="HC6" s="349"/>
      <c r="HD6" s="349"/>
      <c r="HE6" s="349"/>
      <c r="HF6" s="349"/>
      <c r="HG6" s="349"/>
      <c r="HH6" s="349"/>
      <c r="HI6" s="349"/>
      <c r="HJ6" s="349"/>
      <c r="HK6" s="349"/>
      <c r="HL6" s="349"/>
      <c r="HM6" s="349"/>
      <c r="HN6" s="349"/>
      <c r="HO6" s="349"/>
      <c r="HP6" s="349"/>
      <c r="HQ6" s="349"/>
      <c r="HR6" s="349"/>
      <c r="HS6" s="349"/>
      <c r="HT6" s="349"/>
      <c r="HU6" s="349"/>
      <c r="HV6" s="349"/>
      <c r="HW6" s="349"/>
      <c r="HX6" s="349"/>
      <c r="HY6" s="349"/>
      <c r="HZ6" s="349"/>
      <c r="IA6" s="349"/>
      <c r="IB6" s="349"/>
      <c r="IC6" s="349"/>
      <c r="ID6" s="349"/>
      <c r="IE6" s="349"/>
      <c r="IF6" s="349"/>
      <c r="IG6" s="349"/>
      <c r="IH6" s="349"/>
      <c r="II6" s="349"/>
      <c r="IJ6" s="349"/>
      <c r="IK6" s="349"/>
      <c r="IL6" s="349"/>
      <c r="IM6" s="349"/>
      <c r="IN6" s="349"/>
      <c r="IO6" s="349"/>
      <c r="IP6" s="349"/>
      <c r="IQ6" s="349"/>
      <c r="IR6" s="349"/>
      <c r="IS6" s="349"/>
      <c r="IT6" s="349"/>
      <c r="IU6" s="349"/>
      <c r="IV6" s="349"/>
    </row>
    <row r="7" spans="1:256" ht="49.5" customHeight="1" thickBot="1">
      <c r="A7" s="195"/>
      <c r="B7" s="195"/>
      <c r="C7" s="195"/>
      <c r="D7" s="195"/>
      <c r="E7" s="196"/>
      <c r="F7" s="195"/>
      <c r="G7" s="197" t="s">
        <v>85</v>
      </c>
      <c r="H7" s="224">
        <f>+SUM(H6:H6)</f>
        <v>2815655</v>
      </c>
      <c r="I7" s="224">
        <f>+SUM(I6:I6)</f>
        <v>2815655</v>
      </c>
      <c r="J7" s="224">
        <f>+SUM(J6:J6)</f>
        <v>534974</v>
      </c>
      <c r="K7" s="224">
        <f>+SUM(K6:K6)</f>
        <v>0</v>
      </c>
      <c r="L7" s="224">
        <f>+SUM(L6:L6)</f>
        <v>3350629</v>
      </c>
      <c r="M7" s="195"/>
      <c r="N7" s="195"/>
      <c r="O7" s="195"/>
      <c r="P7" s="195"/>
      <c r="Q7" s="195"/>
      <c r="R7" s="195"/>
      <c r="S7" s="195"/>
      <c r="T7" s="195"/>
      <c r="U7" s="195"/>
      <c r="V7" s="195"/>
      <c r="W7" s="195"/>
      <c r="X7" s="195"/>
      <c r="Y7" s="195"/>
      <c r="Z7" s="195"/>
      <c r="AA7" s="195"/>
      <c r="AB7" s="195"/>
      <c r="AC7" s="195"/>
      <c r="AD7" s="195"/>
      <c r="AE7" s="195"/>
      <c r="AF7" s="195"/>
      <c r="AG7" s="195"/>
      <c r="AH7" s="195"/>
      <c r="AI7" s="195"/>
      <c r="AJ7" s="195"/>
      <c r="AK7" s="195"/>
      <c r="AL7" s="195"/>
      <c r="AM7" s="195"/>
      <c r="AN7" s="195"/>
      <c r="AO7" s="195"/>
      <c r="AP7" s="195"/>
      <c r="AQ7" s="195"/>
      <c r="AR7" s="195"/>
      <c r="AS7" s="195"/>
      <c r="AT7" s="195"/>
      <c r="AU7" s="195"/>
      <c r="AV7" s="195"/>
      <c r="AW7" s="195"/>
      <c r="AX7" s="195"/>
      <c r="AY7" s="195"/>
      <c r="AZ7" s="195"/>
      <c r="BA7" s="195"/>
      <c r="BB7" s="195"/>
      <c r="BC7" s="195"/>
      <c r="BD7" s="195"/>
      <c r="BE7" s="195"/>
      <c r="BF7" s="195"/>
      <c r="BG7" s="195"/>
      <c r="BH7" s="195"/>
      <c r="BI7" s="195"/>
      <c r="BJ7" s="195"/>
      <c r="BK7" s="195"/>
      <c r="BL7" s="195"/>
      <c r="BM7" s="195"/>
      <c r="BN7" s="195"/>
      <c r="BO7" s="195"/>
      <c r="BP7" s="195"/>
      <c r="BQ7" s="195"/>
      <c r="BR7" s="195"/>
      <c r="BS7" s="195"/>
      <c r="BT7" s="195"/>
      <c r="BU7" s="195"/>
      <c r="BV7" s="195"/>
      <c r="BW7" s="195"/>
      <c r="BX7" s="195"/>
      <c r="BY7" s="195"/>
      <c r="BZ7" s="195"/>
      <c r="CA7" s="195"/>
      <c r="CB7" s="195"/>
      <c r="CC7" s="195"/>
      <c r="CD7" s="195"/>
      <c r="CE7" s="195"/>
      <c r="CF7" s="195"/>
      <c r="CG7" s="195"/>
      <c r="CH7" s="195"/>
      <c r="CI7" s="195"/>
      <c r="CJ7" s="195"/>
      <c r="CK7" s="195"/>
      <c r="CL7" s="195"/>
      <c r="CM7" s="195"/>
      <c r="CN7" s="195"/>
      <c r="CO7" s="195"/>
      <c r="CP7" s="195"/>
      <c r="CQ7" s="195"/>
      <c r="CR7" s="195"/>
      <c r="CS7" s="195"/>
      <c r="CT7" s="195"/>
      <c r="CU7" s="195"/>
      <c r="CV7" s="195"/>
      <c r="CW7" s="195"/>
      <c r="CX7" s="195"/>
      <c r="CY7" s="195"/>
      <c r="CZ7" s="195"/>
      <c r="DA7" s="195"/>
      <c r="DB7" s="195"/>
      <c r="DC7" s="195"/>
      <c r="DD7" s="195"/>
      <c r="DE7" s="195"/>
      <c r="DF7" s="195"/>
      <c r="DG7" s="195"/>
      <c r="DH7" s="195"/>
      <c r="DI7" s="195"/>
      <c r="DJ7" s="195"/>
      <c r="DK7" s="195"/>
      <c r="DL7" s="195"/>
      <c r="DM7" s="195"/>
      <c r="DN7" s="195"/>
      <c r="DO7" s="195"/>
      <c r="DP7" s="195"/>
      <c r="DQ7" s="195"/>
      <c r="DR7" s="195"/>
      <c r="DS7" s="195"/>
      <c r="DT7" s="195"/>
      <c r="DU7" s="195"/>
      <c r="DV7" s="195"/>
      <c r="DW7" s="195"/>
      <c r="DX7" s="195"/>
      <c r="DY7" s="195"/>
      <c r="DZ7" s="195"/>
      <c r="EA7" s="195"/>
      <c r="EB7" s="195"/>
      <c r="EC7" s="195"/>
      <c r="ED7" s="195"/>
      <c r="EE7" s="195"/>
      <c r="EF7" s="195"/>
      <c r="EG7" s="195"/>
      <c r="EH7" s="195"/>
      <c r="EI7" s="195"/>
      <c r="EJ7" s="195"/>
      <c r="EK7" s="195"/>
      <c r="EL7" s="195"/>
      <c r="EM7" s="195"/>
      <c r="EN7" s="195"/>
      <c r="EO7" s="195"/>
      <c r="EP7" s="195"/>
      <c r="EQ7" s="195"/>
      <c r="ER7" s="195"/>
      <c r="ES7" s="195"/>
      <c r="ET7" s="195"/>
      <c r="EU7" s="195"/>
      <c r="EV7" s="195"/>
      <c r="EW7" s="195"/>
      <c r="EX7" s="195"/>
      <c r="EY7" s="195"/>
      <c r="EZ7" s="195"/>
      <c r="FA7" s="195"/>
      <c r="FB7" s="195"/>
      <c r="FC7" s="195"/>
      <c r="FD7" s="195"/>
      <c r="FE7" s="195"/>
      <c r="FF7" s="195"/>
      <c r="FG7" s="195"/>
      <c r="FH7" s="195"/>
      <c r="FI7" s="195"/>
      <c r="FJ7" s="195"/>
      <c r="FK7" s="195"/>
      <c r="FL7" s="195"/>
      <c r="FM7" s="195"/>
      <c r="FN7" s="195"/>
      <c r="FO7" s="195"/>
      <c r="FP7" s="195"/>
      <c r="FQ7" s="195"/>
      <c r="FR7" s="195"/>
      <c r="FS7" s="195"/>
      <c r="FT7" s="195"/>
      <c r="FU7" s="195"/>
      <c r="FV7" s="195"/>
      <c r="FW7" s="195"/>
      <c r="FX7" s="195"/>
      <c r="FY7" s="195"/>
      <c r="FZ7" s="195"/>
      <c r="GA7" s="195"/>
      <c r="GB7" s="195"/>
      <c r="GC7" s="195"/>
      <c r="GD7" s="195"/>
      <c r="GE7" s="195"/>
      <c r="GF7" s="195"/>
      <c r="GG7" s="195"/>
      <c r="GH7" s="195"/>
      <c r="GI7" s="195"/>
      <c r="GJ7" s="195"/>
      <c r="GK7" s="195"/>
      <c r="GL7" s="195"/>
      <c r="GM7" s="195"/>
      <c r="GN7" s="195"/>
      <c r="GO7" s="195"/>
      <c r="GP7" s="195"/>
      <c r="GQ7" s="195"/>
      <c r="GR7" s="195"/>
      <c r="GS7" s="195"/>
      <c r="GT7" s="195"/>
      <c r="GU7" s="195"/>
      <c r="GV7" s="195"/>
      <c r="GW7" s="195"/>
      <c r="GX7" s="195"/>
      <c r="GY7" s="195"/>
      <c r="GZ7" s="195"/>
      <c r="HA7" s="195"/>
      <c r="HB7" s="195"/>
      <c r="HC7" s="195"/>
      <c r="HD7" s="195"/>
      <c r="HE7" s="195"/>
      <c r="HF7" s="195"/>
      <c r="HG7" s="195"/>
      <c r="HH7" s="195"/>
      <c r="HI7" s="195"/>
      <c r="HJ7" s="195"/>
      <c r="HK7" s="195"/>
      <c r="HL7" s="195"/>
      <c r="HM7" s="195"/>
      <c r="HN7" s="195"/>
      <c r="HO7" s="195"/>
      <c r="HP7" s="195"/>
      <c r="HQ7" s="195"/>
      <c r="HR7" s="195"/>
      <c r="HS7" s="195"/>
      <c r="HT7" s="195"/>
      <c r="HU7" s="195"/>
      <c r="HV7" s="195"/>
      <c r="HW7" s="195"/>
      <c r="HX7" s="195"/>
      <c r="HY7" s="195"/>
      <c r="HZ7" s="195"/>
      <c r="IA7" s="195"/>
      <c r="IB7" s="195"/>
      <c r="IC7" s="195"/>
      <c r="ID7" s="195"/>
      <c r="IE7" s="195"/>
      <c r="IF7" s="195"/>
      <c r="IG7" s="195"/>
      <c r="IH7" s="195"/>
      <c r="II7" s="195"/>
      <c r="IJ7" s="195"/>
      <c r="IK7" s="195"/>
      <c r="IL7" s="195"/>
      <c r="IM7" s="195"/>
      <c r="IN7" s="195"/>
      <c r="IO7" s="195"/>
      <c r="IP7" s="195"/>
      <c r="IQ7" s="195"/>
      <c r="IR7" s="195"/>
      <c r="IS7" s="195"/>
      <c r="IT7" s="195"/>
      <c r="IU7" s="195"/>
      <c r="IV7" s="195"/>
    </row>
    <row r="8" spans="1:256" ht="42" customHeight="1" thickBot="1"/>
    <row r="9" spans="1:256" s="668" customFormat="1" ht="24" customHeight="1">
      <c r="A9" s="1332"/>
      <c r="B9" s="1332"/>
      <c r="C9" s="1332"/>
      <c r="D9" s="1332"/>
      <c r="E9" s="1332"/>
      <c r="F9" s="186"/>
      <c r="G9" s="198" t="s">
        <v>160</v>
      </c>
      <c r="H9" s="225">
        <f>+I7</f>
        <v>2815655</v>
      </c>
      <c r="I9" s="188"/>
      <c r="J9" s="188"/>
      <c r="K9" s="188"/>
      <c r="L9" s="188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  <c r="Y9" s="186"/>
      <c r="Z9" s="186"/>
      <c r="AA9" s="186"/>
      <c r="AB9" s="186"/>
      <c r="AC9" s="186"/>
      <c r="AD9" s="186"/>
      <c r="AE9" s="186"/>
      <c r="AF9" s="186"/>
      <c r="AG9" s="186"/>
      <c r="AH9" s="186"/>
      <c r="AI9" s="186"/>
      <c r="AJ9" s="186"/>
      <c r="AK9" s="186"/>
      <c r="AL9" s="186"/>
      <c r="AM9" s="186"/>
      <c r="AN9" s="186"/>
      <c r="AO9" s="186"/>
      <c r="AP9" s="186"/>
      <c r="AQ9" s="186"/>
      <c r="AR9" s="186"/>
      <c r="AS9" s="186"/>
      <c r="AT9" s="186"/>
      <c r="AU9" s="186"/>
      <c r="AV9" s="186"/>
      <c r="AW9" s="186"/>
      <c r="AX9" s="186"/>
      <c r="AY9" s="186"/>
      <c r="AZ9" s="186"/>
      <c r="BA9" s="186"/>
      <c r="BB9" s="186"/>
      <c r="BC9" s="186"/>
      <c r="BD9" s="186"/>
      <c r="BE9" s="186"/>
      <c r="BF9" s="186"/>
      <c r="BG9" s="186"/>
      <c r="BH9" s="186"/>
      <c r="BI9" s="186"/>
      <c r="BJ9" s="186"/>
      <c r="BK9" s="186"/>
      <c r="BL9" s="186"/>
      <c r="BM9" s="186"/>
      <c r="BN9" s="186"/>
      <c r="BO9" s="186"/>
      <c r="BP9" s="186"/>
      <c r="BQ9" s="186"/>
      <c r="BR9" s="186"/>
      <c r="BS9" s="186"/>
      <c r="BT9" s="186"/>
      <c r="BU9" s="186"/>
      <c r="BV9" s="186"/>
      <c r="BW9" s="186"/>
      <c r="BX9" s="186"/>
      <c r="BY9" s="186"/>
      <c r="BZ9" s="186"/>
      <c r="CA9" s="186"/>
      <c r="CB9" s="186"/>
      <c r="CC9" s="186"/>
      <c r="CD9" s="186"/>
      <c r="CE9" s="186"/>
      <c r="CF9" s="186"/>
      <c r="CG9" s="186"/>
      <c r="CH9" s="186"/>
      <c r="CI9" s="186"/>
      <c r="CJ9" s="186"/>
      <c r="CK9" s="186"/>
      <c r="CL9" s="186"/>
      <c r="CM9" s="186"/>
      <c r="CN9" s="186"/>
      <c r="CO9" s="186"/>
      <c r="CP9" s="186"/>
      <c r="CQ9" s="186"/>
      <c r="CR9" s="186"/>
      <c r="CS9" s="186"/>
      <c r="CT9" s="186"/>
      <c r="CU9" s="186"/>
      <c r="CV9" s="186"/>
      <c r="CW9" s="186"/>
      <c r="CX9" s="186"/>
      <c r="CY9" s="186"/>
      <c r="CZ9" s="186"/>
      <c r="DA9" s="186"/>
      <c r="DB9" s="186"/>
      <c r="DC9" s="186"/>
      <c r="DD9" s="186"/>
      <c r="DE9" s="186"/>
      <c r="DF9" s="186"/>
      <c r="DG9" s="186"/>
      <c r="DH9" s="186"/>
      <c r="DI9" s="186"/>
      <c r="DJ9" s="186"/>
      <c r="DK9" s="186"/>
      <c r="DL9" s="186"/>
      <c r="DM9" s="186"/>
      <c r="DN9" s="186"/>
      <c r="DO9" s="186"/>
      <c r="DP9" s="186"/>
      <c r="DQ9" s="186"/>
      <c r="DR9" s="186"/>
      <c r="DS9" s="186"/>
      <c r="DT9" s="186"/>
      <c r="DU9" s="186"/>
      <c r="DV9" s="186"/>
      <c r="DW9" s="186"/>
      <c r="DX9" s="186"/>
      <c r="DY9" s="186"/>
      <c r="DZ9" s="186"/>
      <c r="EA9" s="186"/>
      <c r="EB9" s="186"/>
      <c r="EC9" s="186"/>
      <c r="ED9" s="186"/>
      <c r="EE9" s="186"/>
      <c r="EF9" s="186"/>
      <c r="EG9" s="186"/>
      <c r="EH9" s="186"/>
      <c r="EI9" s="186"/>
      <c r="EJ9" s="186"/>
      <c r="EK9" s="186"/>
      <c r="EL9" s="186"/>
      <c r="EM9" s="186"/>
      <c r="EN9" s="186"/>
      <c r="EO9" s="186"/>
      <c r="EP9" s="186"/>
      <c r="EQ9" s="186"/>
      <c r="ER9" s="186"/>
      <c r="ES9" s="186"/>
      <c r="ET9" s="186"/>
      <c r="EU9" s="186"/>
      <c r="EV9" s="186"/>
      <c r="EW9" s="186"/>
      <c r="EX9" s="186"/>
      <c r="EY9" s="186"/>
      <c r="EZ9" s="186"/>
      <c r="FA9" s="186"/>
      <c r="FB9" s="186"/>
      <c r="FC9" s="186"/>
      <c r="FD9" s="186"/>
      <c r="FE9" s="186"/>
      <c r="FF9" s="186"/>
      <c r="FG9" s="186"/>
      <c r="FH9" s="186"/>
      <c r="FI9" s="186"/>
      <c r="FJ9" s="186"/>
      <c r="FK9" s="186"/>
      <c r="FL9" s="186"/>
      <c r="FM9" s="186"/>
      <c r="FN9" s="186"/>
      <c r="FO9" s="186"/>
      <c r="FP9" s="186"/>
      <c r="FQ9" s="186"/>
      <c r="FR9" s="186"/>
      <c r="FS9" s="186"/>
      <c r="FT9" s="186"/>
      <c r="FU9" s="186"/>
      <c r="FV9" s="186"/>
      <c r="FW9" s="186"/>
      <c r="FX9" s="186"/>
      <c r="FY9" s="186"/>
      <c r="FZ9" s="186"/>
      <c r="GA9" s="186"/>
      <c r="GB9" s="186"/>
      <c r="GC9" s="186"/>
      <c r="GD9" s="186"/>
      <c r="GE9" s="186"/>
      <c r="GF9" s="186"/>
      <c r="GG9" s="186"/>
      <c r="GH9" s="186"/>
      <c r="GI9" s="186"/>
      <c r="GJ9" s="186"/>
      <c r="GK9" s="186"/>
      <c r="GL9" s="186"/>
      <c r="GM9" s="186"/>
      <c r="GN9" s="186"/>
      <c r="GO9" s="186"/>
      <c r="GP9" s="186"/>
      <c r="GQ9" s="186"/>
      <c r="GR9" s="186"/>
      <c r="GS9" s="186"/>
      <c r="GT9" s="186"/>
      <c r="GU9" s="186"/>
      <c r="GV9" s="186"/>
      <c r="GW9" s="186"/>
      <c r="GX9" s="186"/>
      <c r="GY9" s="186"/>
      <c r="GZ9" s="186"/>
      <c r="HA9" s="186"/>
      <c r="HB9" s="186"/>
      <c r="HC9" s="186"/>
      <c r="HD9" s="186"/>
      <c r="HE9" s="186"/>
      <c r="HF9" s="186"/>
      <c r="HG9" s="186"/>
      <c r="HH9" s="186"/>
      <c r="HI9" s="186"/>
      <c r="HJ9" s="186"/>
      <c r="HK9" s="186"/>
      <c r="HL9" s="186"/>
      <c r="HM9" s="186"/>
      <c r="HN9" s="186"/>
      <c r="HO9" s="186"/>
      <c r="HP9" s="186"/>
      <c r="HQ9" s="186"/>
      <c r="HR9" s="186"/>
      <c r="HS9" s="186"/>
      <c r="HT9" s="186"/>
      <c r="HU9" s="186"/>
      <c r="HV9" s="186"/>
      <c r="HW9" s="186"/>
      <c r="HX9" s="186"/>
      <c r="HY9" s="186"/>
      <c r="HZ9" s="186"/>
      <c r="IA9" s="186"/>
      <c r="IB9" s="186"/>
      <c r="IC9" s="186"/>
      <c r="ID9" s="186"/>
      <c r="IE9" s="186"/>
      <c r="IF9" s="186"/>
      <c r="IG9" s="186"/>
      <c r="IH9" s="186"/>
      <c r="II9" s="186"/>
      <c r="IJ9" s="186"/>
      <c r="IK9" s="186"/>
      <c r="IL9" s="186"/>
      <c r="IM9" s="186"/>
      <c r="IN9" s="186"/>
      <c r="IO9" s="186"/>
      <c r="IP9" s="186"/>
      <c r="IQ9" s="186"/>
      <c r="IR9" s="186"/>
      <c r="IS9" s="186"/>
      <c r="IT9" s="186"/>
      <c r="IU9" s="186"/>
      <c r="IV9" s="186"/>
    </row>
    <row r="10" spans="1:256" s="668" customFormat="1" ht="15.75">
      <c r="A10" s="1332"/>
      <c r="B10" s="1332"/>
      <c r="C10" s="1332"/>
      <c r="D10" s="1332"/>
      <c r="E10" s="1332"/>
      <c r="F10" s="186"/>
      <c r="G10" s="199" t="s">
        <v>161</v>
      </c>
      <c r="H10" s="226">
        <v>0</v>
      </c>
      <c r="I10" s="188"/>
      <c r="J10" s="188"/>
      <c r="K10" s="188"/>
      <c r="L10" s="188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/>
      <c r="AJ10" s="186"/>
      <c r="AK10" s="186"/>
      <c r="AL10" s="186"/>
      <c r="AM10" s="186"/>
      <c r="AN10" s="186"/>
      <c r="AO10" s="186"/>
      <c r="AP10" s="186"/>
      <c r="AQ10" s="186"/>
      <c r="AR10" s="186"/>
      <c r="AS10" s="186"/>
      <c r="AT10" s="186"/>
      <c r="AU10" s="186"/>
      <c r="AV10" s="186"/>
      <c r="AW10" s="186"/>
      <c r="AX10" s="186"/>
      <c r="AY10" s="186"/>
      <c r="AZ10" s="186"/>
      <c r="BA10" s="186"/>
      <c r="BB10" s="186"/>
      <c r="BC10" s="186"/>
      <c r="BD10" s="186"/>
      <c r="BE10" s="186"/>
      <c r="BF10" s="186"/>
      <c r="BG10" s="186"/>
      <c r="BH10" s="186"/>
      <c r="BI10" s="186"/>
      <c r="BJ10" s="186"/>
      <c r="BK10" s="186"/>
      <c r="BL10" s="186"/>
      <c r="BM10" s="186"/>
      <c r="BN10" s="186"/>
      <c r="BO10" s="186"/>
      <c r="BP10" s="186"/>
      <c r="BQ10" s="186"/>
      <c r="BR10" s="186"/>
      <c r="BS10" s="186"/>
      <c r="BT10" s="186"/>
      <c r="BU10" s="186"/>
      <c r="BV10" s="186"/>
      <c r="BW10" s="186"/>
      <c r="BX10" s="186"/>
      <c r="BY10" s="186"/>
      <c r="BZ10" s="186"/>
      <c r="CA10" s="186"/>
      <c r="CB10" s="186"/>
      <c r="CC10" s="186"/>
      <c r="CD10" s="186"/>
      <c r="CE10" s="186"/>
      <c r="CF10" s="186"/>
      <c r="CG10" s="186"/>
      <c r="CH10" s="186"/>
      <c r="CI10" s="186"/>
      <c r="CJ10" s="186"/>
      <c r="CK10" s="186"/>
      <c r="CL10" s="186"/>
      <c r="CM10" s="186"/>
      <c r="CN10" s="186"/>
      <c r="CO10" s="186"/>
      <c r="CP10" s="186"/>
      <c r="CQ10" s="186"/>
      <c r="CR10" s="186"/>
      <c r="CS10" s="186"/>
      <c r="CT10" s="186"/>
      <c r="CU10" s="186"/>
      <c r="CV10" s="186"/>
      <c r="CW10" s="186"/>
      <c r="CX10" s="186"/>
      <c r="CY10" s="186"/>
      <c r="CZ10" s="186"/>
      <c r="DA10" s="186"/>
      <c r="DB10" s="186"/>
      <c r="DC10" s="186"/>
      <c r="DD10" s="186"/>
      <c r="DE10" s="186"/>
      <c r="DF10" s="186"/>
      <c r="DG10" s="186"/>
      <c r="DH10" s="186"/>
      <c r="DI10" s="186"/>
      <c r="DJ10" s="186"/>
      <c r="DK10" s="186"/>
      <c r="DL10" s="186"/>
      <c r="DM10" s="186"/>
      <c r="DN10" s="186"/>
      <c r="DO10" s="186"/>
      <c r="DP10" s="186"/>
      <c r="DQ10" s="186"/>
      <c r="DR10" s="186"/>
      <c r="DS10" s="186"/>
      <c r="DT10" s="186"/>
      <c r="DU10" s="186"/>
      <c r="DV10" s="186"/>
      <c r="DW10" s="186"/>
      <c r="DX10" s="186"/>
      <c r="DY10" s="186"/>
      <c r="DZ10" s="186"/>
      <c r="EA10" s="186"/>
      <c r="EB10" s="186"/>
      <c r="EC10" s="186"/>
      <c r="ED10" s="186"/>
      <c r="EE10" s="186"/>
      <c r="EF10" s="186"/>
      <c r="EG10" s="186"/>
      <c r="EH10" s="186"/>
      <c r="EI10" s="186"/>
      <c r="EJ10" s="186"/>
      <c r="EK10" s="186"/>
      <c r="EL10" s="186"/>
      <c r="EM10" s="186"/>
      <c r="EN10" s="186"/>
      <c r="EO10" s="186"/>
      <c r="EP10" s="186"/>
      <c r="EQ10" s="186"/>
      <c r="ER10" s="186"/>
      <c r="ES10" s="186"/>
      <c r="ET10" s="186"/>
      <c r="EU10" s="186"/>
      <c r="EV10" s="186"/>
      <c r="EW10" s="186"/>
      <c r="EX10" s="186"/>
      <c r="EY10" s="186"/>
      <c r="EZ10" s="186"/>
      <c r="FA10" s="186"/>
      <c r="FB10" s="186"/>
      <c r="FC10" s="186"/>
      <c r="FD10" s="186"/>
      <c r="FE10" s="186"/>
      <c r="FF10" s="186"/>
      <c r="FG10" s="186"/>
      <c r="FH10" s="186"/>
      <c r="FI10" s="186"/>
      <c r="FJ10" s="186"/>
      <c r="FK10" s="186"/>
      <c r="FL10" s="186"/>
      <c r="FM10" s="186"/>
      <c r="FN10" s="186"/>
      <c r="FO10" s="186"/>
      <c r="FP10" s="186"/>
      <c r="FQ10" s="186"/>
      <c r="FR10" s="186"/>
      <c r="FS10" s="186"/>
      <c r="FT10" s="186"/>
      <c r="FU10" s="186"/>
      <c r="FV10" s="186"/>
      <c r="FW10" s="186"/>
      <c r="FX10" s="186"/>
      <c r="FY10" s="186"/>
      <c r="FZ10" s="186"/>
      <c r="GA10" s="186"/>
      <c r="GB10" s="186"/>
      <c r="GC10" s="186"/>
      <c r="GD10" s="186"/>
      <c r="GE10" s="186"/>
      <c r="GF10" s="186"/>
      <c r="GG10" s="186"/>
      <c r="GH10" s="186"/>
      <c r="GI10" s="186"/>
      <c r="GJ10" s="186"/>
      <c r="GK10" s="186"/>
      <c r="GL10" s="186"/>
      <c r="GM10" s="186"/>
      <c r="GN10" s="186"/>
      <c r="GO10" s="186"/>
      <c r="GP10" s="186"/>
      <c r="GQ10" s="186"/>
      <c r="GR10" s="186"/>
      <c r="GS10" s="186"/>
      <c r="GT10" s="186"/>
      <c r="GU10" s="186"/>
      <c r="GV10" s="186"/>
      <c r="GW10" s="186"/>
      <c r="GX10" s="186"/>
      <c r="GY10" s="186"/>
      <c r="GZ10" s="186"/>
      <c r="HA10" s="186"/>
      <c r="HB10" s="186"/>
      <c r="HC10" s="186"/>
      <c r="HD10" s="186"/>
      <c r="HE10" s="186"/>
      <c r="HF10" s="186"/>
      <c r="HG10" s="186"/>
      <c r="HH10" s="186"/>
      <c r="HI10" s="186"/>
      <c r="HJ10" s="186"/>
      <c r="HK10" s="186"/>
      <c r="HL10" s="186"/>
      <c r="HM10" s="186"/>
      <c r="HN10" s="186"/>
      <c r="HO10" s="186"/>
      <c r="HP10" s="186"/>
      <c r="HQ10" s="186"/>
      <c r="HR10" s="186"/>
      <c r="HS10" s="186"/>
      <c r="HT10" s="186"/>
      <c r="HU10" s="186"/>
      <c r="HV10" s="186"/>
      <c r="HW10" s="186"/>
      <c r="HX10" s="186"/>
      <c r="HY10" s="186"/>
      <c r="HZ10" s="186"/>
      <c r="IA10" s="186"/>
      <c r="IB10" s="186"/>
      <c r="IC10" s="186"/>
      <c r="ID10" s="186"/>
      <c r="IE10" s="186"/>
      <c r="IF10" s="186"/>
      <c r="IG10" s="186"/>
      <c r="IH10" s="186"/>
      <c r="II10" s="186"/>
      <c r="IJ10" s="186"/>
      <c r="IK10" s="186"/>
      <c r="IL10" s="186"/>
      <c r="IM10" s="186"/>
      <c r="IN10" s="186"/>
      <c r="IO10" s="186"/>
      <c r="IP10" s="186"/>
      <c r="IQ10" s="186"/>
      <c r="IR10" s="186"/>
      <c r="IS10" s="186"/>
      <c r="IT10" s="186"/>
      <c r="IU10" s="186"/>
      <c r="IV10" s="186"/>
    </row>
    <row r="11" spans="1:256" s="668" customFormat="1" ht="15.75">
      <c r="A11" s="1332"/>
      <c r="B11" s="1332"/>
      <c r="C11" s="1332"/>
      <c r="D11" s="1332"/>
      <c r="E11" s="1332"/>
      <c r="F11" s="186"/>
      <c r="G11" s="199" t="s">
        <v>162</v>
      </c>
      <c r="H11" s="226">
        <f>+H9+H10</f>
        <v>2815655</v>
      </c>
      <c r="I11" s="188"/>
      <c r="J11" s="188"/>
      <c r="K11" s="188"/>
      <c r="L11" s="188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186"/>
      <c r="AO11" s="186"/>
      <c r="AP11" s="186"/>
      <c r="AQ11" s="186"/>
      <c r="AR11" s="186"/>
      <c r="AS11" s="186"/>
      <c r="AT11" s="186"/>
      <c r="AU11" s="186"/>
      <c r="AV11" s="186"/>
      <c r="AW11" s="186"/>
      <c r="AX11" s="186"/>
      <c r="AY11" s="186"/>
      <c r="AZ11" s="186"/>
      <c r="BA11" s="186"/>
      <c r="BB11" s="186"/>
      <c r="BC11" s="186"/>
      <c r="BD11" s="186"/>
      <c r="BE11" s="186"/>
      <c r="BF11" s="186"/>
      <c r="BG11" s="186"/>
      <c r="BH11" s="186"/>
      <c r="BI11" s="186"/>
      <c r="BJ11" s="186"/>
      <c r="BK11" s="186"/>
      <c r="BL11" s="186"/>
      <c r="BM11" s="186"/>
      <c r="BN11" s="186"/>
      <c r="BO11" s="186"/>
      <c r="BP11" s="186"/>
      <c r="BQ11" s="186"/>
      <c r="BR11" s="186"/>
      <c r="BS11" s="186"/>
      <c r="BT11" s="186"/>
      <c r="BU11" s="186"/>
      <c r="BV11" s="186"/>
      <c r="BW11" s="186"/>
      <c r="BX11" s="186"/>
      <c r="BY11" s="186"/>
      <c r="BZ11" s="186"/>
      <c r="CA11" s="186"/>
      <c r="CB11" s="186"/>
      <c r="CC11" s="186"/>
      <c r="CD11" s="186"/>
      <c r="CE11" s="186"/>
      <c r="CF11" s="186"/>
      <c r="CG11" s="186"/>
      <c r="CH11" s="186"/>
      <c r="CI11" s="186"/>
      <c r="CJ11" s="186"/>
      <c r="CK11" s="186"/>
      <c r="CL11" s="186"/>
      <c r="CM11" s="186"/>
      <c r="CN11" s="186"/>
      <c r="CO11" s="186"/>
      <c r="CP11" s="186"/>
      <c r="CQ11" s="186"/>
      <c r="CR11" s="186"/>
      <c r="CS11" s="186"/>
      <c r="CT11" s="186"/>
      <c r="CU11" s="186"/>
      <c r="CV11" s="186"/>
      <c r="CW11" s="186"/>
      <c r="CX11" s="186"/>
      <c r="CY11" s="186"/>
      <c r="CZ11" s="186"/>
      <c r="DA11" s="186"/>
      <c r="DB11" s="186"/>
      <c r="DC11" s="186"/>
      <c r="DD11" s="186"/>
      <c r="DE11" s="186"/>
      <c r="DF11" s="186"/>
      <c r="DG11" s="186"/>
      <c r="DH11" s="186"/>
      <c r="DI11" s="186"/>
      <c r="DJ11" s="186"/>
      <c r="DK11" s="186"/>
      <c r="DL11" s="186"/>
      <c r="DM11" s="186"/>
      <c r="DN11" s="186"/>
      <c r="DO11" s="186"/>
      <c r="DP11" s="186"/>
      <c r="DQ11" s="186"/>
      <c r="DR11" s="186"/>
      <c r="DS11" s="186"/>
      <c r="DT11" s="186"/>
      <c r="DU11" s="186"/>
      <c r="DV11" s="186"/>
      <c r="DW11" s="186"/>
      <c r="DX11" s="186"/>
      <c r="DY11" s="186"/>
      <c r="DZ11" s="186"/>
      <c r="EA11" s="186"/>
      <c r="EB11" s="186"/>
      <c r="EC11" s="186"/>
      <c r="ED11" s="186"/>
      <c r="EE11" s="186"/>
      <c r="EF11" s="186"/>
      <c r="EG11" s="186"/>
      <c r="EH11" s="186"/>
      <c r="EI11" s="186"/>
      <c r="EJ11" s="186"/>
      <c r="EK11" s="186"/>
      <c r="EL11" s="186"/>
      <c r="EM11" s="186"/>
      <c r="EN11" s="186"/>
      <c r="EO11" s="186"/>
      <c r="EP11" s="186"/>
      <c r="EQ11" s="186"/>
      <c r="ER11" s="186"/>
      <c r="ES11" s="186"/>
      <c r="ET11" s="186"/>
      <c r="EU11" s="186"/>
      <c r="EV11" s="186"/>
      <c r="EW11" s="186"/>
      <c r="EX11" s="186"/>
      <c r="EY11" s="186"/>
      <c r="EZ11" s="186"/>
      <c r="FA11" s="186"/>
      <c r="FB11" s="186"/>
      <c r="FC11" s="186"/>
      <c r="FD11" s="186"/>
      <c r="FE11" s="186"/>
      <c r="FF11" s="186"/>
      <c r="FG11" s="186"/>
      <c r="FH11" s="186"/>
      <c r="FI11" s="186"/>
      <c r="FJ11" s="186"/>
      <c r="FK11" s="186"/>
      <c r="FL11" s="186"/>
      <c r="FM11" s="186"/>
      <c r="FN11" s="186"/>
      <c r="FO11" s="186"/>
      <c r="FP11" s="186"/>
      <c r="FQ11" s="186"/>
      <c r="FR11" s="186"/>
      <c r="FS11" s="186"/>
      <c r="FT11" s="186"/>
      <c r="FU11" s="186"/>
      <c r="FV11" s="186"/>
      <c r="FW11" s="186"/>
      <c r="FX11" s="186"/>
      <c r="FY11" s="186"/>
      <c r="FZ11" s="186"/>
      <c r="GA11" s="186"/>
      <c r="GB11" s="186"/>
      <c r="GC11" s="186"/>
      <c r="GD11" s="186"/>
      <c r="GE11" s="186"/>
      <c r="GF11" s="186"/>
      <c r="GG11" s="186"/>
      <c r="GH11" s="186"/>
      <c r="GI11" s="186"/>
      <c r="GJ11" s="186"/>
      <c r="GK11" s="186"/>
      <c r="GL11" s="186"/>
      <c r="GM11" s="186"/>
      <c r="GN11" s="186"/>
      <c r="GO11" s="186"/>
      <c r="GP11" s="186"/>
      <c r="GQ11" s="186"/>
      <c r="GR11" s="186"/>
      <c r="GS11" s="186"/>
      <c r="GT11" s="186"/>
      <c r="GU11" s="186"/>
      <c r="GV11" s="186"/>
      <c r="GW11" s="186"/>
      <c r="GX11" s="186"/>
      <c r="GY11" s="186"/>
      <c r="GZ11" s="186"/>
      <c r="HA11" s="186"/>
      <c r="HB11" s="186"/>
      <c r="HC11" s="186"/>
      <c r="HD11" s="186"/>
      <c r="HE11" s="186"/>
      <c r="HF11" s="186"/>
      <c r="HG11" s="186"/>
      <c r="HH11" s="186"/>
      <c r="HI11" s="186"/>
      <c r="HJ11" s="186"/>
      <c r="HK11" s="186"/>
      <c r="HL11" s="186"/>
      <c r="HM11" s="186"/>
      <c r="HN11" s="186"/>
      <c r="HO11" s="186"/>
      <c r="HP11" s="186"/>
      <c r="HQ11" s="186"/>
      <c r="HR11" s="186"/>
      <c r="HS11" s="186"/>
      <c r="HT11" s="186"/>
      <c r="HU11" s="186"/>
      <c r="HV11" s="186"/>
      <c r="HW11" s="186"/>
      <c r="HX11" s="186"/>
      <c r="HY11" s="186"/>
      <c r="HZ11" s="186"/>
      <c r="IA11" s="186"/>
      <c r="IB11" s="186"/>
      <c r="IC11" s="186"/>
      <c r="ID11" s="186"/>
      <c r="IE11" s="186"/>
      <c r="IF11" s="186"/>
      <c r="IG11" s="186"/>
      <c r="IH11" s="186"/>
      <c r="II11" s="186"/>
      <c r="IJ11" s="186"/>
      <c r="IK11" s="186"/>
      <c r="IL11" s="186"/>
      <c r="IM11" s="186"/>
      <c r="IN11" s="186"/>
      <c r="IO11" s="186"/>
      <c r="IP11" s="186"/>
      <c r="IQ11" s="186"/>
      <c r="IR11" s="186"/>
      <c r="IS11" s="186"/>
      <c r="IT11" s="186"/>
      <c r="IU11" s="186"/>
      <c r="IV11" s="186"/>
    </row>
    <row r="12" spans="1:256" s="668" customFormat="1" ht="15.75">
      <c r="A12" s="186"/>
      <c r="B12" s="186"/>
      <c r="C12" s="186"/>
      <c r="D12" s="186"/>
      <c r="E12" s="187"/>
      <c r="F12" s="186"/>
      <c r="G12" s="199" t="s">
        <v>163</v>
      </c>
      <c r="H12" s="226">
        <f>+J7</f>
        <v>534974</v>
      </c>
      <c r="I12" s="188"/>
      <c r="J12" s="188"/>
      <c r="K12" s="188"/>
      <c r="L12" s="188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186"/>
      <c r="AQ12" s="186"/>
      <c r="AR12" s="186"/>
      <c r="AS12" s="186"/>
      <c r="AT12" s="186"/>
      <c r="AU12" s="186"/>
      <c r="AV12" s="186"/>
      <c r="AW12" s="186"/>
      <c r="AX12" s="186"/>
      <c r="AY12" s="186"/>
      <c r="AZ12" s="186"/>
      <c r="BA12" s="186"/>
      <c r="BB12" s="186"/>
      <c r="BC12" s="186"/>
      <c r="BD12" s="186"/>
      <c r="BE12" s="186"/>
      <c r="BF12" s="186"/>
      <c r="BG12" s="186"/>
      <c r="BH12" s="186"/>
      <c r="BI12" s="186"/>
      <c r="BJ12" s="186"/>
      <c r="BK12" s="186"/>
      <c r="BL12" s="186"/>
      <c r="BM12" s="186"/>
      <c r="BN12" s="186"/>
      <c r="BO12" s="186"/>
      <c r="BP12" s="186"/>
      <c r="BQ12" s="186"/>
      <c r="BR12" s="186"/>
      <c r="BS12" s="186"/>
      <c r="BT12" s="186"/>
      <c r="BU12" s="186"/>
      <c r="BV12" s="186"/>
      <c r="BW12" s="186"/>
      <c r="BX12" s="186"/>
      <c r="BY12" s="186"/>
      <c r="BZ12" s="186"/>
      <c r="CA12" s="186"/>
      <c r="CB12" s="186"/>
      <c r="CC12" s="186"/>
      <c r="CD12" s="186"/>
      <c r="CE12" s="186"/>
      <c r="CF12" s="186"/>
      <c r="CG12" s="186"/>
      <c r="CH12" s="186"/>
      <c r="CI12" s="186"/>
      <c r="CJ12" s="186"/>
      <c r="CK12" s="186"/>
      <c r="CL12" s="186"/>
      <c r="CM12" s="186"/>
      <c r="CN12" s="186"/>
      <c r="CO12" s="186"/>
      <c r="CP12" s="186"/>
      <c r="CQ12" s="186"/>
      <c r="CR12" s="186"/>
      <c r="CS12" s="186"/>
      <c r="CT12" s="186"/>
      <c r="CU12" s="186"/>
      <c r="CV12" s="186"/>
      <c r="CW12" s="186"/>
      <c r="CX12" s="186"/>
      <c r="CY12" s="186"/>
      <c r="CZ12" s="186"/>
      <c r="DA12" s="186"/>
      <c r="DB12" s="186"/>
      <c r="DC12" s="186"/>
      <c r="DD12" s="186"/>
      <c r="DE12" s="186"/>
      <c r="DF12" s="186"/>
      <c r="DG12" s="186"/>
      <c r="DH12" s="186"/>
      <c r="DI12" s="186"/>
      <c r="DJ12" s="186"/>
      <c r="DK12" s="186"/>
      <c r="DL12" s="186"/>
      <c r="DM12" s="186"/>
      <c r="DN12" s="186"/>
      <c r="DO12" s="186"/>
      <c r="DP12" s="186"/>
      <c r="DQ12" s="186"/>
      <c r="DR12" s="186"/>
      <c r="DS12" s="186"/>
      <c r="DT12" s="186"/>
      <c r="DU12" s="186"/>
      <c r="DV12" s="186"/>
      <c r="DW12" s="186"/>
      <c r="DX12" s="186"/>
      <c r="DY12" s="186"/>
      <c r="DZ12" s="186"/>
      <c r="EA12" s="186"/>
      <c r="EB12" s="186"/>
      <c r="EC12" s="186"/>
      <c r="ED12" s="186"/>
      <c r="EE12" s="186"/>
      <c r="EF12" s="186"/>
      <c r="EG12" s="186"/>
      <c r="EH12" s="186"/>
      <c r="EI12" s="186"/>
      <c r="EJ12" s="186"/>
      <c r="EK12" s="186"/>
      <c r="EL12" s="186"/>
      <c r="EM12" s="186"/>
      <c r="EN12" s="186"/>
      <c r="EO12" s="186"/>
      <c r="EP12" s="186"/>
      <c r="EQ12" s="186"/>
      <c r="ER12" s="186"/>
      <c r="ES12" s="186"/>
      <c r="ET12" s="186"/>
      <c r="EU12" s="186"/>
      <c r="EV12" s="186"/>
      <c r="EW12" s="186"/>
      <c r="EX12" s="186"/>
      <c r="EY12" s="186"/>
      <c r="EZ12" s="186"/>
      <c r="FA12" s="186"/>
      <c r="FB12" s="186"/>
      <c r="FC12" s="186"/>
      <c r="FD12" s="186"/>
      <c r="FE12" s="186"/>
      <c r="FF12" s="186"/>
      <c r="FG12" s="186"/>
      <c r="FH12" s="186"/>
      <c r="FI12" s="186"/>
      <c r="FJ12" s="186"/>
      <c r="FK12" s="186"/>
      <c r="FL12" s="186"/>
      <c r="FM12" s="186"/>
      <c r="FN12" s="186"/>
      <c r="FO12" s="186"/>
      <c r="FP12" s="186"/>
      <c r="FQ12" s="186"/>
      <c r="FR12" s="186"/>
      <c r="FS12" s="186"/>
      <c r="FT12" s="186"/>
      <c r="FU12" s="186"/>
      <c r="FV12" s="186"/>
      <c r="FW12" s="186"/>
      <c r="FX12" s="186"/>
      <c r="FY12" s="186"/>
      <c r="FZ12" s="186"/>
      <c r="GA12" s="186"/>
      <c r="GB12" s="186"/>
      <c r="GC12" s="186"/>
      <c r="GD12" s="186"/>
      <c r="GE12" s="186"/>
      <c r="GF12" s="186"/>
      <c r="GG12" s="186"/>
      <c r="GH12" s="186"/>
      <c r="GI12" s="186"/>
      <c r="GJ12" s="186"/>
      <c r="GK12" s="186"/>
      <c r="GL12" s="186"/>
      <c r="GM12" s="186"/>
      <c r="GN12" s="186"/>
      <c r="GO12" s="186"/>
      <c r="GP12" s="186"/>
      <c r="GQ12" s="186"/>
      <c r="GR12" s="186"/>
      <c r="GS12" s="186"/>
      <c r="GT12" s="186"/>
      <c r="GU12" s="186"/>
      <c r="GV12" s="186"/>
      <c r="GW12" s="186"/>
      <c r="GX12" s="186"/>
      <c r="GY12" s="186"/>
      <c r="GZ12" s="186"/>
      <c r="HA12" s="186"/>
      <c r="HB12" s="186"/>
      <c r="HC12" s="186"/>
      <c r="HD12" s="186"/>
      <c r="HE12" s="186"/>
      <c r="HF12" s="186"/>
      <c r="HG12" s="186"/>
      <c r="HH12" s="186"/>
      <c r="HI12" s="186"/>
      <c r="HJ12" s="186"/>
      <c r="HK12" s="186"/>
      <c r="HL12" s="186"/>
      <c r="HM12" s="186"/>
      <c r="HN12" s="186"/>
      <c r="HO12" s="186"/>
      <c r="HP12" s="186"/>
      <c r="HQ12" s="186"/>
      <c r="HR12" s="186"/>
      <c r="HS12" s="186"/>
      <c r="HT12" s="186"/>
      <c r="HU12" s="186"/>
      <c r="HV12" s="186"/>
      <c r="HW12" s="186"/>
      <c r="HX12" s="186"/>
      <c r="HY12" s="186"/>
      <c r="HZ12" s="186"/>
      <c r="IA12" s="186"/>
      <c r="IB12" s="186"/>
      <c r="IC12" s="186"/>
      <c r="ID12" s="186"/>
      <c r="IE12" s="186"/>
      <c r="IF12" s="186"/>
      <c r="IG12" s="186"/>
      <c r="IH12" s="186"/>
      <c r="II12" s="186"/>
      <c r="IJ12" s="186"/>
      <c r="IK12" s="186"/>
      <c r="IL12" s="186"/>
      <c r="IM12" s="186"/>
      <c r="IN12" s="186"/>
      <c r="IO12" s="186"/>
      <c r="IP12" s="186"/>
      <c r="IQ12" s="186"/>
      <c r="IR12" s="186"/>
      <c r="IS12" s="186"/>
      <c r="IT12" s="186"/>
      <c r="IU12" s="186"/>
      <c r="IV12" s="186"/>
    </row>
    <row r="13" spans="1:256" s="668" customFormat="1" ht="15.75">
      <c r="A13" s="186"/>
      <c r="B13" s="186"/>
      <c r="C13" s="186"/>
      <c r="D13" s="186"/>
      <c r="E13" s="187"/>
      <c r="F13" s="186"/>
      <c r="G13" s="199" t="s">
        <v>164</v>
      </c>
      <c r="H13" s="226">
        <f>+K7</f>
        <v>0</v>
      </c>
      <c r="I13" s="188"/>
      <c r="J13" s="188"/>
      <c r="K13" s="188"/>
      <c r="L13" s="188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  <c r="AB13" s="186"/>
      <c r="AC13" s="186"/>
      <c r="AD13" s="186"/>
      <c r="AE13" s="186"/>
      <c r="AF13" s="186"/>
      <c r="AG13" s="186"/>
      <c r="AH13" s="186"/>
      <c r="AI13" s="186"/>
      <c r="AJ13" s="186"/>
      <c r="AK13" s="186"/>
      <c r="AL13" s="186"/>
      <c r="AM13" s="186"/>
      <c r="AN13" s="186"/>
      <c r="AO13" s="186"/>
      <c r="AP13" s="186"/>
      <c r="AQ13" s="186"/>
      <c r="AR13" s="186"/>
      <c r="AS13" s="186"/>
      <c r="AT13" s="186"/>
      <c r="AU13" s="186"/>
      <c r="AV13" s="186"/>
      <c r="AW13" s="186"/>
      <c r="AX13" s="186"/>
      <c r="AY13" s="186"/>
      <c r="AZ13" s="186"/>
      <c r="BA13" s="186"/>
      <c r="BB13" s="186"/>
      <c r="BC13" s="186"/>
      <c r="BD13" s="186"/>
      <c r="BE13" s="186"/>
      <c r="BF13" s="186"/>
      <c r="BG13" s="186"/>
      <c r="BH13" s="186"/>
      <c r="BI13" s="186"/>
      <c r="BJ13" s="186"/>
      <c r="BK13" s="186"/>
      <c r="BL13" s="186"/>
      <c r="BM13" s="186"/>
      <c r="BN13" s="186"/>
      <c r="BO13" s="186"/>
      <c r="BP13" s="186"/>
      <c r="BQ13" s="186"/>
      <c r="BR13" s="186"/>
      <c r="BS13" s="186"/>
      <c r="BT13" s="186"/>
      <c r="BU13" s="186"/>
      <c r="BV13" s="186"/>
      <c r="BW13" s="186"/>
      <c r="BX13" s="186"/>
      <c r="BY13" s="186"/>
      <c r="BZ13" s="186"/>
      <c r="CA13" s="186"/>
      <c r="CB13" s="186"/>
      <c r="CC13" s="186"/>
      <c r="CD13" s="186"/>
      <c r="CE13" s="186"/>
      <c r="CF13" s="186"/>
      <c r="CG13" s="186"/>
      <c r="CH13" s="186"/>
      <c r="CI13" s="186"/>
      <c r="CJ13" s="186"/>
      <c r="CK13" s="186"/>
      <c r="CL13" s="186"/>
      <c r="CM13" s="186"/>
      <c r="CN13" s="186"/>
      <c r="CO13" s="186"/>
      <c r="CP13" s="186"/>
      <c r="CQ13" s="186"/>
      <c r="CR13" s="186"/>
      <c r="CS13" s="186"/>
      <c r="CT13" s="186"/>
      <c r="CU13" s="186"/>
      <c r="CV13" s="186"/>
      <c r="CW13" s="186"/>
      <c r="CX13" s="186"/>
      <c r="CY13" s="186"/>
      <c r="CZ13" s="186"/>
      <c r="DA13" s="186"/>
      <c r="DB13" s="186"/>
      <c r="DC13" s="186"/>
      <c r="DD13" s="186"/>
      <c r="DE13" s="186"/>
      <c r="DF13" s="186"/>
      <c r="DG13" s="186"/>
      <c r="DH13" s="186"/>
      <c r="DI13" s="186"/>
      <c r="DJ13" s="186"/>
      <c r="DK13" s="186"/>
      <c r="DL13" s="186"/>
      <c r="DM13" s="186"/>
      <c r="DN13" s="186"/>
      <c r="DO13" s="186"/>
      <c r="DP13" s="186"/>
      <c r="DQ13" s="186"/>
      <c r="DR13" s="186"/>
      <c r="DS13" s="186"/>
      <c r="DT13" s="186"/>
      <c r="DU13" s="186"/>
      <c r="DV13" s="186"/>
      <c r="DW13" s="186"/>
      <c r="DX13" s="186"/>
      <c r="DY13" s="186"/>
      <c r="DZ13" s="186"/>
      <c r="EA13" s="186"/>
      <c r="EB13" s="186"/>
      <c r="EC13" s="186"/>
      <c r="ED13" s="186"/>
      <c r="EE13" s="186"/>
      <c r="EF13" s="186"/>
      <c r="EG13" s="186"/>
      <c r="EH13" s="186"/>
      <c r="EI13" s="186"/>
      <c r="EJ13" s="186"/>
      <c r="EK13" s="186"/>
      <c r="EL13" s="186"/>
      <c r="EM13" s="186"/>
      <c r="EN13" s="186"/>
      <c r="EO13" s="186"/>
      <c r="EP13" s="186"/>
      <c r="EQ13" s="186"/>
      <c r="ER13" s="186"/>
      <c r="ES13" s="186"/>
      <c r="ET13" s="186"/>
      <c r="EU13" s="186"/>
      <c r="EV13" s="186"/>
      <c r="EW13" s="186"/>
      <c r="EX13" s="186"/>
      <c r="EY13" s="186"/>
      <c r="EZ13" s="186"/>
      <c r="FA13" s="186"/>
      <c r="FB13" s="186"/>
      <c r="FC13" s="186"/>
      <c r="FD13" s="186"/>
      <c r="FE13" s="186"/>
      <c r="FF13" s="186"/>
      <c r="FG13" s="186"/>
      <c r="FH13" s="186"/>
      <c r="FI13" s="186"/>
      <c r="FJ13" s="186"/>
      <c r="FK13" s="186"/>
      <c r="FL13" s="186"/>
      <c r="FM13" s="186"/>
      <c r="FN13" s="186"/>
      <c r="FO13" s="186"/>
      <c r="FP13" s="186"/>
      <c r="FQ13" s="186"/>
      <c r="FR13" s="186"/>
      <c r="FS13" s="186"/>
      <c r="FT13" s="186"/>
      <c r="FU13" s="186"/>
      <c r="FV13" s="186"/>
      <c r="FW13" s="186"/>
      <c r="FX13" s="186"/>
      <c r="FY13" s="186"/>
      <c r="FZ13" s="186"/>
      <c r="GA13" s="186"/>
      <c r="GB13" s="186"/>
      <c r="GC13" s="186"/>
      <c r="GD13" s="186"/>
      <c r="GE13" s="186"/>
      <c r="GF13" s="186"/>
      <c r="GG13" s="186"/>
      <c r="GH13" s="186"/>
      <c r="GI13" s="186"/>
      <c r="GJ13" s="186"/>
      <c r="GK13" s="186"/>
      <c r="GL13" s="186"/>
      <c r="GM13" s="186"/>
      <c r="GN13" s="186"/>
      <c r="GO13" s="186"/>
      <c r="GP13" s="186"/>
      <c r="GQ13" s="186"/>
      <c r="GR13" s="186"/>
      <c r="GS13" s="186"/>
      <c r="GT13" s="186"/>
      <c r="GU13" s="186"/>
      <c r="GV13" s="186"/>
      <c r="GW13" s="186"/>
      <c r="GX13" s="186"/>
      <c r="GY13" s="186"/>
      <c r="GZ13" s="186"/>
      <c r="HA13" s="186"/>
      <c r="HB13" s="186"/>
      <c r="HC13" s="186"/>
      <c r="HD13" s="186"/>
      <c r="HE13" s="186"/>
      <c r="HF13" s="186"/>
      <c r="HG13" s="186"/>
      <c r="HH13" s="186"/>
      <c r="HI13" s="186"/>
      <c r="HJ13" s="186"/>
      <c r="HK13" s="186"/>
      <c r="HL13" s="186"/>
      <c r="HM13" s="186"/>
      <c r="HN13" s="186"/>
      <c r="HO13" s="186"/>
      <c r="HP13" s="186"/>
      <c r="HQ13" s="186"/>
      <c r="HR13" s="186"/>
      <c r="HS13" s="186"/>
      <c r="HT13" s="186"/>
      <c r="HU13" s="186"/>
      <c r="HV13" s="186"/>
      <c r="HW13" s="186"/>
      <c r="HX13" s="186"/>
      <c r="HY13" s="186"/>
      <c r="HZ13" s="186"/>
      <c r="IA13" s="186"/>
      <c r="IB13" s="186"/>
      <c r="IC13" s="186"/>
      <c r="ID13" s="186"/>
      <c r="IE13" s="186"/>
      <c r="IF13" s="186"/>
      <c r="IG13" s="186"/>
      <c r="IH13" s="186"/>
      <c r="II13" s="186"/>
      <c r="IJ13" s="186"/>
      <c r="IK13" s="186"/>
      <c r="IL13" s="186"/>
      <c r="IM13" s="186"/>
      <c r="IN13" s="186"/>
      <c r="IO13" s="186"/>
      <c r="IP13" s="186"/>
      <c r="IQ13" s="186"/>
      <c r="IR13" s="186"/>
      <c r="IS13" s="186"/>
      <c r="IT13" s="186"/>
      <c r="IU13" s="186"/>
      <c r="IV13" s="186"/>
    </row>
    <row r="14" spans="1:256" s="668" customFormat="1" ht="16.5" thickBot="1">
      <c r="A14" s="186"/>
      <c r="B14" s="186"/>
      <c r="C14" s="186"/>
      <c r="D14" s="186"/>
      <c r="E14" s="187"/>
      <c r="F14" s="186"/>
      <c r="G14" s="200" t="s">
        <v>165</v>
      </c>
      <c r="H14" s="735">
        <f>+H12+H13</f>
        <v>534974</v>
      </c>
      <c r="I14" s="188"/>
      <c r="J14" s="188"/>
      <c r="K14" s="188"/>
      <c r="L14" s="188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  <c r="AD14" s="186"/>
      <c r="AE14" s="186"/>
      <c r="AF14" s="186"/>
      <c r="AG14" s="186"/>
      <c r="AH14" s="186"/>
      <c r="AI14" s="186"/>
      <c r="AJ14" s="186"/>
      <c r="AK14" s="186"/>
      <c r="AL14" s="186"/>
      <c r="AM14" s="186"/>
      <c r="AN14" s="186"/>
      <c r="AO14" s="186"/>
      <c r="AP14" s="186"/>
      <c r="AQ14" s="186"/>
      <c r="AR14" s="186"/>
      <c r="AS14" s="186"/>
      <c r="AT14" s="186"/>
      <c r="AU14" s="186"/>
      <c r="AV14" s="186"/>
      <c r="AW14" s="186"/>
      <c r="AX14" s="186"/>
      <c r="AY14" s="186"/>
      <c r="AZ14" s="186"/>
      <c r="BA14" s="186"/>
      <c r="BB14" s="186"/>
      <c r="BC14" s="186"/>
      <c r="BD14" s="186"/>
      <c r="BE14" s="186"/>
      <c r="BF14" s="186"/>
      <c r="BG14" s="186"/>
      <c r="BH14" s="186"/>
      <c r="BI14" s="186"/>
      <c r="BJ14" s="186"/>
      <c r="BK14" s="186"/>
      <c r="BL14" s="186"/>
      <c r="BM14" s="186"/>
      <c r="BN14" s="186"/>
      <c r="BO14" s="186"/>
      <c r="BP14" s="186"/>
      <c r="BQ14" s="186"/>
      <c r="BR14" s="186"/>
      <c r="BS14" s="186"/>
      <c r="BT14" s="186"/>
      <c r="BU14" s="186"/>
      <c r="BV14" s="186"/>
      <c r="BW14" s="186"/>
      <c r="BX14" s="186"/>
      <c r="BY14" s="186"/>
      <c r="BZ14" s="186"/>
      <c r="CA14" s="186"/>
      <c r="CB14" s="186"/>
      <c r="CC14" s="186"/>
      <c r="CD14" s="186"/>
      <c r="CE14" s="186"/>
      <c r="CF14" s="186"/>
      <c r="CG14" s="186"/>
      <c r="CH14" s="186"/>
      <c r="CI14" s="186"/>
      <c r="CJ14" s="186"/>
      <c r="CK14" s="186"/>
      <c r="CL14" s="186"/>
      <c r="CM14" s="186"/>
      <c r="CN14" s="186"/>
      <c r="CO14" s="186"/>
      <c r="CP14" s="186"/>
      <c r="CQ14" s="186"/>
      <c r="CR14" s="186"/>
      <c r="CS14" s="186"/>
      <c r="CT14" s="186"/>
      <c r="CU14" s="186"/>
      <c r="CV14" s="186"/>
      <c r="CW14" s="186"/>
      <c r="CX14" s="186"/>
      <c r="CY14" s="186"/>
      <c r="CZ14" s="186"/>
      <c r="DA14" s="186"/>
      <c r="DB14" s="186"/>
      <c r="DC14" s="186"/>
      <c r="DD14" s="186"/>
      <c r="DE14" s="186"/>
      <c r="DF14" s="186"/>
      <c r="DG14" s="186"/>
      <c r="DH14" s="186"/>
      <c r="DI14" s="186"/>
      <c r="DJ14" s="186"/>
      <c r="DK14" s="186"/>
      <c r="DL14" s="186"/>
      <c r="DM14" s="186"/>
      <c r="DN14" s="186"/>
      <c r="DO14" s="186"/>
      <c r="DP14" s="186"/>
      <c r="DQ14" s="186"/>
      <c r="DR14" s="186"/>
      <c r="DS14" s="186"/>
      <c r="DT14" s="186"/>
      <c r="DU14" s="186"/>
      <c r="DV14" s="186"/>
      <c r="DW14" s="186"/>
      <c r="DX14" s="186"/>
      <c r="DY14" s="186"/>
      <c r="DZ14" s="186"/>
      <c r="EA14" s="186"/>
      <c r="EB14" s="186"/>
      <c r="EC14" s="186"/>
      <c r="ED14" s="186"/>
      <c r="EE14" s="186"/>
      <c r="EF14" s="186"/>
      <c r="EG14" s="186"/>
      <c r="EH14" s="186"/>
      <c r="EI14" s="186"/>
      <c r="EJ14" s="186"/>
      <c r="EK14" s="186"/>
      <c r="EL14" s="186"/>
      <c r="EM14" s="186"/>
      <c r="EN14" s="186"/>
      <c r="EO14" s="186"/>
      <c r="EP14" s="186"/>
      <c r="EQ14" s="186"/>
      <c r="ER14" s="186"/>
      <c r="ES14" s="186"/>
      <c r="ET14" s="186"/>
      <c r="EU14" s="186"/>
      <c r="EV14" s="186"/>
      <c r="EW14" s="186"/>
      <c r="EX14" s="186"/>
      <c r="EY14" s="186"/>
      <c r="EZ14" s="186"/>
      <c r="FA14" s="186"/>
      <c r="FB14" s="186"/>
      <c r="FC14" s="186"/>
      <c r="FD14" s="186"/>
      <c r="FE14" s="186"/>
      <c r="FF14" s="186"/>
      <c r="FG14" s="186"/>
      <c r="FH14" s="186"/>
      <c r="FI14" s="186"/>
      <c r="FJ14" s="186"/>
      <c r="FK14" s="186"/>
      <c r="FL14" s="186"/>
      <c r="FM14" s="186"/>
      <c r="FN14" s="186"/>
      <c r="FO14" s="186"/>
      <c r="FP14" s="186"/>
      <c r="FQ14" s="186"/>
      <c r="FR14" s="186"/>
      <c r="FS14" s="186"/>
      <c r="FT14" s="186"/>
      <c r="FU14" s="186"/>
      <c r="FV14" s="186"/>
      <c r="FW14" s="186"/>
      <c r="FX14" s="186"/>
      <c r="FY14" s="186"/>
      <c r="FZ14" s="186"/>
      <c r="GA14" s="186"/>
      <c r="GB14" s="186"/>
      <c r="GC14" s="186"/>
      <c r="GD14" s="186"/>
      <c r="GE14" s="186"/>
      <c r="GF14" s="186"/>
      <c r="GG14" s="186"/>
      <c r="GH14" s="186"/>
      <c r="GI14" s="186"/>
      <c r="GJ14" s="186"/>
      <c r="GK14" s="186"/>
      <c r="GL14" s="186"/>
      <c r="GM14" s="186"/>
      <c r="GN14" s="186"/>
      <c r="GO14" s="186"/>
      <c r="GP14" s="186"/>
      <c r="GQ14" s="186"/>
      <c r="GR14" s="186"/>
      <c r="GS14" s="186"/>
      <c r="GT14" s="186"/>
      <c r="GU14" s="186"/>
      <c r="GV14" s="186"/>
      <c r="GW14" s="186"/>
      <c r="GX14" s="186"/>
      <c r="GY14" s="186"/>
      <c r="GZ14" s="186"/>
      <c r="HA14" s="186"/>
      <c r="HB14" s="186"/>
      <c r="HC14" s="186"/>
      <c r="HD14" s="186"/>
      <c r="HE14" s="186"/>
      <c r="HF14" s="186"/>
      <c r="HG14" s="186"/>
      <c r="HH14" s="186"/>
      <c r="HI14" s="186"/>
      <c r="HJ14" s="186"/>
      <c r="HK14" s="186"/>
      <c r="HL14" s="186"/>
      <c r="HM14" s="186"/>
      <c r="HN14" s="186"/>
      <c r="HO14" s="186"/>
      <c r="HP14" s="186"/>
      <c r="HQ14" s="186"/>
      <c r="HR14" s="186"/>
      <c r="HS14" s="186"/>
      <c r="HT14" s="186"/>
      <c r="HU14" s="186"/>
      <c r="HV14" s="186"/>
      <c r="HW14" s="186"/>
      <c r="HX14" s="186"/>
      <c r="HY14" s="186"/>
      <c r="HZ14" s="186"/>
      <c r="IA14" s="186"/>
      <c r="IB14" s="186"/>
      <c r="IC14" s="186"/>
      <c r="ID14" s="186"/>
      <c r="IE14" s="186"/>
      <c r="IF14" s="186"/>
      <c r="IG14" s="186"/>
      <c r="IH14" s="186"/>
      <c r="II14" s="186"/>
      <c r="IJ14" s="186"/>
      <c r="IK14" s="186"/>
      <c r="IL14" s="186"/>
      <c r="IM14" s="186"/>
      <c r="IN14" s="186"/>
      <c r="IO14" s="186"/>
      <c r="IP14" s="186"/>
      <c r="IQ14" s="186"/>
      <c r="IR14" s="186"/>
      <c r="IS14" s="186"/>
      <c r="IT14" s="186"/>
      <c r="IU14" s="186"/>
      <c r="IV14" s="186"/>
    </row>
    <row r="15" spans="1:256" s="668" customFormat="1" ht="15.75">
      <c r="A15" s="186"/>
      <c r="B15" s="186"/>
      <c r="C15" s="186"/>
      <c r="D15" s="186"/>
      <c r="E15" s="187"/>
      <c r="F15" s="186"/>
      <c r="G15" s="186"/>
      <c r="H15" s="188"/>
      <c r="I15" s="188"/>
      <c r="J15" s="188"/>
      <c r="K15" s="188"/>
      <c r="L15" s="188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186"/>
      <c r="AJ15" s="186"/>
      <c r="AK15" s="186"/>
      <c r="AL15" s="186"/>
      <c r="AM15" s="186"/>
      <c r="AN15" s="186"/>
      <c r="AO15" s="186"/>
      <c r="AP15" s="186"/>
      <c r="AQ15" s="186"/>
      <c r="AR15" s="186"/>
      <c r="AS15" s="186"/>
      <c r="AT15" s="186"/>
      <c r="AU15" s="186"/>
      <c r="AV15" s="186"/>
      <c r="AW15" s="186"/>
      <c r="AX15" s="186"/>
      <c r="AY15" s="186"/>
      <c r="AZ15" s="186"/>
      <c r="BA15" s="186"/>
      <c r="BB15" s="186"/>
      <c r="BC15" s="186"/>
      <c r="BD15" s="186"/>
      <c r="BE15" s="186"/>
      <c r="BF15" s="186"/>
      <c r="BG15" s="186"/>
      <c r="BH15" s="186"/>
      <c r="BI15" s="186"/>
      <c r="BJ15" s="186"/>
      <c r="BK15" s="186"/>
      <c r="BL15" s="186"/>
      <c r="BM15" s="186"/>
      <c r="BN15" s="186"/>
      <c r="BO15" s="186"/>
      <c r="BP15" s="186"/>
      <c r="BQ15" s="186"/>
      <c r="BR15" s="186"/>
      <c r="BS15" s="186"/>
      <c r="BT15" s="186"/>
      <c r="BU15" s="186"/>
      <c r="BV15" s="186"/>
      <c r="BW15" s="186"/>
      <c r="BX15" s="186"/>
      <c r="BY15" s="186"/>
      <c r="BZ15" s="186"/>
      <c r="CA15" s="186"/>
      <c r="CB15" s="186"/>
      <c r="CC15" s="186"/>
      <c r="CD15" s="186"/>
      <c r="CE15" s="186"/>
      <c r="CF15" s="186"/>
      <c r="CG15" s="186"/>
      <c r="CH15" s="186"/>
      <c r="CI15" s="186"/>
      <c r="CJ15" s="186"/>
      <c r="CK15" s="186"/>
      <c r="CL15" s="186"/>
      <c r="CM15" s="186"/>
      <c r="CN15" s="186"/>
      <c r="CO15" s="186"/>
      <c r="CP15" s="186"/>
      <c r="CQ15" s="186"/>
      <c r="CR15" s="186"/>
      <c r="CS15" s="186"/>
      <c r="CT15" s="186"/>
      <c r="CU15" s="186"/>
      <c r="CV15" s="186"/>
      <c r="CW15" s="186"/>
      <c r="CX15" s="186"/>
      <c r="CY15" s="186"/>
      <c r="CZ15" s="186"/>
      <c r="DA15" s="186"/>
      <c r="DB15" s="186"/>
      <c r="DC15" s="186"/>
      <c r="DD15" s="186"/>
      <c r="DE15" s="186"/>
      <c r="DF15" s="186"/>
      <c r="DG15" s="186"/>
      <c r="DH15" s="186"/>
      <c r="DI15" s="186"/>
      <c r="DJ15" s="186"/>
      <c r="DK15" s="186"/>
      <c r="DL15" s="186"/>
      <c r="DM15" s="186"/>
      <c r="DN15" s="186"/>
      <c r="DO15" s="186"/>
      <c r="DP15" s="186"/>
      <c r="DQ15" s="186"/>
      <c r="DR15" s="186"/>
      <c r="DS15" s="186"/>
      <c r="DT15" s="186"/>
      <c r="DU15" s="186"/>
      <c r="DV15" s="186"/>
      <c r="DW15" s="186"/>
      <c r="DX15" s="186"/>
      <c r="DY15" s="186"/>
      <c r="DZ15" s="186"/>
      <c r="EA15" s="186"/>
      <c r="EB15" s="186"/>
      <c r="EC15" s="186"/>
      <c r="ED15" s="186"/>
      <c r="EE15" s="186"/>
      <c r="EF15" s="186"/>
      <c r="EG15" s="186"/>
      <c r="EH15" s="186"/>
      <c r="EI15" s="186"/>
      <c r="EJ15" s="186"/>
      <c r="EK15" s="186"/>
      <c r="EL15" s="186"/>
      <c r="EM15" s="186"/>
      <c r="EN15" s="186"/>
      <c r="EO15" s="186"/>
      <c r="EP15" s="186"/>
      <c r="EQ15" s="186"/>
      <c r="ER15" s="186"/>
      <c r="ES15" s="186"/>
      <c r="ET15" s="186"/>
      <c r="EU15" s="186"/>
      <c r="EV15" s="186"/>
      <c r="EW15" s="186"/>
      <c r="EX15" s="186"/>
      <c r="EY15" s="186"/>
      <c r="EZ15" s="186"/>
      <c r="FA15" s="186"/>
      <c r="FB15" s="186"/>
      <c r="FC15" s="186"/>
      <c r="FD15" s="186"/>
      <c r="FE15" s="186"/>
      <c r="FF15" s="186"/>
      <c r="FG15" s="186"/>
      <c r="FH15" s="186"/>
      <c r="FI15" s="186"/>
      <c r="FJ15" s="186"/>
      <c r="FK15" s="186"/>
      <c r="FL15" s="186"/>
      <c r="FM15" s="186"/>
      <c r="FN15" s="186"/>
      <c r="FO15" s="186"/>
      <c r="FP15" s="186"/>
      <c r="FQ15" s="186"/>
      <c r="FR15" s="186"/>
      <c r="FS15" s="186"/>
      <c r="FT15" s="186"/>
      <c r="FU15" s="186"/>
      <c r="FV15" s="186"/>
      <c r="FW15" s="186"/>
      <c r="FX15" s="186"/>
      <c r="FY15" s="186"/>
      <c r="FZ15" s="186"/>
      <c r="GA15" s="186"/>
      <c r="GB15" s="186"/>
      <c r="GC15" s="186"/>
      <c r="GD15" s="186"/>
      <c r="GE15" s="186"/>
      <c r="GF15" s="186"/>
      <c r="GG15" s="186"/>
      <c r="GH15" s="186"/>
      <c r="GI15" s="186"/>
      <c r="GJ15" s="186"/>
      <c r="GK15" s="186"/>
      <c r="GL15" s="186"/>
      <c r="GM15" s="186"/>
      <c r="GN15" s="186"/>
      <c r="GO15" s="186"/>
      <c r="GP15" s="186"/>
      <c r="GQ15" s="186"/>
      <c r="GR15" s="186"/>
      <c r="GS15" s="186"/>
      <c r="GT15" s="186"/>
      <c r="GU15" s="186"/>
      <c r="GV15" s="186"/>
      <c r="GW15" s="186"/>
      <c r="GX15" s="186"/>
      <c r="GY15" s="186"/>
      <c r="GZ15" s="186"/>
      <c r="HA15" s="186"/>
      <c r="HB15" s="186"/>
      <c r="HC15" s="186"/>
      <c r="HD15" s="186"/>
      <c r="HE15" s="186"/>
      <c r="HF15" s="186"/>
      <c r="HG15" s="186"/>
      <c r="HH15" s="186"/>
      <c r="HI15" s="186"/>
      <c r="HJ15" s="186"/>
      <c r="HK15" s="186"/>
      <c r="HL15" s="186"/>
      <c r="HM15" s="186"/>
      <c r="HN15" s="186"/>
      <c r="HO15" s="186"/>
      <c r="HP15" s="186"/>
      <c r="HQ15" s="186"/>
      <c r="HR15" s="186"/>
      <c r="HS15" s="186"/>
      <c r="HT15" s="186"/>
      <c r="HU15" s="186"/>
      <c r="HV15" s="186"/>
      <c r="HW15" s="186"/>
      <c r="HX15" s="186"/>
      <c r="HY15" s="186"/>
      <c r="HZ15" s="186"/>
      <c r="IA15" s="186"/>
      <c r="IB15" s="186"/>
      <c r="IC15" s="186"/>
      <c r="ID15" s="186"/>
      <c r="IE15" s="186"/>
      <c r="IF15" s="186"/>
      <c r="IG15" s="186"/>
      <c r="IH15" s="186"/>
      <c r="II15" s="186"/>
      <c r="IJ15" s="186"/>
      <c r="IK15" s="186"/>
      <c r="IL15" s="186"/>
      <c r="IM15" s="186"/>
      <c r="IN15" s="186"/>
      <c r="IO15" s="186"/>
      <c r="IP15" s="186"/>
      <c r="IQ15" s="186"/>
      <c r="IR15" s="186"/>
      <c r="IS15" s="186"/>
      <c r="IT15" s="186"/>
      <c r="IU15" s="186"/>
      <c r="IV15" s="186"/>
    </row>
    <row r="20" spans="1:256" ht="15.75" thickBot="1">
      <c r="A20" s="201"/>
      <c r="B20" s="202"/>
      <c r="C20" s="203"/>
      <c r="D20" s="203"/>
      <c r="E20" s="204"/>
      <c r="F20" s="205"/>
      <c r="G20" s="201"/>
      <c r="H20" s="202"/>
      <c r="I20" s="203"/>
      <c r="J20" s="206"/>
      <c r="K20" s="204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  <c r="AT20" s="205"/>
      <c r="AU20" s="205"/>
      <c r="AV20" s="205"/>
      <c r="AW20" s="205"/>
      <c r="AX20" s="205"/>
      <c r="AY20" s="205"/>
      <c r="AZ20" s="205"/>
      <c r="BA20" s="205"/>
      <c r="BB20" s="205"/>
      <c r="BC20" s="205"/>
      <c r="BD20" s="205"/>
      <c r="BE20" s="205"/>
      <c r="BF20" s="205"/>
      <c r="BG20" s="205"/>
      <c r="BH20" s="205"/>
      <c r="BI20" s="205"/>
      <c r="BJ20" s="205"/>
      <c r="BK20" s="205"/>
      <c r="BL20" s="205"/>
      <c r="BM20" s="205"/>
      <c r="BN20" s="205"/>
      <c r="BO20" s="205"/>
      <c r="BP20" s="205"/>
      <c r="BQ20" s="205"/>
      <c r="BR20" s="205"/>
      <c r="BS20" s="205"/>
      <c r="BT20" s="205"/>
      <c r="BU20" s="205"/>
      <c r="BV20" s="205"/>
      <c r="BW20" s="205"/>
      <c r="BX20" s="205"/>
      <c r="BY20" s="205"/>
      <c r="BZ20" s="205"/>
      <c r="CA20" s="205"/>
      <c r="CB20" s="205"/>
      <c r="CC20" s="205"/>
      <c r="CD20" s="205"/>
      <c r="CE20" s="205"/>
      <c r="CF20" s="205"/>
      <c r="CG20" s="205"/>
      <c r="CH20" s="205"/>
      <c r="CI20" s="205"/>
      <c r="CJ20" s="205"/>
      <c r="CK20" s="205"/>
      <c r="CL20" s="205"/>
      <c r="CM20" s="205"/>
      <c r="CN20" s="205"/>
      <c r="CO20" s="205"/>
      <c r="CP20" s="205"/>
      <c r="CQ20" s="205"/>
      <c r="CR20" s="205"/>
      <c r="CS20" s="205"/>
      <c r="CT20" s="205"/>
      <c r="CU20" s="205"/>
      <c r="CV20" s="205"/>
      <c r="CW20" s="205"/>
      <c r="CX20" s="205"/>
      <c r="CY20" s="205"/>
      <c r="CZ20" s="205"/>
      <c r="DA20" s="205"/>
      <c r="DB20" s="205"/>
      <c r="DC20" s="205"/>
      <c r="DD20" s="205"/>
      <c r="DE20" s="205"/>
      <c r="DF20" s="205"/>
      <c r="DG20" s="205"/>
      <c r="DH20" s="205"/>
      <c r="DI20" s="205"/>
      <c r="DJ20" s="205"/>
      <c r="DK20" s="205"/>
      <c r="DL20" s="205"/>
      <c r="DM20" s="205"/>
      <c r="DN20" s="205"/>
      <c r="DO20" s="205"/>
      <c r="DP20" s="205"/>
      <c r="DQ20" s="205"/>
      <c r="DR20" s="205"/>
      <c r="DS20" s="205"/>
      <c r="DT20" s="205"/>
      <c r="DU20" s="205"/>
      <c r="DV20" s="205"/>
      <c r="DW20" s="205"/>
      <c r="DX20" s="205"/>
      <c r="DY20" s="205"/>
      <c r="DZ20" s="205"/>
      <c r="EA20" s="205"/>
      <c r="EB20" s="205"/>
      <c r="EC20" s="205"/>
      <c r="ED20" s="205"/>
      <c r="EE20" s="205"/>
      <c r="EF20" s="205"/>
      <c r="EG20" s="205"/>
      <c r="EH20" s="205"/>
      <c r="EI20" s="205"/>
      <c r="EJ20" s="205"/>
      <c r="EK20" s="205"/>
      <c r="EL20" s="205"/>
      <c r="EM20" s="205"/>
      <c r="EN20" s="205"/>
      <c r="EO20" s="205"/>
      <c r="EP20" s="205"/>
      <c r="EQ20" s="205"/>
      <c r="ER20" s="205"/>
      <c r="ES20" s="205"/>
      <c r="ET20" s="205"/>
      <c r="EU20" s="205"/>
      <c r="EV20" s="205"/>
      <c r="EW20" s="205"/>
      <c r="EX20" s="205"/>
      <c r="EY20" s="205"/>
      <c r="EZ20" s="205"/>
      <c r="FA20" s="205"/>
      <c r="FB20" s="205"/>
      <c r="FC20" s="205"/>
      <c r="FD20" s="205"/>
      <c r="FE20" s="205"/>
      <c r="FF20" s="205"/>
      <c r="FG20" s="205"/>
      <c r="FH20" s="205"/>
      <c r="FI20" s="205"/>
      <c r="FJ20" s="205"/>
      <c r="FK20" s="205"/>
      <c r="FL20" s="205"/>
      <c r="FM20" s="205"/>
      <c r="FN20" s="205"/>
      <c r="FO20" s="205"/>
      <c r="FP20" s="205"/>
      <c r="FQ20" s="205"/>
      <c r="FR20" s="205"/>
      <c r="FS20" s="205"/>
      <c r="FT20" s="205"/>
      <c r="FU20" s="205"/>
      <c r="FV20" s="205"/>
      <c r="FW20" s="205"/>
      <c r="FX20" s="205"/>
      <c r="FY20" s="205"/>
      <c r="FZ20" s="205"/>
      <c r="GA20" s="205"/>
      <c r="GB20" s="205"/>
      <c r="GC20" s="205"/>
      <c r="GD20" s="205"/>
      <c r="GE20" s="205"/>
      <c r="GF20" s="205"/>
      <c r="GG20" s="205"/>
      <c r="GH20" s="205"/>
      <c r="GI20" s="205"/>
      <c r="GJ20" s="205"/>
      <c r="GK20" s="205"/>
      <c r="GL20" s="205"/>
      <c r="GM20" s="205"/>
      <c r="GN20" s="205"/>
      <c r="GO20" s="205"/>
      <c r="GP20" s="205"/>
      <c r="GQ20" s="205"/>
      <c r="GR20" s="205"/>
      <c r="GS20" s="205"/>
      <c r="GT20" s="205"/>
      <c r="GU20" s="205"/>
      <c r="GV20" s="205"/>
      <c r="GW20" s="205"/>
      <c r="GX20" s="205"/>
      <c r="GY20" s="205"/>
      <c r="GZ20" s="205"/>
      <c r="HA20" s="205"/>
      <c r="HB20" s="205"/>
      <c r="HC20" s="205"/>
      <c r="HD20" s="205"/>
      <c r="HE20" s="205"/>
      <c r="HF20" s="205"/>
      <c r="HG20" s="205"/>
      <c r="HH20" s="205"/>
      <c r="HI20" s="205"/>
      <c r="HJ20" s="205"/>
      <c r="HK20" s="205"/>
      <c r="HL20" s="205"/>
      <c r="HM20" s="205"/>
      <c r="HN20" s="205"/>
      <c r="HO20" s="205"/>
      <c r="HP20" s="205"/>
      <c r="HQ20" s="205"/>
      <c r="HR20" s="205"/>
      <c r="HS20" s="205"/>
      <c r="HT20" s="205"/>
      <c r="HU20" s="205"/>
      <c r="HV20" s="205"/>
      <c r="HW20" s="205"/>
      <c r="HX20" s="205"/>
      <c r="HY20" s="205"/>
      <c r="HZ20" s="205"/>
      <c r="IA20" s="205"/>
      <c r="IB20" s="205"/>
      <c r="IC20" s="205"/>
      <c r="ID20" s="205"/>
      <c r="IE20" s="205"/>
      <c r="IF20" s="205"/>
      <c r="IG20" s="205"/>
      <c r="IH20" s="205"/>
      <c r="II20" s="205"/>
      <c r="IJ20" s="205"/>
      <c r="IK20" s="205"/>
      <c r="IL20" s="205"/>
      <c r="IM20" s="205"/>
      <c r="IN20" s="205"/>
      <c r="IO20" s="205"/>
      <c r="IP20" s="205"/>
      <c r="IQ20" s="205"/>
      <c r="IR20" s="205"/>
      <c r="IS20" s="205"/>
      <c r="IT20" s="205"/>
      <c r="IU20" s="205"/>
      <c r="IV20" s="205"/>
    </row>
    <row r="21" spans="1:256" ht="15.75">
      <c r="A21" s="725" t="s">
        <v>522</v>
      </c>
      <c r="B21" s="533"/>
      <c r="C21" s="533"/>
      <c r="D21" s="533"/>
      <c r="E21" s="533"/>
      <c r="F21" s="205"/>
      <c r="G21" s="1333" t="s">
        <v>1010</v>
      </c>
      <c r="H21" s="1333"/>
      <c r="I21" s="1333"/>
      <c r="J21" s="1333"/>
      <c r="K21" s="1333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/>
      <c r="AC21" s="205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  <c r="AT21" s="205"/>
      <c r="AU21" s="205"/>
      <c r="AV21" s="205"/>
      <c r="AW21" s="205"/>
      <c r="AX21" s="205"/>
      <c r="AY21" s="205"/>
      <c r="AZ21" s="205"/>
      <c r="BA21" s="205"/>
      <c r="BB21" s="205"/>
      <c r="BC21" s="205"/>
      <c r="BD21" s="205"/>
      <c r="BE21" s="205"/>
      <c r="BF21" s="205"/>
      <c r="BG21" s="205"/>
      <c r="BH21" s="205"/>
      <c r="BI21" s="205"/>
      <c r="BJ21" s="205"/>
      <c r="BK21" s="205"/>
      <c r="BL21" s="205"/>
      <c r="BM21" s="205"/>
      <c r="BN21" s="205"/>
      <c r="BO21" s="205"/>
      <c r="BP21" s="205"/>
      <c r="BQ21" s="205"/>
      <c r="BR21" s="205"/>
      <c r="BS21" s="205"/>
      <c r="BT21" s="205"/>
      <c r="BU21" s="205"/>
      <c r="BV21" s="205"/>
      <c r="BW21" s="205"/>
      <c r="BX21" s="205"/>
      <c r="BY21" s="205"/>
      <c r="BZ21" s="205"/>
      <c r="CA21" s="205"/>
      <c r="CB21" s="205"/>
      <c r="CC21" s="205"/>
      <c r="CD21" s="205"/>
      <c r="CE21" s="205"/>
      <c r="CF21" s="205"/>
      <c r="CG21" s="205"/>
      <c r="CH21" s="205"/>
      <c r="CI21" s="205"/>
      <c r="CJ21" s="205"/>
      <c r="CK21" s="205"/>
      <c r="CL21" s="205"/>
      <c r="CM21" s="205"/>
      <c r="CN21" s="205"/>
      <c r="CO21" s="205"/>
      <c r="CP21" s="205"/>
      <c r="CQ21" s="205"/>
      <c r="CR21" s="205"/>
      <c r="CS21" s="205"/>
      <c r="CT21" s="205"/>
      <c r="CU21" s="205"/>
      <c r="CV21" s="205"/>
      <c r="CW21" s="205"/>
      <c r="CX21" s="205"/>
      <c r="CY21" s="205"/>
      <c r="CZ21" s="205"/>
      <c r="DA21" s="205"/>
      <c r="DB21" s="205"/>
      <c r="DC21" s="205"/>
      <c r="DD21" s="205"/>
      <c r="DE21" s="205"/>
      <c r="DF21" s="205"/>
      <c r="DG21" s="205"/>
      <c r="DH21" s="205"/>
      <c r="DI21" s="205"/>
      <c r="DJ21" s="205"/>
      <c r="DK21" s="205"/>
      <c r="DL21" s="205"/>
      <c r="DM21" s="205"/>
      <c r="DN21" s="205"/>
      <c r="DO21" s="205"/>
      <c r="DP21" s="205"/>
      <c r="DQ21" s="205"/>
      <c r="DR21" s="205"/>
      <c r="DS21" s="205"/>
      <c r="DT21" s="205"/>
      <c r="DU21" s="205"/>
      <c r="DV21" s="205"/>
      <c r="DW21" s="205"/>
      <c r="DX21" s="205"/>
      <c r="DY21" s="205"/>
      <c r="DZ21" s="205"/>
      <c r="EA21" s="205"/>
      <c r="EB21" s="205"/>
      <c r="EC21" s="205"/>
      <c r="ED21" s="205"/>
      <c r="EE21" s="205"/>
      <c r="EF21" s="205"/>
      <c r="EG21" s="205"/>
      <c r="EH21" s="205"/>
      <c r="EI21" s="205"/>
      <c r="EJ21" s="205"/>
      <c r="EK21" s="205"/>
      <c r="EL21" s="205"/>
      <c r="EM21" s="205"/>
      <c r="EN21" s="205"/>
      <c r="EO21" s="205"/>
      <c r="EP21" s="205"/>
      <c r="EQ21" s="205"/>
      <c r="ER21" s="205"/>
      <c r="ES21" s="205"/>
      <c r="ET21" s="205"/>
      <c r="EU21" s="205"/>
      <c r="EV21" s="205"/>
      <c r="EW21" s="205"/>
      <c r="EX21" s="205"/>
      <c r="EY21" s="205"/>
      <c r="EZ21" s="205"/>
      <c r="FA21" s="205"/>
      <c r="FB21" s="205"/>
      <c r="FC21" s="205"/>
      <c r="FD21" s="205"/>
      <c r="FE21" s="205"/>
      <c r="FF21" s="205"/>
      <c r="FG21" s="205"/>
      <c r="FH21" s="205"/>
      <c r="FI21" s="205"/>
      <c r="FJ21" s="205"/>
      <c r="FK21" s="205"/>
      <c r="FL21" s="205"/>
      <c r="FM21" s="205"/>
      <c r="FN21" s="205"/>
      <c r="FO21" s="205"/>
      <c r="FP21" s="205"/>
      <c r="FQ21" s="205"/>
      <c r="FR21" s="205"/>
      <c r="FS21" s="205"/>
      <c r="FT21" s="205"/>
      <c r="FU21" s="205"/>
      <c r="FV21" s="205"/>
      <c r="FW21" s="205"/>
      <c r="FX21" s="205"/>
      <c r="FY21" s="205"/>
      <c r="FZ21" s="205"/>
      <c r="GA21" s="205"/>
      <c r="GB21" s="205"/>
      <c r="GC21" s="205"/>
      <c r="GD21" s="205"/>
      <c r="GE21" s="205"/>
      <c r="GF21" s="205"/>
      <c r="GG21" s="205"/>
      <c r="GH21" s="205"/>
      <c r="GI21" s="205"/>
      <c r="GJ21" s="205"/>
      <c r="GK21" s="205"/>
      <c r="GL21" s="205"/>
      <c r="GM21" s="205"/>
      <c r="GN21" s="205"/>
      <c r="GO21" s="205"/>
      <c r="GP21" s="205"/>
      <c r="GQ21" s="205"/>
      <c r="GR21" s="205"/>
      <c r="GS21" s="205"/>
      <c r="GT21" s="205"/>
      <c r="GU21" s="205"/>
      <c r="GV21" s="205"/>
      <c r="GW21" s="205"/>
      <c r="GX21" s="205"/>
      <c r="GY21" s="205"/>
      <c r="GZ21" s="205"/>
      <c r="HA21" s="205"/>
      <c r="HB21" s="205"/>
      <c r="HC21" s="205"/>
      <c r="HD21" s="205"/>
      <c r="HE21" s="205"/>
      <c r="HF21" s="205"/>
      <c r="HG21" s="205"/>
      <c r="HH21" s="205"/>
      <c r="HI21" s="205"/>
      <c r="HJ21" s="205"/>
      <c r="HK21" s="205"/>
      <c r="HL21" s="205"/>
      <c r="HM21" s="205"/>
      <c r="HN21" s="205"/>
      <c r="HO21" s="205"/>
      <c r="HP21" s="205"/>
      <c r="HQ21" s="205"/>
      <c r="HR21" s="205"/>
      <c r="HS21" s="205"/>
      <c r="HT21" s="205"/>
      <c r="HU21" s="205"/>
      <c r="HV21" s="205"/>
      <c r="HW21" s="205"/>
      <c r="HX21" s="205"/>
      <c r="HY21" s="205"/>
      <c r="HZ21" s="205"/>
      <c r="IA21" s="205"/>
      <c r="IB21" s="205"/>
      <c r="IC21" s="205"/>
      <c r="ID21" s="205"/>
      <c r="IE21" s="205"/>
      <c r="IF21" s="205"/>
      <c r="IG21" s="205"/>
      <c r="IH21" s="205"/>
      <c r="II21" s="205"/>
      <c r="IJ21" s="205"/>
      <c r="IK21" s="205"/>
      <c r="IL21" s="205"/>
      <c r="IM21" s="205"/>
      <c r="IN21" s="205"/>
      <c r="IO21" s="205"/>
      <c r="IP21" s="205"/>
      <c r="IQ21" s="205"/>
      <c r="IR21" s="205"/>
      <c r="IS21" s="205"/>
      <c r="IT21" s="205"/>
      <c r="IU21" s="205"/>
      <c r="IV21" s="205"/>
    </row>
    <row r="22" spans="1:256" ht="15.75" customHeight="1">
      <c r="A22" s="223" t="s">
        <v>728</v>
      </c>
      <c r="B22" s="137"/>
      <c r="C22" s="137"/>
      <c r="D22" s="137"/>
      <c r="E22" s="137"/>
      <c r="F22" s="205"/>
      <c r="G22" s="207" t="s">
        <v>1011</v>
      </c>
      <c r="H22" s="208"/>
      <c r="I22" s="209"/>
      <c r="J22" s="209"/>
      <c r="K22" s="209"/>
      <c r="L22" s="205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5"/>
      <c r="AC22" s="205"/>
      <c r="AD22" s="205"/>
      <c r="AE22" s="205"/>
      <c r="AF22" s="205"/>
      <c r="AG22" s="205"/>
      <c r="AH22" s="205"/>
      <c r="AI22" s="205"/>
      <c r="AJ22" s="205"/>
      <c r="AK22" s="205"/>
      <c r="AL22" s="205"/>
      <c r="AM22" s="205"/>
      <c r="AN22" s="205"/>
      <c r="AO22" s="205"/>
      <c r="AP22" s="205"/>
      <c r="AQ22" s="205"/>
      <c r="AR22" s="205"/>
      <c r="AS22" s="205"/>
      <c r="AT22" s="205"/>
      <c r="AU22" s="205"/>
      <c r="AV22" s="205"/>
      <c r="AW22" s="205"/>
      <c r="AX22" s="205"/>
      <c r="AY22" s="205"/>
      <c r="AZ22" s="205"/>
      <c r="BA22" s="205"/>
      <c r="BB22" s="205"/>
      <c r="BC22" s="205"/>
      <c r="BD22" s="205"/>
      <c r="BE22" s="205"/>
      <c r="BF22" s="205"/>
      <c r="BG22" s="205"/>
      <c r="BH22" s="205"/>
      <c r="BI22" s="205"/>
      <c r="BJ22" s="205"/>
      <c r="BK22" s="205"/>
      <c r="BL22" s="205"/>
      <c r="BM22" s="205"/>
      <c r="BN22" s="205"/>
      <c r="BO22" s="205"/>
      <c r="BP22" s="205"/>
      <c r="BQ22" s="205"/>
      <c r="BR22" s="205"/>
      <c r="BS22" s="205"/>
      <c r="BT22" s="205"/>
      <c r="BU22" s="205"/>
      <c r="BV22" s="205"/>
      <c r="BW22" s="205"/>
      <c r="BX22" s="205"/>
      <c r="BY22" s="205"/>
      <c r="BZ22" s="205"/>
      <c r="CA22" s="205"/>
      <c r="CB22" s="205"/>
      <c r="CC22" s="205"/>
      <c r="CD22" s="205"/>
      <c r="CE22" s="205"/>
      <c r="CF22" s="205"/>
      <c r="CG22" s="205"/>
      <c r="CH22" s="205"/>
      <c r="CI22" s="205"/>
      <c r="CJ22" s="205"/>
      <c r="CK22" s="205"/>
      <c r="CL22" s="205"/>
      <c r="CM22" s="205"/>
      <c r="CN22" s="205"/>
      <c r="CO22" s="205"/>
      <c r="CP22" s="205"/>
      <c r="CQ22" s="205"/>
      <c r="CR22" s="205"/>
      <c r="CS22" s="205"/>
      <c r="CT22" s="205"/>
      <c r="CU22" s="205"/>
      <c r="CV22" s="205"/>
      <c r="CW22" s="205"/>
      <c r="CX22" s="205"/>
      <c r="CY22" s="205"/>
      <c r="CZ22" s="205"/>
      <c r="DA22" s="205"/>
      <c r="DB22" s="205"/>
      <c r="DC22" s="205"/>
      <c r="DD22" s="205"/>
      <c r="DE22" s="205"/>
      <c r="DF22" s="205"/>
      <c r="DG22" s="205"/>
      <c r="DH22" s="205"/>
      <c r="DI22" s="205"/>
      <c r="DJ22" s="205"/>
      <c r="DK22" s="205"/>
      <c r="DL22" s="205"/>
      <c r="DM22" s="205"/>
      <c r="DN22" s="205"/>
      <c r="DO22" s="205"/>
      <c r="DP22" s="205"/>
      <c r="DQ22" s="205"/>
      <c r="DR22" s="205"/>
      <c r="DS22" s="205"/>
      <c r="DT22" s="205"/>
      <c r="DU22" s="205"/>
      <c r="DV22" s="205"/>
      <c r="DW22" s="205"/>
      <c r="DX22" s="205"/>
      <c r="DY22" s="205"/>
      <c r="DZ22" s="205"/>
      <c r="EA22" s="205"/>
      <c r="EB22" s="205"/>
      <c r="EC22" s="205"/>
      <c r="ED22" s="205"/>
      <c r="EE22" s="205"/>
      <c r="EF22" s="205"/>
      <c r="EG22" s="205"/>
      <c r="EH22" s="205"/>
      <c r="EI22" s="205"/>
      <c r="EJ22" s="205"/>
      <c r="EK22" s="205"/>
      <c r="EL22" s="205"/>
      <c r="EM22" s="205"/>
      <c r="EN22" s="205"/>
      <c r="EO22" s="205"/>
      <c r="EP22" s="205"/>
      <c r="EQ22" s="205"/>
      <c r="ER22" s="205"/>
      <c r="ES22" s="205"/>
      <c r="ET22" s="205"/>
      <c r="EU22" s="205"/>
      <c r="EV22" s="205"/>
      <c r="EW22" s="205"/>
      <c r="EX22" s="205"/>
      <c r="EY22" s="205"/>
      <c r="EZ22" s="205"/>
      <c r="FA22" s="205"/>
      <c r="FB22" s="205"/>
      <c r="FC22" s="205"/>
      <c r="FD22" s="205"/>
      <c r="FE22" s="205"/>
      <c r="FF22" s="205"/>
      <c r="FG22" s="205"/>
      <c r="FH22" s="205"/>
      <c r="FI22" s="205"/>
      <c r="FJ22" s="205"/>
      <c r="FK22" s="205"/>
      <c r="FL22" s="205"/>
      <c r="FM22" s="205"/>
      <c r="FN22" s="205"/>
      <c r="FO22" s="205"/>
      <c r="FP22" s="205"/>
      <c r="FQ22" s="205"/>
      <c r="FR22" s="205"/>
      <c r="FS22" s="205"/>
      <c r="FT22" s="205"/>
      <c r="FU22" s="205"/>
      <c r="FV22" s="205"/>
      <c r="FW22" s="205"/>
      <c r="FX22" s="205"/>
      <c r="FY22" s="205"/>
      <c r="FZ22" s="205"/>
      <c r="GA22" s="205"/>
      <c r="GB22" s="205"/>
      <c r="GC22" s="205"/>
      <c r="GD22" s="205"/>
      <c r="GE22" s="205"/>
      <c r="GF22" s="205"/>
      <c r="GG22" s="205"/>
      <c r="GH22" s="205"/>
      <c r="GI22" s="205"/>
      <c r="GJ22" s="205"/>
      <c r="GK22" s="205"/>
      <c r="GL22" s="205"/>
      <c r="GM22" s="205"/>
      <c r="GN22" s="205"/>
      <c r="GO22" s="205"/>
      <c r="GP22" s="205"/>
      <c r="GQ22" s="205"/>
      <c r="GR22" s="205"/>
      <c r="GS22" s="205"/>
      <c r="GT22" s="205"/>
      <c r="GU22" s="205"/>
      <c r="GV22" s="205"/>
      <c r="GW22" s="205"/>
      <c r="GX22" s="205"/>
      <c r="GY22" s="205"/>
      <c r="GZ22" s="205"/>
      <c r="HA22" s="205"/>
      <c r="HB22" s="205"/>
      <c r="HC22" s="205"/>
      <c r="HD22" s="205"/>
      <c r="HE22" s="205"/>
      <c r="HF22" s="205"/>
      <c r="HG22" s="205"/>
      <c r="HH22" s="205"/>
      <c r="HI22" s="205"/>
      <c r="HJ22" s="205"/>
      <c r="HK22" s="205"/>
      <c r="HL22" s="205"/>
      <c r="HM22" s="205"/>
      <c r="HN22" s="205"/>
      <c r="HO22" s="205"/>
      <c r="HP22" s="205"/>
      <c r="HQ22" s="205"/>
      <c r="HR22" s="205"/>
      <c r="HS22" s="205"/>
      <c r="HT22" s="205"/>
      <c r="HU22" s="205"/>
      <c r="HV22" s="205"/>
      <c r="HW22" s="205"/>
      <c r="HX22" s="205"/>
      <c r="HY22" s="205"/>
      <c r="HZ22" s="205"/>
      <c r="IA22" s="205"/>
      <c r="IB22" s="205"/>
      <c r="IC22" s="205"/>
      <c r="ID22" s="205"/>
      <c r="IE22" s="205"/>
      <c r="IF22" s="205"/>
      <c r="IG22" s="205"/>
      <c r="IH22" s="205"/>
      <c r="II22" s="205"/>
      <c r="IJ22" s="205"/>
      <c r="IK22" s="205"/>
      <c r="IL22" s="205"/>
      <c r="IM22" s="205"/>
      <c r="IN22" s="205"/>
      <c r="IO22" s="205"/>
      <c r="IP22" s="205"/>
      <c r="IQ22" s="205"/>
      <c r="IR22" s="205"/>
      <c r="IS22" s="205"/>
      <c r="IT22" s="205"/>
      <c r="IU22" s="205"/>
      <c r="IV22" s="205"/>
    </row>
    <row r="23" spans="1:256" ht="15.75" customHeight="1">
      <c r="A23" s="223" t="s">
        <v>47</v>
      </c>
      <c r="B23" s="137"/>
      <c r="C23" s="137"/>
      <c r="D23" s="137"/>
      <c r="E23" s="137"/>
      <c r="F23" s="205"/>
      <c r="G23" s="207" t="s">
        <v>47</v>
      </c>
      <c r="H23" s="210"/>
      <c r="I23" s="209"/>
      <c r="J23" s="209"/>
      <c r="K23" s="209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  <c r="AT23" s="205"/>
      <c r="AU23" s="205"/>
      <c r="AV23" s="205"/>
      <c r="AW23" s="205"/>
      <c r="AX23" s="205"/>
      <c r="AY23" s="205"/>
      <c r="AZ23" s="205"/>
      <c r="BA23" s="205"/>
      <c r="BB23" s="205"/>
      <c r="BC23" s="205"/>
      <c r="BD23" s="205"/>
      <c r="BE23" s="205"/>
      <c r="BF23" s="205"/>
      <c r="BG23" s="205"/>
      <c r="BH23" s="205"/>
      <c r="BI23" s="205"/>
      <c r="BJ23" s="205"/>
      <c r="BK23" s="205"/>
      <c r="BL23" s="205"/>
      <c r="BM23" s="205"/>
      <c r="BN23" s="205"/>
      <c r="BO23" s="205"/>
      <c r="BP23" s="205"/>
      <c r="BQ23" s="205"/>
      <c r="BR23" s="205"/>
      <c r="BS23" s="205"/>
      <c r="BT23" s="205"/>
      <c r="BU23" s="205"/>
      <c r="BV23" s="205"/>
      <c r="BW23" s="205"/>
      <c r="BX23" s="205"/>
      <c r="BY23" s="205"/>
      <c r="BZ23" s="205"/>
      <c r="CA23" s="205"/>
      <c r="CB23" s="205"/>
      <c r="CC23" s="205"/>
      <c r="CD23" s="205"/>
      <c r="CE23" s="205"/>
      <c r="CF23" s="205"/>
      <c r="CG23" s="205"/>
      <c r="CH23" s="205"/>
      <c r="CI23" s="205"/>
      <c r="CJ23" s="205"/>
      <c r="CK23" s="205"/>
      <c r="CL23" s="205"/>
      <c r="CM23" s="205"/>
      <c r="CN23" s="205"/>
      <c r="CO23" s="205"/>
      <c r="CP23" s="205"/>
      <c r="CQ23" s="205"/>
      <c r="CR23" s="205"/>
      <c r="CS23" s="205"/>
      <c r="CT23" s="205"/>
      <c r="CU23" s="205"/>
      <c r="CV23" s="205"/>
      <c r="CW23" s="205"/>
      <c r="CX23" s="205"/>
      <c r="CY23" s="205"/>
      <c r="CZ23" s="205"/>
      <c r="DA23" s="205"/>
      <c r="DB23" s="205"/>
      <c r="DC23" s="205"/>
      <c r="DD23" s="205"/>
      <c r="DE23" s="205"/>
      <c r="DF23" s="205"/>
      <c r="DG23" s="205"/>
      <c r="DH23" s="205"/>
      <c r="DI23" s="205"/>
      <c r="DJ23" s="205"/>
      <c r="DK23" s="205"/>
      <c r="DL23" s="205"/>
      <c r="DM23" s="205"/>
      <c r="DN23" s="205"/>
      <c r="DO23" s="205"/>
      <c r="DP23" s="205"/>
      <c r="DQ23" s="205"/>
      <c r="DR23" s="205"/>
      <c r="DS23" s="205"/>
      <c r="DT23" s="205"/>
      <c r="DU23" s="205"/>
      <c r="DV23" s="205"/>
      <c r="DW23" s="205"/>
      <c r="DX23" s="205"/>
      <c r="DY23" s="205"/>
      <c r="DZ23" s="205"/>
      <c r="EA23" s="205"/>
      <c r="EB23" s="205"/>
      <c r="EC23" s="205"/>
      <c r="ED23" s="205"/>
      <c r="EE23" s="205"/>
      <c r="EF23" s="205"/>
      <c r="EG23" s="205"/>
      <c r="EH23" s="205"/>
      <c r="EI23" s="205"/>
      <c r="EJ23" s="205"/>
      <c r="EK23" s="205"/>
      <c r="EL23" s="205"/>
      <c r="EM23" s="205"/>
      <c r="EN23" s="205"/>
      <c r="EO23" s="205"/>
      <c r="EP23" s="205"/>
      <c r="EQ23" s="205"/>
      <c r="ER23" s="205"/>
      <c r="ES23" s="205"/>
      <c r="ET23" s="205"/>
      <c r="EU23" s="205"/>
      <c r="EV23" s="205"/>
      <c r="EW23" s="205"/>
      <c r="EX23" s="205"/>
      <c r="EY23" s="205"/>
      <c r="EZ23" s="205"/>
      <c r="FA23" s="205"/>
      <c r="FB23" s="205"/>
      <c r="FC23" s="205"/>
      <c r="FD23" s="205"/>
      <c r="FE23" s="205"/>
      <c r="FF23" s="205"/>
      <c r="FG23" s="205"/>
      <c r="FH23" s="205"/>
      <c r="FI23" s="205"/>
      <c r="FJ23" s="205"/>
      <c r="FK23" s="205"/>
      <c r="FL23" s="205"/>
      <c r="FM23" s="205"/>
      <c r="FN23" s="205"/>
      <c r="FO23" s="205"/>
      <c r="FP23" s="205"/>
      <c r="FQ23" s="205"/>
      <c r="FR23" s="205"/>
      <c r="FS23" s="205"/>
      <c r="FT23" s="205"/>
      <c r="FU23" s="205"/>
      <c r="FV23" s="205"/>
      <c r="FW23" s="205"/>
      <c r="FX23" s="205"/>
      <c r="FY23" s="205"/>
      <c r="FZ23" s="205"/>
      <c r="GA23" s="205"/>
      <c r="GB23" s="205"/>
      <c r="GC23" s="205"/>
      <c r="GD23" s="205"/>
      <c r="GE23" s="205"/>
      <c r="GF23" s="205"/>
      <c r="GG23" s="205"/>
      <c r="GH23" s="205"/>
      <c r="GI23" s="205"/>
      <c r="GJ23" s="205"/>
      <c r="GK23" s="205"/>
      <c r="GL23" s="205"/>
      <c r="GM23" s="205"/>
      <c r="GN23" s="205"/>
      <c r="GO23" s="205"/>
      <c r="GP23" s="205"/>
      <c r="GQ23" s="205"/>
      <c r="GR23" s="205"/>
      <c r="GS23" s="205"/>
      <c r="GT23" s="205"/>
      <c r="GU23" s="205"/>
      <c r="GV23" s="205"/>
      <c r="GW23" s="205"/>
      <c r="GX23" s="205"/>
      <c r="GY23" s="205"/>
      <c r="GZ23" s="205"/>
      <c r="HA23" s="205"/>
      <c r="HB23" s="205"/>
      <c r="HC23" s="205"/>
      <c r="HD23" s="205"/>
      <c r="HE23" s="205"/>
      <c r="HF23" s="205"/>
      <c r="HG23" s="205"/>
      <c r="HH23" s="205"/>
      <c r="HI23" s="205"/>
      <c r="HJ23" s="205"/>
      <c r="HK23" s="205"/>
      <c r="HL23" s="205"/>
      <c r="HM23" s="205"/>
      <c r="HN23" s="205"/>
      <c r="HO23" s="205"/>
      <c r="HP23" s="205"/>
      <c r="HQ23" s="205"/>
      <c r="HR23" s="205"/>
      <c r="HS23" s="205"/>
      <c r="HT23" s="205"/>
      <c r="HU23" s="205"/>
      <c r="HV23" s="205"/>
      <c r="HW23" s="205"/>
      <c r="HX23" s="205"/>
      <c r="HY23" s="205"/>
      <c r="HZ23" s="205"/>
      <c r="IA23" s="205"/>
      <c r="IB23" s="205"/>
      <c r="IC23" s="205"/>
      <c r="ID23" s="205"/>
      <c r="IE23" s="205"/>
      <c r="IF23" s="205"/>
      <c r="IG23" s="205"/>
      <c r="IH23" s="205"/>
      <c r="II23" s="205"/>
      <c r="IJ23" s="205"/>
      <c r="IK23" s="205"/>
      <c r="IL23" s="205"/>
      <c r="IM23" s="205"/>
      <c r="IN23" s="205"/>
      <c r="IO23" s="205"/>
      <c r="IP23" s="205"/>
      <c r="IQ23" s="205"/>
      <c r="IR23" s="205"/>
      <c r="IS23" s="205"/>
      <c r="IT23" s="205"/>
      <c r="IU23" s="205"/>
      <c r="IV23" s="205"/>
    </row>
    <row r="24" spans="1:256" ht="15.75">
      <c r="A24" s="223" t="s">
        <v>523</v>
      </c>
      <c r="B24" s="137"/>
      <c r="C24" s="137"/>
      <c r="D24" s="137"/>
      <c r="E24" s="137"/>
      <c r="F24" s="205"/>
      <c r="G24" s="207" t="s">
        <v>166</v>
      </c>
      <c r="H24" s="211"/>
      <c r="I24" s="209"/>
      <c r="J24" s="209"/>
      <c r="K24" s="209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  <c r="AT24" s="205"/>
      <c r="AU24" s="205"/>
      <c r="AV24" s="205"/>
      <c r="AW24" s="205"/>
      <c r="AX24" s="205"/>
      <c r="AY24" s="205"/>
      <c r="AZ24" s="205"/>
      <c r="BA24" s="205"/>
      <c r="BB24" s="205"/>
      <c r="BC24" s="205"/>
      <c r="BD24" s="205"/>
      <c r="BE24" s="205"/>
      <c r="BF24" s="205"/>
      <c r="BG24" s="205"/>
      <c r="BH24" s="205"/>
      <c r="BI24" s="205"/>
      <c r="BJ24" s="205"/>
      <c r="BK24" s="205"/>
      <c r="BL24" s="205"/>
      <c r="BM24" s="205"/>
      <c r="BN24" s="205"/>
      <c r="BO24" s="205"/>
      <c r="BP24" s="205"/>
      <c r="BQ24" s="205"/>
      <c r="BR24" s="205"/>
      <c r="BS24" s="205"/>
      <c r="BT24" s="205"/>
      <c r="BU24" s="205"/>
      <c r="BV24" s="205"/>
      <c r="BW24" s="205"/>
      <c r="BX24" s="205"/>
      <c r="BY24" s="205"/>
      <c r="BZ24" s="205"/>
      <c r="CA24" s="205"/>
      <c r="CB24" s="205"/>
      <c r="CC24" s="205"/>
      <c r="CD24" s="205"/>
      <c r="CE24" s="205"/>
      <c r="CF24" s="205"/>
      <c r="CG24" s="205"/>
      <c r="CH24" s="205"/>
      <c r="CI24" s="205"/>
      <c r="CJ24" s="205"/>
      <c r="CK24" s="205"/>
      <c r="CL24" s="205"/>
      <c r="CM24" s="205"/>
      <c r="CN24" s="205"/>
      <c r="CO24" s="205"/>
      <c r="CP24" s="205"/>
      <c r="CQ24" s="205"/>
      <c r="CR24" s="205"/>
      <c r="CS24" s="205"/>
      <c r="CT24" s="205"/>
      <c r="CU24" s="205"/>
      <c r="CV24" s="205"/>
      <c r="CW24" s="205"/>
      <c r="CX24" s="205"/>
      <c r="CY24" s="205"/>
      <c r="CZ24" s="205"/>
      <c r="DA24" s="205"/>
      <c r="DB24" s="205"/>
      <c r="DC24" s="205"/>
      <c r="DD24" s="205"/>
      <c r="DE24" s="205"/>
      <c r="DF24" s="205"/>
      <c r="DG24" s="205"/>
      <c r="DH24" s="205"/>
      <c r="DI24" s="205"/>
      <c r="DJ24" s="205"/>
      <c r="DK24" s="205"/>
      <c r="DL24" s="205"/>
      <c r="DM24" s="205"/>
      <c r="DN24" s="205"/>
      <c r="DO24" s="205"/>
      <c r="DP24" s="205"/>
      <c r="DQ24" s="205"/>
      <c r="DR24" s="205"/>
      <c r="DS24" s="205"/>
      <c r="DT24" s="205"/>
      <c r="DU24" s="205"/>
      <c r="DV24" s="205"/>
      <c r="DW24" s="205"/>
      <c r="DX24" s="205"/>
      <c r="DY24" s="205"/>
      <c r="DZ24" s="205"/>
      <c r="EA24" s="205"/>
      <c r="EB24" s="205"/>
      <c r="EC24" s="205"/>
      <c r="ED24" s="205"/>
      <c r="EE24" s="205"/>
      <c r="EF24" s="205"/>
      <c r="EG24" s="205"/>
      <c r="EH24" s="205"/>
      <c r="EI24" s="205"/>
      <c r="EJ24" s="205"/>
      <c r="EK24" s="205"/>
      <c r="EL24" s="205"/>
      <c r="EM24" s="205"/>
      <c r="EN24" s="205"/>
      <c r="EO24" s="205"/>
      <c r="EP24" s="205"/>
      <c r="EQ24" s="205"/>
      <c r="ER24" s="205"/>
      <c r="ES24" s="205"/>
      <c r="ET24" s="205"/>
      <c r="EU24" s="205"/>
      <c r="EV24" s="205"/>
      <c r="EW24" s="205"/>
      <c r="EX24" s="205"/>
      <c r="EY24" s="205"/>
      <c r="EZ24" s="205"/>
      <c r="FA24" s="205"/>
      <c r="FB24" s="205"/>
      <c r="FC24" s="205"/>
      <c r="FD24" s="205"/>
      <c r="FE24" s="205"/>
      <c r="FF24" s="205"/>
      <c r="FG24" s="205"/>
      <c r="FH24" s="205"/>
      <c r="FI24" s="205"/>
      <c r="FJ24" s="205"/>
      <c r="FK24" s="205"/>
      <c r="FL24" s="205"/>
      <c r="FM24" s="205"/>
      <c r="FN24" s="205"/>
      <c r="FO24" s="205"/>
      <c r="FP24" s="205"/>
      <c r="FQ24" s="205"/>
      <c r="FR24" s="205"/>
      <c r="FS24" s="205"/>
      <c r="FT24" s="205"/>
      <c r="FU24" s="205"/>
      <c r="FV24" s="205"/>
      <c r="FW24" s="205"/>
      <c r="FX24" s="205"/>
      <c r="FY24" s="205"/>
      <c r="FZ24" s="205"/>
      <c r="GA24" s="205"/>
      <c r="GB24" s="205"/>
      <c r="GC24" s="205"/>
      <c r="GD24" s="205"/>
      <c r="GE24" s="205"/>
      <c r="GF24" s="205"/>
      <c r="GG24" s="205"/>
      <c r="GH24" s="205"/>
      <c r="GI24" s="205"/>
      <c r="GJ24" s="205"/>
      <c r="GK24" s="205"/>
      <c r="GL24" s="205"/>
      <c r="GM24" s="205"/>
      <c r="GN24" s="205"/>
      <c r="GO24" s="205"/>
      <c r="GP24" s="205"/>
      <c r="GQ24" s="205"/>
      <c r="GR24" s="205"/>
      <c r="GS24" s="205"/>
      <c r="GT24" s="205"/>
      <c r="GU24" s="205"/>
      <c r="GV24" s="205"/>
      <c r="GW24" s="205"/>
      <c r="GX24" s="205"/>
      <c r="GY24" s="205"/>
      <c r="GZ24" s="205"/>
      <c r="HA24" s="205"/>
      <c r="HB24" s="205"/>
      <c r="HC24" s="205"/>
      <c r="HD24" s="205"/>
      <c r="HE24" s="205"/>
      <c r="HF24" s="205"/>
      <c r="HG24" s="205"/>
      <c r="HH24" s="205"/>
      <c r="HI24" s="205"/>
      <c r="HJ24" s="205"/>
      <c r="HK24" s="205"/>
      <c r="HL24" s="205"/>
      <c r="HM24" s="205"/>
      <c r="HN24" s="205"/>
      <c r="HO24" s="205"/>
      <c r="HP24" s="205"/>
      <c r="HQ24" s="205"/>
      <c r="HR24" s="205"/>
      <c r="HS24" s="205"/>
      <c r="HT24" s="205"/>
      <c r="HU24" s="205"/>
      <c r="HV24" s="205"/>
      <c r="HW24" s="205"/>
      <c r="HX24" s="205"/>
      <c r="HY24" s="205"/>
      <c r="HZ24" s="205"/>
      <c r="IA24" s="205"/>
      <c r="IB24" s="205"/>
      <c r="IC24" s="205"/>
      <c r="ID24" s="205"/>
      <c r="IE24" s="205"/>
      <c r="IF24" s="205"/>
      <c r="IG24" s="205"/>
      <c r="IH24" s="205"/>
      <c r="II24" s="205"/>
      <c r="IJ24" s="205"/>
      <c r="IK24" s="205"/>
      <c r="IL24" s="205"/>
      <c r="IM24" s="205"/>
      <c r="IN24" s="205"/>
      <c r="IO24" s="205"/>
      <c r="IP24" s="205"/>
      <c r="IQ24" s="205"/>
      <c r="IR24" s="205"/>
      <c r="IS24" s="205"/>
      <c r="IT24" s="205"/>
      <c r="IU24" s="205"/>
      <c r="IV24" s="205"/>
    </row>
    <row r="30" spans="1:256" ht="15.75" thickBot="1">
      <c r="A30" s="212"/>
      <c r="B30" s="212"/>
      <c r="C30" s="212"/>
      <c r="D30" s="212"/>
      <c r="E30" s="213"/>
      <c r="F30" s="214"/>
      <c r="G30" s="736"/>
      <c r="H30" s="737"/>
      <c r="I30" s="738"/>
      <c r="J30" s="215"/>
      <c r="K30" s="215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  <c r="W30" s="214"/>
      <c r="X30" s="214"/>
      <c r="Y30" s="214"/>
      <c r="Z30" s="214"/>
      <c r="AA30" s="214"/>
      <c r="AB30" s="214"/>
      <c r="AC30" s="214"/>
      <c r="AD30" s="214"/>
      <c r="AE30" s="214"/>
      <c r="AF30" s="214"/>
      <c r="AG30" s="214"/>
      <c r="AH30" s="214"/>
      <c r="AI30" s="214"/>
      <c r="AJ30" s="214"/>
      <c r="AK30" s="214"/>
      <c r="AL30" s="214"/>
      <c r="AM30" s="214"/>
      <c r="AN30" s="214"/>
      <c r="AO30" s="214"/>
      <c r="AP30" s="214"/>
      <c r="AQ30" s="214"/>
      <c r="AR30" s="214"/>
      <c r="AS30" s="214"/>
      <c r="AT30" s="214"/>
      <c r="AU30" s="214"/>
      <c r="AV30" s="214"/>
      <c r="AW30" s="214"/>
      <c r="AX30" s="214"/>
      <c r="AY30" s="214"/>
      <c r="AZ30" s="214"/>
      <c r="BA30" s="214"/>
      <c r="BB30" s="214"/>
      <c r="BC30" s="214"/>
      <c r="BD30" s="214"/>
      <c r="BE30" s="214"/>
      <c r="BF30" s="214"/>
      <c r="BG30" s="214"/>
      <c r="BH30" s="214"/>
      <c r="BI30" s="214"/>
      <c r="BJ30" s="214"/>
      <c r="BK30" s="214"/>
      <c r="BL30" s="214"/>
      <c r="BM30" s="214"/>
      <c r="BN30" s="214"/>
      <c r="BO30" s="214"/>
      <c r="BP30" s="214"/>
      <c r="BQ30" s="214"/>
      <c r="BR30" s="214"/>
      <c r="BS30" s="214"/>
      <c r="BT30" s="214"/>
      <c r="BU30" s="214"/>
      <c r="BV30" s="214"/>
      <c r="BW30" s="214"/>
      <c r="BX30" s="214"/>
      <c r="BY30" s="214"/>
      <c r="BZ30" s="214"/>
      <c r="CA30" s="214"/>
      <c r="CB30" s="214"/>
      <c r="CC30" s="214"/>
      <c r="CD30" s="214"/>
      <c r="CE30" s="214"/>
      <c r="CF30" s="214"/>
      <c r="CG30" s="214"/>
      <c r="CH30" s="214"/>
      <c r="CI30" s="214"/>
      <c r="CJ30" s="214"/>
      <c r="CK30" s="214"/>
      <c r="CL30" s="214"/>
      <c r="CM30" s="214"/>
      <c r="CN30" s="214"/>
      <c r="CO30" s="214"/>
      <c r="CP30" s="214"/>
      <c r="CQ30" s="214"/>
      <c r="CR30" s="214"/>
      <c r="CS30" s="214"/>
      <c r="CT30" s="214"/>
      <c r="CU30" s="214"/>
      <c r="CV30" s="214"/>
      <c r="CW30" s="214"/>
      <c r="CX30" s="214"/>
      <c r="CY30" s="214"/>
      <c r="CZ30" s="214"/>
      <c r="DA30" s="214"/>
      <c r="DB30" s="214"/>
      <c r="DC30" s="214"/>
      <c r="DD30" s="214"/>
      <c r="DE30" s="214"/>
      <c r="DF30" s="214"/>
      <c r="DG30" s="214"/>
      <c r="DH30" s="214"/>
      <c r="DI30" s="214"/>
      <c r="DJ30" s="214"/>
      <c r="DK30" s="214"/>
      <c r="DL30" s="214"/>
      <c r="DM30" s="214"/>
      <c r="DN30" s="214"/>
      <c r="DO30" s="214"/>
      <c r="DP30" s="214"/>
      <c r="DQ30" s="214"/>
      <c r="DR30" s="214"/>
      <c r="DS30" s="214"/>
      <c r="DT30" s="214"/>
      <c r="DU30" s="214"/>
      <c r="DV30" s="214"/>
      <c r="DW30" s="214"/>
      <c r="DX30" s="214"/>
      <c r="DY30" s="214"/>
      <c r="DZ30" s="214"/>
      <c r="EA30" s="214"/>
      <c r="EB30" s="214"/>
      <c r="EC30" s="214"/>
      <c r="ED30" s="214"/>
      <c r="EE30" s="214"/>
      <c r="EF30" s="214"/>
      <c r="EG30" s="214"/>
      <c r="EH30" s="214"/>
      <c r="EI30" s="214"/>
      <c r="EJ30" s="214"/>
      <c r="EK30" s="214"/>
      <c r="EL30" s="214"/>
      <c r="EM30" s="214"/>
      <c r="EN30" s="214"/>
      <c r="EO30" s="214"/>
      <c r="EP30" s="214"/>
      <c r="EQ30" s="214"/>
      <c r="ER30" s="214"/>
      <c r="ES30" s="214"/>
      <c r="ET30" s="214"/>
      <c r="EU30" s="214"/>
      <c r="EV30" s="214"/>
      <c r="EW30" s="214"/>
      <c r="EX30" s="214"/>
      <c r="EY30" s="214"/>
      <c r="EZ30" s="214"/>
      <c r="FA30" s="214"/>
      <c r="FB30" s="214"/>
      <c r="FC30" s="214"/>
      <c r="FD30" s="214"/>
      <c r="FE30" s="214"/>
      <c r="FF30" s="214"/>
      <c r="FG30" s="214"/>
      <c r="FH30" s="214"/>
      <c r="FI30" s="214"/>
      <c r="FJ30" s="214"/>
      <c r="FK30" s="214"/>
      <c r="FL30" s="214"/>
      <c r="FM30" s="214"/>
      <c r="FN30" s="214"/>
      <c r="FO30" s="214"/>
      <c r="FP30" s="214"/>
      <c r="FQ30" s="214"/>
      <c r="FR30" s="214"/>
      <c r="FS30" s="214"/>
      <c r="FT30" s="214"/>
      <c r="FU30" s="214"/>
      <c r="FV30" s="214"/>
      <c r="FW30" s="214"/>
      <c r="FX30" s="214"/>
      <c r="FY30" s="214"/>
      <c r="FZ30" s="214"/>
      <c r="GA30" s="214"/>
      <c r="GB30" s="214"/>
      <c r="GC30" s="214"/>
      <c r="GD30" s="214"/>
      <c r="GE30" s="214"/>
      <c r="GF30" s="214"/>
      <c r="GG30" s="214"/>
      <c r="GH30" s="214"/>
      <c r="GI30" s="214"/>
      <c r="GJ30" s="214"/>
      <c r="GK30" s="214"/>
      <c r="GL30" s="214"/>
      <c r="GM30" s="214"/>
      <c r="GN30" s="214"/>
      <c r="GO30" s="214"/>
      <c r="GP30" s="214"/>
      <c r="GQ30" s="214"/>
      <c r="GR30" s="214"/>
      <c r="GS30" s="214"/>
      <c r="GT30" s="214"/>
      <c r="GU30" s="214"/>
      <c r="GV30" s="214"/>
      <c r="GW30" s="214"/>
      <c r="GX30" s="214"/>
      <c r="GY30" s="214"/>
      <c r="GZ30" s="214"/>
      <c r="HA30" s="214"/>
      <c r="HB30" s="214"/>
      <c r="HC30" s="214"/>
      <c r="HD30" s="214"/>
      <c r="HE30" s="214"/>
      <c r="HF30" s="214"/>
      <c r="HG30" s="214"/>
      <c r="HH30" s="214"/>
      <c r="HI30" s="214"/>
      <c r="HJ30" s="214"/>
      <c r="HK30" s="214"/>
      <c r="HL30" s="214"/>
      <c r="HM30" s="214"/>
      <c r="HN30" s="214"/>
      <c r="HO30" s="214"/>
      <c r="HP30" s="214"/>
      <c r="HQ30" s="214"/>
      <c r="HR30" s="214"/>
      <c r="HS30" s="214"/>
      <c r="HT30" s="214"/>
      <c r="HU30" s="214"/>
      <c r="HV30" s="214"/>
      <c r="HW30" s="214"/>
      <c r="HX30" s="214"/>
      <c r="HY30" s="214"/>
      <c r="HZ30" s="214"/>
      <c r="IA30" s="214"/>
      <c r="IB30" s="214"/>
      <c r="IC30" s="214"/>
      <c r="ID30" s="214"/>
      <c r="IE30" s="214"/>
      <c r="IF30" s="214"/>
      <c r="IG30" s="214"/>
      <c r="IH30" s="214"/>
      <c r="II30" s="214"/>
      <c r="IJ30" s="214"/>
      <c r="IK30" s="214"/>
      <c r="IL30" s="214"/>
      <c r="IM30" s="214"/>
      <c r="IN30" s="214"/>
      <c r="IO30" s="214"/>
      <c r="IP30" s="214"/>
      <c r="IQ30" s="214"/>
      <c r="IR30" s="214"/>
      <c r="IS30" s="214"/>
      <c r="IT30" s="214"/>
      <c r="IU30" s="214"/>
      <c r="IV30" s="214"/>
    </row>
    <row r="31" spans="1:256" ht="15.75">
      <c r="A31" s="1333" t="s">
        <v>135</v>
      </c>
      <c r="B31" s="1333"/>
      <c r="C31" s="1333"/>
      <c r="D31" s="1333"/>
      <c r="E31" s="1333"/>
      <c r="F31" s="205"/>
      <c r="G31" s="1333" t="s">
        <v>554</v>
      </c>
      <c r="H31" s="1333"/>
      <c r="I31" s="1333"/>
      <c r="J31" s="1333"/>
      <c r="K31" s="215"/>
      <c r="L31" s="214"/>
      <c r="M31" s="214"/>
      <c r="N31" s="214"/>
      <c r="O31" s="214"/>
      <c r="P31" s="214"/>
      <c r="Q31" s="214"/>
      <c r="R31" s="214"/>
      <c r="S31" s="214"/>
      <c r="T31" s="214"/>
      <c r="U31" s="214"/>
      <c r="V31" s="214"/>
      <c r="W31" s="214"/>
      <c r="X31" s="214"/>
      <c r="Y31" s="214"/>
      <c r="Z31" s="214"/>
      <c r="AA31" s="214"/>
      <c r="AB31" s="214"/>
      <c r="AC31" s="214"/>
      <c r="AD31" s="214"/>
      <c r="AE31" s="214"/>
      <c r="AF31" s="214"/>
      <c r="AG31" s="214"/>
      <c r="AH31" s="214"/>
      <c r="AI31" s="214"/>
      <c r="AJ31" s="214"/>
      <c r="AK31" s="214"/>
      <c r="AL31" s="214"/>
      <c r="AM31" s="214"/>
      <c r="AN31" s="214"/>
      <c r="AO31" s="214"/>
      <c r="AP31" s="214"/>
      <c r="AQ31" s="214"/>
      <c r="AR31" s="214"/>
      <c r="AS31" s="214"/>
      <c r="AT31" s="214"/>
      <c r="AU31" s="214"/>
      <c r="AV31" s="214"/>
      <c r="AW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14"/>
      <c r="BH31" s="214"/>
      <c r="BI31" s="214"/>
      <c r="BJ31" s="214"/>
      <c r="BK31" s="214"/>
      <c r="BL31" s="214"/>
      <c r="BM31" s="214"/>
      <c r="BN31" s="214"/>
      <c r="BO31" s="214"/>
      <c r="BP31" s="214"/>
      <c r="BQ31" s="214"/>
      <c r="BR31" s="214"/>
      <c r="BS31" s="214"/>
      <c r="BT31" s="214"/>
      <c r="BU31" s="214"/>
      <c r="BV31" s="214"/>
      <c r="BW31" s="214"/>
      <c r="BX31" s="214"/>
      <c r="BY31" s="214"/>
      <c r="BZ31" s="214"/>
      <c r="CA31" s="214"/>
      <c r="CB31" s="214"/>
      <c r="CC31" s="214"/>
      <c r="CD31" s="214"/>
      <c r="CE31" s="214"/>
      <c r="CF31" s="214"/>
      <c r="CG31" s="214"/>
      <c r="CH31" s="214"/>
      <c r="CI31" s="214"/>
      <c r="CJ31" s="214"/>
      <c r="CK31" s="214"/>
      <c r="CL31" s="214"/>
      <c r="CM31" s="214"/>
      <c r="CN31" s="214"/>
      <c r="CO31" s="214"/>
      <c r="CP31" s="214"/>
      <c r="CQ31" s="214"/>
      <c r="CR31" s="214"/>
      <c r="CS31" s="214"/>
      <c r="CT31" s="214"/>
      <c r="CU31" s="214"/>
      <c r="CV31" s="214"/>
      <c r="CW31" s="214"/>
      <c r="CX31" s="214"/>
      <c r="CY31" s="214"/>
      <c r="CZ31" s="214"/>
      <c r="DA31" s="214"/>
      <c r="DB31" s="214"/>
      <c r="DC31" s="214"/>
      <c r="DD31" s="214"/>
      <c r="DE31" s="214"/>
      <c r="DF31" s="214"/>
      <c r="DG31" s="214"/>
      <c r="DH31" s="214"/>
      <c r="DI31" s="214"/>
      <c r="DJ31" s="214"/>
      <c r="DK31" s="214"/>
      <c r="DL31" s="214"/>
      <c r="DM31" s="214"/>
      <c r="DN31" s="214"/>
      <c r="DO31" s="214"/>
      <c r="DP31" s="214"/>
      <c r="DQ31" s="214"/>
      <c r="DR31" s="214"/>
      <c r="DS31" s="214"/>
      <c r="DT31" s="214"/>
      <c r="DU31" s="214"/>
      <c r="DV31" s="214"/>
      <c r="DW31" s="214"/>
      <c r="DX31" s="214"/>
      <c r="DY31" s="214"/>
      <c r="DZ31" s="214"/>
      <c r="EA31" s="214"/>
      <c r="EB31" s="214"/>
      <c r="EC31" s="214"/>
      <c r="ED31" s="214"/>
      <c r="EE31" s="214"/>
      <c r="EF31" s="214"/>
      <c r="EG31" s="214"/>
      <c r="EH31" s="214"/>
      <c r="EI31" s="214"/>
      <c r="EJ31" s="214"/>
      <c r="EK31" s="214"/>
      <c r="EL31" s="214"/>
      <c r="EM31" s="214"/>
      <c r="EN31" s="214"/>
      <c r="EO31" s="214"/>
      <c r="EP31" s="214"/>
      <c r="EQ31" s="214"/>
      <c r="ER31" s="214"/>
      <c r="ES31" s="214"/>
      <c r="ET31" s="214"/>
      <c r="EU31" s="214"/>
      <c r="EV31" s="214"/>
      <c r="EW31" s="214"/>
      <c r="EX31" s="214"/>
      <c r="EY31" s="214"/>
      <c r="EZ31" s="214"/>
      <c r="FA31" s="214"/>
      <c r="FB31" s="214"/>
      <c r="FC31" s="214"/>
      <c r="FD31" s="214"/>
      <c r="FE31" s="214"/>
      <c r="FF31" s="214"/>
      <c r="FG31" s="214"/>
      <c r="FH31" s="214"/>
      <c r="FI31" s="214"/>
      <c r="FJ31" s="214"/>
      <c r="FK31" s="214"/>
      <c r="FL31" s="214"/>
      <c r="FM31" s="214"/>
      <c r="FN31" s="214"/>
      <c r="FO31" s="214"/>
      <c r="FP31" s="214"/>
      <c r="FQ31" s="214"/>
      <c r="FR31" s="214"/>
      <c r="FS31" s="214"/>
      <c r="FT31" s="214"/>
      <c r="FU31" s="214"/>
      <c r="FV31" s="214"/>
      <c r="FW31" s="214"/>
      <c r="FX31" s="214"/>
      <c r="FY31" s="214"/>
      <c r="FZ31" s="214"/>
      <c r="GA31" s="214"/>
      <c r="GB31" s="214"/>
      <c r="GC31" s="214"/>
      <c r="GD31" s="214"/>
      <c r="GE31" s="214"/>
      <c r="GF31" s="214"/>
      <c r="GG31" s="214"/>
      <c r="GH31" s="214"/>
      <c r="GI31" s="214"/>
      <c r="GJ31" s="214"/>
      <c r="GK31" s="214"/>
      <c r="GL31" s="214"/>
      <c r="GM31" s="214"/>
      <c r="GN31" s="214"/>
      <c r="GO31" s="214"/>
      <c r="GP31" s="214"/>
      <c r="GQ31" s="214"/>
      <c r="GR31" s="214"/>
      <c r="GS31" s="214"/>
      <c r="GT31" s="214"/>
      <c r="GU31" s="214"/>
      <c r="GV31" s="214"/>
      <c r="GW31" s="214"/>
      <c r="GX31" s="214"/>
      <c r="GY31" s="214"/>
      <c r="GZ31" s="214"/>
      <c r="HA31" s="214"/>
      <c r="HB31" s="214"/>
      <c r="HC31" s="214"/>
      <c r="HD31" s="214"/>
      <c r="HE31" s="214"/>
      <c r="HF31" s="214"/>
      <c r="HG31" s="214"/>
      <c r="HH31" s="214"/>
      <c r="HI31" s="214"/>
      <c r="HJ31" s="214"/>
      <c r="HK31" s="214"/>
      <c r="HL31" s="214"/>
      <c r="HM31" s="214"/>
      <c r="HN31" s="214"/>
      <c r="HO31" s="214"/>
      <c r="HP31" s="214"/>
      <c r="HQ31" s="214"/>
      <c r="HR31" s="214"/>
      <c r="HS31" s="214"/>
      <c r="HT31" s="214"/>
      <c r="HU31" s="214"/>
      <c r="HV31" s="214"/>
      <c r="HW31" s="214"/>
      <c r="HX31" s="214"/>
      <c r="HY31" s="214"/>
      <c r="HZ31" s="214"/>
      <c r="IA31" s="214"/>
      <c r="IB31" s="214"/>
      <c r="IC31" s="214"/>
      <c r="ID31" s="214"/>
      <c r="IE31" s="214"/>
      <c r="IF31" s="214"/>
      <c r="IG31" s="214"/>
      <c r="IH31" s="214"/>
      <c r="II31" s="214"/>
      <c r="IJ31" s="214"/>
      <c r="IK31" s="214"/>
      <c r="IL31" s="214"/>
      <c r="IM31" s="214"/>
      <c r="IN31" s="214"/>
      <c r="IO31" s="214"/>
      <c r="IP31" s="214"/>
      <c r="IQ31" s="214"/>
      <c r="IR31" s="214"/>
      <c r="IS31" s="214"/>
      <c r="IT31" s="214"/>
      <c r="IU31" s="214"/>
      <c r="IV31" s="214"/>
    </row>
    <row r="32" spans="1:256" ht="15.75" customHeight="1">
      <c r="A32" s="207" t="s">
        <v>145</v>
      </c>
      <c r="B32" s="137"/>
      <c r="C32" s="137"/>
      <c r="D32" s="137"/>
      <c r="E32" s="137"/>
      <c r="F32" s="221"/>
      <c r="G32" s="1143" t="s">
        <v>556</v>
      </c>
      <c r="H32" s="1143"/>
      <c r="I32" s="1143"/>
      <c r="J32" s="207"/>
      <c r="K32" s="215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4"/>
      <c r="X32" s="214"/>
      <c r="Y32" s="214"/>
      <c r="Z32" s="214"/>
      <c r="AA32" s="214"/>
      <c r="AB32" s="214"/>
      <c r="AC32" s="214"/>
      <c r="AD32" s="214"/>
      <c r="AE32" s="214"/>
      <c r="AF32" s="214"/>
      <c r="AG32" s="214"/>
      <c r="AH32" s="216"/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16"/>
      <c r="BB32" s="216"/>
      <c r="BC32" s="216"/>
      <c r="BD32" s="216"/>
      <c r="BE32" s="216"/>
      <c r="BF32" s="216"/>
      <c r="BG32" s="216"/>
      <c r="BH32" s="216"/>
      <c r="BI32" s="216"/>
      <c r="BJ32" s="216"/>
      <c r="BK32" s="216"/>
      <c r="BL32" s="216"/>
      <c r="BM32" s="216"/>
      <c r="BN32" s="216"/>
      <c r="BO32" s="216"/>
      <c r="BP32" s="216"/>
      <c r="BQ32" s="216"/>
      <c r="BR32" s="216"/>
      <c r="BS32" s="216"/>
      <c r="BT32" s="216"/>
      <c r="BU32" s="216"/>
      <c r="BV32" s="216"/>
      <c r="BW32" s="216"/>
      <c r="BX32" s="216"/>
      <c r="BY32" s="216"/>
      <c r="BZ32" s="216"/>
      <c r="CA32" s="216"/>
      <c r="CB32" s="216"/>
      <c r="CC32" s="216"/>
      <c r="CD32" s="216"/>
      <c r="CE32" s="216"/>
      <c r="CF32" s="216"/>
      <c r="CG32" s="216"/>
      <c r="CH32" s="216"/>
      <c r="CI32" s="216"/>
      <c r="CJ32" s="216"/>
      <c r="CK32" s="216"/>
      <c r="CL32" s="216"/>
      <c r="CM32" s="216"/>
      <c r="CN32" s="216"/>
      <c r="CO32" s="216"/>
      <c r="CP32" s="216"/>
      <c r="CQ32" s="216"/>
      <c r="CR32" s="216"/>
      <c r="CS32" s="216"/>
      <c r="CT32" s="216"/>
      <c r="CU32" s="216"/>
      <c r="CV32" s="216"/>
      <c r="CW32" s="216"/>
      <c r="CX32" s="216"/>
      <c r="CY32" s="216"/>
      <c r="CZ32" s="216"/>
      <c r="DA32" s="216"/>
      <c r="DB32" s="216"/>
      <c r="DC32" s="216"/>
      <c r="DD32" s="216"/>
      <c r="DE32" s="216"/>
      <c r="DF32" s="216"/>
      <c r="DG32" s="216"/>
      <c r="DH32" s="216"/>
      <c r="DI32" s="216"/>
      <c r="DJ32" s="216"/>
      <c r="DK32" s="216"/>
      <c r="DL32" s="216"/>
      <c r="DM32" s="216"/>
      <c r="DN32" s="216"/>
      <c r="DO32" s="216"/>
      <c r="DP32" s="216"/>
      <c r="DQ32" s="216"/>
      <c r="DR32" s="216"/>
      <c r="DS32" s="216"/>
      <c r="DT32" s="216"/>
      <c r="DU32" s="216"/>
      <c r="DV32" s="216"/>
      <c r="DW32" s="216"/>
      <c r="DX32" s="216"/>
      <c r="DY32" s="216"/>
      <c r="DZ32" s="216"/>
      <c r="EA32" s="216"/>
      <c r="EB32" s="216"/>
      <c r="EC32" s="216"/>
      <c r="ED32" s="216"/>
      <c r="EE32" s="216"/>
      <c r="EF32" s="216"/>
      <c r="EG32" s="216"/>
      <c r="EH32" s="216"/>
      <c r="EI32" s="216"/>
      <c r="EJ32" s="216"/>
      <c r="EK32" s="216"/>
      <c r="EL32" s="216"/>
      <c r="EM32" s="216"/>
      <c r="EN32" s="216"/>
      <c r="EO32" s="216"/>
      <c r="EP32" s="216"/>
      <c r="EQ32" s="216"/>
      <c r="ER32" s="216"/>
      <c r="ES32" s="216"/>
      <c r="ET32" s="216"/>
      <c r="EU32" s="216"/>
      <c r="EV32" s="216"/>
      <c r="EW32" s="216"/>
      <c r="EX32" s="216"/>
      <c r="EY32" s="216"/>
      <c r="EZ32" s="216"/>
      <c r="FA32" s="216"/>
      <c r="FB32" s="216"/>
      <c r="FC32" s="216"/>
      <c r="FD32" s="216"/>
      <c r="FE32" s="216"/>
      <c r="FF32" s="216"/>
      <c r="FG32" s="216"/>
      <c r="FH32" s="216"/>
      <c r="FI32" s="216"/>
      <c r="FJ32" s="216"/>
      <c r="FK32" s="216"/>
      <c r="FL32" s="216"/>
      <c r="FM32" s="216"/>
      <c r="FN32" s="216"/>
      <c r="FO32" s="216"/>
      <c r="FP32" s="216"/>
      <c r="FQ32" s="216"/>
      <c r="FR32" s="216"/>
      <c r="FS32" s="216"/>
      <c r="FT32" s="216"/>
      <c r="FU32" s="216"/>
      <c r="FV32" s="216"/>
      <c r="FW32" s="216"/>
      <c r="FX32" s="216"/>
      <c r="FY32" s="216"/>
      <c r="FZ32" s="216"/>
      <c r="GA32" s="216"/>
      <c r="GB32" s="216"/>
      <c r="GC32" s="216"/>
      <c r="GD32" s="216"/>
      <c r="GE32" s="216"/>
      <c r="GF32" s="216"/>
      <c r="GG32" s="216"/>
      <c r="GH32" s="216"/>
      <c r="GI32" s="216"/>
      <c r="GJ32" s="216"/>
      <c r="GK32" s="216"/>
      <c r="GL32" s="216"/>
      <c r="GM32" s="216"/>
      <c r="GN32" s="216"/>
      <c r="GO32" s="216"/>
      <c r="GP32" s="216"/>
      <c r="GQ32" s="216"/>
      <c r="GR32" s="216"/>
      <c r="GS32" s="216"/>
      <c r="GT32" s="216"/>
      <c r="GU32" s="216"/>
      <c r="GV32" s="216"/>
      <c r="GW32" s="216"/>
      <c r="GX32" s="216"/>
      <c r="GY32" s="216"/>
      <c r="GZ32" s="216"/>
      <c r="HA32" s="216"/>
      <c r="HB32" s="216"/>
      <c r="HC32" s="216"/>
      <c r="HD32" s="216"/>
      <c r="HE32" s="216"/>
      <c r="HF32" s="216"/>
      <c r="HG32" s="216"/>
      <c r="HH32" s="216"/>
      <c r="HI32" s="216"/>
      <c r="HJ32" s="216"/>
      <c r="HK32" s="216"/>
      <c r="HL32" s="216"/>
      <c r="HM32" s="216"/>
      <c r="HN32" s="216"/>
      <c r="HO32" s="216"/>
      <c r="HP32" s="216"/>
      <c r="HQ32" s="216"/>
      <c r="HR32" s="216"/>
      <c r="HS32" s="216"/>
      <c r="HT32" s="216"/>
      <c r="HU32" s="216"/>
      <c r="HV32" s="216"/>
      <c r="HW32" s="216"/>
      <c r="HX32" s="216"/>
      <c r="HY32" s="216"/>
      <c r="HZ32" s="216"/>
      <c r="IA32" s="216"/>
      <c r="IB32" s="216"/>
      <c r="IC32" s="216"/>
      <c r="ID32" s="216"/>
      <c r="IE32" s="216"/>
      <c r="IF32" s="216"/>
      <c r="IG32" s="216"/>
      <c r="IH32" s="216"/>
      <c r="II32" s="216"/>
      <c r="IJ32" s="216"/>
      <c r="IK32" s="216"/>
      <c r="IL32" s="216"/>
      <c r="IM32" s="216"/>
      <c r="IN32" s="216"/>
      <c r="IO32" s="216"/>
      <c r="IP32" s="216"/>
      <c r="IQ32" s="216"/>
      <c r="IR32" s="216"/>
      <c r="IS32" s="216"/>
      <c r="IT32" s="216"/>
      <c r="IU32" s="216"/>
      <c r="IV32" s="216"/>
    </row>
    <row r="33" spans="1:256" ht="15.75" customHeight="1">
      <c r="A33" s="1143" t="s">
        <v>48</v>
      </c>
      <c r="B33" s="1143"/>
      <c r="C33" s="1143"/>
      <c r="D33" s="1143"/>
      <c r="E33" s="137"/>
      <c r="F33" s="222"/>
      <c r="G33" s="1143" t="s">
        <v>48</v>
      </c>
      <c r="H33" s="1143"/>
      <c r="I33" s="1143"/>
      <c r="J33" s="1143"/>
      <c r="K33" s="215"/>
      <c r="L33" s="214"/>
      <c r="M33" s="214"/>
      <c r="N33" s="214"/>
      <c r="O33" s="214"/>
      <c r="P33" s="214"/>
      <c r="Q33" s="214"/>
      <c r="R33" s="214"/>
      <c r="S33" s="214"/>
      <c r="T33" s="214"/>
      <c r="U33" s="214"/>
      <c r="V33" s="214"/>
      <c r="W33" s="214"/>
      <c r="X33" s="214"/>
      <c r="Y33" s="214"/>
      <c r="Z33" s="214"/>
      <c r="AA33" s="214"/>
      <c r="AB33" s="214"/>
      <c r="AC33" s="214"/>
      <c r="AD33" s="214"/>
      <c r="AE33" s="214"/>
      <c r="AF33" s="214"/>
      <c r="AG33" s="214"/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6"/>
      <c r="AU33" s="216"/>
      <c r="AV33" s="216"/>
      <c r="AW33" s="216"/>
      <c r="AX33" s="216"/>
      <c r="AY33" s="216"/>
      <c r="AZ33" s="216"/>
      <c r="BA33" s="216"/>
      <c r="BB33" s="216"/>
      <c r="BC33" s="216"/>
      <c r="BD33" s="216"/>
      <c r="BE33" s="216"/>
      <c r="BF33" s="216"/>
      <c r="BG33" s="216"/>
      <c r="BH33" s="216"/>
      <c r="BI33" s="216"/>
      <c r="BJ33" s="216"/>
      <c r="BK33" s="216"/>
      <c r="BL33" s="216"/>
      <c r="BM33" s="216"/>
      <c r="BN33" s="216"/>
      <c r="BO33" s="216"/>
      <c r="BP33" s="216"/>
      <c r="BQ33" s="216"/>
      <c r="BR33" s="216"/>
      <c r="BS33" s="216"/>
      <c r="BT33" s="216"/>
      <c r="BU33" s="216"/>
      <c r="BV33" s="216"/>
      <c r="BW33" s="216"/>
      <c r="BX33" s="216"/>
      <c r="BY33" s="216"/>
      <c r="BZ33" s="216"/>
      <c r="CA33" s="216"/>
      <c r="CB33" s="216"/>
      <c r="CC33" s="216"/>
      <c r="CD33" s="216"/>
      <c r="CE33" s="216"/>
      <c r="CF33" s="216"/>
      <c r="CG33" s="216"/>
      <c r="CH33" s="216"/>
      <c r="CI33" s="216"/>
      <c r="CJ33" s="216"/>
      <c r="CK33" s="216"/>
      <c r="CL33" s="216"/>
      <c r="CM33" s="216"/>
      <c r="CN33" s="216"/>
      <c r="CO33" s="216"/>
      <c r="CP33" s="216"/>
      <c r="CQ33" s="216"/>
      <c r="CR33" s="216"/>
      <c r="CS33" s="216"/>
      <c r="CT33" s="216"/>
      <c r="CU33" s="216"/>
      <c r="CV33" s="216"/>
      <c r="CW33" s="216"/>
      <c r="CX33" s="216"/>
      <c r="CY33" s="216"/>
      <c r="CZ33" s="216"/>
      <c r="DA33" s="216"/>
      <c r="DB33" s="216"/>
      <c r="DC33" s="216"/>
      <c r="DD33" s="216"/>
      <c r="DE33" s="216"/>
      <c r="DF33" s="216"/>
      <c r="DG33" s="216"/>
      <c r="DH33" s="216"/>
      <c r="DI33" s="216"/>
      <c r="DJ33" s="216"/>
      <c r="DK33" s="216"/>
      <c r="DL33" s="216"/>
      <c r="DM33" s="216"/>
      <c r="DN33" s="216"/>
      <c r="DO33" s="216"/>
      <c r="DP33" s="216"/>
      <c r="DQ33" s="216"/>
      <c r="DR33" s="216"/>
      <c r="DS33" s="216"/>
      <c r="DT33" s="216"/>
      <c r="DU33" s="216"/>
      <c r="DV33" s="216"/>
      <c r="DW33" s="216"/>
      <c r="DX33" s="216"/>
      <c r="DY33" s="216"/>
      <c r="DZ33" s="216"/>
      <c r="EA33" s="216"/>
      <c r="EB33" s="216"/>
      <c r="EC33" s="216"/>
      <c r="ED33" s="216"/>
      <c r="EE33" s="216"/>
      <c r="EF33" s="216"/>
      <c r="EG33" s="216"/>
      <c r="EH33" s="216"/>
      <c r="EI33" s="216"/>
      <c r="EJ33" s="216"/>
      <c r="EK33" s="216"/>
      <c r="EL33" s="216"/>
      <c r="EM33" s="216"/>
      <c r="EN33" s="216"/>
      <c r="EO33" s="216"/>
      <c r="EP33" s="216"/>
      <c r="EQ33" s="216"/>
      <c r="ER33" s="216"/>
      <c r="ES33" s="216"/>
      <c r="ET33" s="216"/>
      <c r="EU33" s="216"/>
      <c r="EV33" s="216"/>
      <c r="EW33" s="216"/>
      <c r="EX33" s="216"/>
      <c r="EY33" s="216"/>
      <c r="EZ33" s="216"/>
      <c r="FA33" s="216"/>
      <c r="FB33" s="216"/>
      <c r="FC33" s="216"/>
      <c r="FD33" s="216"/>
      <c r="FE33" s="216"/>
      <c r="FF33" s="216"/>
      <c r="FG33" s="216"/>
      <c r="FH33" s="216"/>
      <c r="FI33" s="216"/>
      <c r="FJ33" s="216"/>
      <c r="FK33" s="216"/>
      <c r="FL33" s="216"/>
      <c r="FM33" s="216"/>
      <c r="FN33" s="216"/>
      <c r="FO33" s="216"/>
      <c r="FP33" s="216"/>
      <c r="FQ33" s="216"/>
      <c r="FR33" s="216"/>
      <c r="FS33" s="216"/>
      <c r="FT33" s="216"/>
      <c r="FU33" s="216"/>
      <c r="FV33" s="216"/>
      <c r="FW33" s="216"/>
      <c r="FX33" s="216"/>
      <c r="FY33" s="216"/>
      <c r="FZ33" s="216"/>
      <c r="GA33" s="216"/>
      <c r="GB33" s="216"/>
      <c r="GC33" s="216"/>
      <c r="GD33" s="216"/>
      <c r="GE33" s="216"/>
      <c r="GF33" s="216"/>
      <c r="GG33" s="216"/>
      <c r="GH33" s="216"/>
      <c r="GI33" s="216"/>
      <c r="GJ33" s="216"/>
      <c r="GK33" s="216"/>
      <c r="GL33" s="216"/>
      <c r="GM33" s="216"/>
      <c r="GN33" s="216"/>
      <c r="GO33" s="216"/>
      <c r="GP33" s="216"/>
      <c r="GQ33" s="216"/>
      <c r="GR33" s="216"/>
      <c r="GS33" s="216"/>
      <c r="GT33" s="216"/>
      <c r="GU33" s="216"/>
      <c r="GV33" s="216"/>
      <c r="GW33" s="216"/>
      <c r="GX33" s="216"/>
      <c r="GY33" s="216"/>
      <c r="GZ33" s="216"/>
      <c r="HA33" s="216"/>
      <c r="HB33" s="216"/>
      <c r="HC33" s="216"/>
      <c r="HD33" s="216"/>
      <c r="HE33" s="216"/>
      <c r="HF33" s="216"/>
      <c r="HG33" s="216"/>
      <c r="HH33" s="216"/>
      <c r="HI33" s="216"/>
      <c r="HJ33" s="216"/>
      <c r="HK33" s="216"/>
      <c r="HL33" s="216"/>
      <c r="HM33" s="216"/>
      <c r="HN33" s="216"/>
      <c r="HO33" s="216"/>
      <c r="HP33" s="216"/>
      <c r="HQ33" s="216"/>
      <c r="HR33" s="216"/>
      <c r="HS33" s="216"/>
      <c r="HT33" s="216"/>
      <c r="HU33" s="216"/>
      <c r="HV33" s="216"/>
      <c r="HW33" s="216"/>
      <c r="HX33" s="216"/>
      <c r="HY33" s="216"/>
      <c r="HZ33" s="216"/>
      <c r="IA33" s="216"/>
      <c r="IB33" s="216"/>
      <c r="IC33" s="216"/>
      <c r="ID33" s="216"/>
      <c r="IE33" s="216"/>
      <c r="IF33" s="216"/>
      <c r="IG33" s="216"/>
      <c r="IH33" s="216"/>
      <c r="II33" s="216"/>
      <c r="IJ33" s="216"/>
      <c r="IK33" s="216"/>
      <c r="IL33" s="216"/>
      <c r="IM33" s="216"/>
      <c r="IN33" s="216"/>
      <c r="IO33" s="216"/>
      <c r="IP33" s="216"/>
      <c r="IQ33" s="216"/>
      <c r="IR33" s="216"/>
      <c r="IS33" s="216"/>
      <c r="IT33" s="216"/>
      <c r="IU33" s="216"/>
      <c r="IV33" s="216"/>
    </row>
    <row r="34" spans="1:256" ht="15.75" customHeight="1">
      <c r="A34" s="207"/>
      <c r="B34" s="137"/>
      <c r="C34" s="137"/>
      <c r="D34" s="137"/>
      <c r="E34" s="137"/>
      <c r="F34" s="222"/>
      <c r="G34" s="1143" t="s">
        <v>555</v>
      </c>
      <c r="H34" s="1143"/>
      <c r="I34" s="1143"/>
      <c r="J34" s="223"/>
      <c r="K34" s="215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4"/>
      <c r="W34" s="214"/>
      <c r="X34" s="214"/>
      <c r="Y34" s="214"/>
      <c r="Z34" s="214"/>
      <c r="AA34" s="214"/>
      <c r="AB34" s="214"/>
      <c r="AC34" s="214"/>
      <c r="AD34" s="214"/>
      <c r="AE34" s="214"/>
      <c r="AF34" s="214"/>
      <c r="AG34" s="214"/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  <c r="BI34" s="216"/>
      <c r="BJ34" s="216"/>
      <c r="BK34" s="216"/>
      <c r="BL34" s="216"/>
      <c r="BM34" s="216"/>
      <c r="BN34" s="216"/>
      <c r="BO34" s="216"/>
      <c r="BP34" s="216"/>
      <c r="BQ34" s="216"/>
      <c r="BR34" s="216"/>
      <c r="BS34" s="216"/>
      <c r="BT34" s="216"/>
      <c r="BU34" s="216"/>
      <c r="BV34" s="216"/>
      <c r="BW34" s="216"/>
      <c r="BX34" s="216"/>
      <c r="BY34" s="216"/>
      <c r="BZ34" s="216"/>
      <c r="CA34" s="216"/>
      <c r="CB34" s="216"/>
      <c r="CC34" s="216"/>
      <c r="CD34" s="216"/>
      <c r="CE34" s="216"/>
      <c r="CF34" s="216"/>
      <c r="CG34" s="216"/>
      <c r="CH34" s="216"/>
      <c r="CI34" s="216"/>
      <c r="CJ34" s="216"/>
      <c r="CK34" s="216"/>
      <c r="CL34" s="216"/>
      <c r="CM34" s="216"/>
      <c r="CN34" s="216"/>
      <c r="CO34" s="216"/>
      <c r="CP34" s="216"/>
      <c r="CQ34" s="216"/>
      <c r="CR34" s="216"/>
      <c r="CS34" s="216"/>
      <c r="CT34" s="216"/>
      <c r="CU34" s="216"/>
      <c r="CV34" s="216"/>
      <c r="CW34" s="216"/>
      <c r="CX34" s="216"/>
      <c r="CY34" s="216"/>
      <c r="CZ34" s="216"/>
      <c r="DA34" s="216"/>
      <c r="DB34" s="216"/>
      <c r="DC34" s="216"/>
      <c r="DD34" s="216"/>
      <c r="DE34" s="216"/>
      <c r="DF34" s="216"/>
      <c r="DG34" s="216"/>
      <c r="DH34" s="216"/>
      <c r="DI34" s="216"/>
      <c r="DJ34" s="216"/>
      <c r="DK34" s="216"/>
      <c r="DL34" s="216"/>
      <c r="DM34" s="216"/>
      <c r="DN34" s="216"/>
      <c r="DO34" s="216"/>
      <c r="DP34" s="216"/>
      <c r="DQ34" s="216"/>
      <c r="DR34" s="216"/>
      <c r="DS34" s="216"/>
      <c r="DT34" s="216"/>
      <c r="DU34" s="216"/>
      <c r="DV34" s="216"/>
      <c r="DW34" s="216"/>
      <c r="DX34" s="216"/>
      <c r="DY34" s="216"/>
      <c r="DZ34" s="216"/>
      <c r="EA34" s="216"/>
      <c r="EB34" s="216"/>
      <c r="EC34" s="216"/>
      <c r="ED34" s="216"/>
      <c r="EE34" s="216"/>
      <c r="EF34" s="216"/>
      <c r="EG34" s="216"/>
      <c r="EH34" s="216"/>
      <c r="EI34" s="216"/>
      <c r="EJ34" s="216"/>
      <c r="EK34" s="216"/>
      <c r="EL34" s="216"/>
      <c r="EM34" s="216"/>
      <c r="EN34" s="216"/>
      <c r="EO34" s="216"/>
      <c r="EP34" s="216"/>
      <c r="EQ34" s="216"/>
      <c r="ER34" s="216"/>
      <c r="ES34" s="216"/>
      <c r="ET34" s="216"/>
      <c r="EU34" s="216"/>
      <c r="EV34" s="216"/>
      <c r="EW34" s="216"/>
      <c r="EX34" s="216"/>
      <c r="EY34" s="216"/>
      <c r="EZ34" s="216"/>
      <c r="FA34" s="216"/>
      <c r="FB34" s="216"/>
      <c r="FC34" s="216"/>
      <c r="FD34" s="216"/>
      <c r="FE34" s="216"/>
      <c r="FF34" s="216"/>
      <c r="FG34" s="216"/>
      <c r="FH34" s="216"/>
      <c r="FI34" s="216"/>
      <c r="FJ34" s="216"/>
      <c r="FK34" s="216"/>
      <c r="FL34" s="216"/>
      <c r="FM34" s="216"/>
      <c r="FN34" s="216"/>
      <c r="FO34" s="216"/>
      <c r="FP34" s="216"/>
      <c r="FQ34" s="216"/>
      <c r="FR34" s="216"/>
      <c r="FS34" s="216"/>
      <c r="FT34" s="216"/>
      <c r="FU34" s="216"/>
      <c r="FV34" s="216"/>
      <c r="FW34" s="216"/>
      <c r="FX34" s="216"/>
      <c r="FY34" s="216"/>
      <c r="FZ34" s="216"/>
      <c r="GA34" s="216"/>
      <c r="GB34" s="216"/>
      <c r="GC34" s="216"/>
      <c r="GD34" s="216"/>
      <c r="GE34" s="216"/>
      <c r="GF34" s="216"/>
      <c r="GG34" s="216"/>
      <c r="GH34" s="216"/>
      <c r="GI34" s="216"/>
      <c r="GJ34" s="216"/>
      <c r="GK34" s="216"/>
      <c r="GL34" s="216"/>
      <c r="GM34" s="216"/>
      <c r="GN34" s="216"/>
      <c r="GO34" s="216"/>
      <c r="GP34" s="216"/>
      <c r="GQ34" s="216"/>
      <c r="GR34" s="216"/>
      <c r="GS34" s="216"/>
      <c r="GT34" s="216"/>
      <c r="GU34" s="216"/>
      <c r="GV34" s="216"/>
      <c r="GW34" s="216"/>
      <c r="GX34" s="216"/>
      <c r="GY34" s="216"/>
      <c r="GZ34" s="216"/>
      <c r="HA34" s="216"/>
      <c r="HB34" s="216"/>
      <c r="HC34" s="216"/>
      <c r="HD34" s="216"/>
      <c r="HE34" s="216"/>
      <c r="HF34" s="216"/>
      <c r="HG34" s="216"/>
      <c r="HH34" s="216"/>
      <c r="HI34" s="216"/>
      <c r="HJ34" s="216"/>
      <c r="HK34" s="216"/>
      <c r="HL34" s="216"/>
      <c r="HM34" s="216"/>
      <c r="HN34" s="216"/>
      <c r="HO34" s="216"/>
      <c r="HP34" s="216"/>
      <c r="HQ34" s="216"/>
      <c r="HR34" s="216"/>
      <c r="HS34" s="216"/>
      <c r="HT34" s="216"/>
      <c r="HU34" s="216"/>
      <c r="HV34" s="216"/>
      <c r="HW34" s="216"/>
      <c r="HX34" s="216"/>
      <c r="HY34" s="216"/>
      <c r="HZ34" s="216"/>
      <c r="IA34" s="216"/>
      <c r="IB34" s="216"/>
      <c r="IC34" s="216"/>
      <c r="ID34" s="216"/>
      <c r="IE34" s="216"/>
      <c r="IF34" s="216"/>
      <c r="IG34" s="216"/>
      <c r="IH34" s="216"/>
      <c r="II34" s="216"/>
      <c r="IJ34" s="216"/>
      <c r="IK34" s="216"/>
      <c r="IL34" s="216"/>
      <c r="IM34" s="216"/>
      <c r="IN34" s="216"/>
      <c r="IO34" s="216"/>
      <c r="IP34" s="216"/>
      <c r="IQ34" s="216"/>
      <c r="IR34" s="216"/>
      <c r="IS34" s="216"/>
      <c r="IT34" s="216"/>
      <c r="IU34" s="216"/>
      <c r="IV34" s="216"/>
    </row>
    <row r="35" spans="1:256" ht="15.75" customHeight="1">
      <c r="A35" s="217"/>
      <c r="B35" s="217"/>
      <c r="C35" s="218"/>
      <c r="D35" s="219"/>
      <c r="E35" s="217"/>
      <c r="F35" s="213"/>
      <c r="G35" s="220"/>
      <c r="H35" s="217"/>
      <c r="I35" s="216"/>
      <c r="J35" s="216"/>
      <c r="K35" s="216"/>
      <c r="L35" s="215"/>
      <c r="M35" s="214"/>
      <c r="N35" s="214"/>
      <c r="O35" s="214"/>
      <c r="P35" s="214"/>
      <c r="Q35" s="214"/>
      <c r="R35" s="214"/>
      <c r="S35" s="214"/>
      <c r="T35" s="214"/>
      <c r="U35" s="214"/>
      <c r="V35" s="214"/>
      <c r="W35" s="214"/>
      <c r="X35" s="214"/>
      <c r="Y35" s="214"/>
      <c r="Z35" s="214"/>
      <c r="AA35" s="214"/>
      <c r="AB35" s="214"/>
      <c r="AC35" s="214"/>
      <c r="AD35" s="214"/>
      <c r="AE35" s="214"/>
      <c r="AF35" s="214"/>
      <c r="AG35" s="214"/>
      <c r="AH35" s="216"/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6"/>
      <c r="AU35" s="216"/>
      <c r="AV35" s="216"/>
      <c r="AW35" s="216"/>
      <c r="AX35" s="216"/>
      <c r="AY35" s="216"/>
      <c r="AZ35" s="216"/>
      <c r="BA35" s="216"/>
      <c r="BB35" s="216"/>
      <c r="BC35" s="216"/>
      <c r="BD35" s="216"/>
      <c r="BE35" s="216"/>
      <c r="BF35" s="216"/>
      <c r="BG35" s="216"/>
      <c r="BH35" s="216"/>
      <c r="BI35" s="216"/>
      <c r="BJ35" s="216"/>
      <c r="BK35" s="216"/>
      <c r="BL35" s="216"/>
      <c r="BM35" s="216"/>
      <c r="BN35" s="216"/>
      <c r="BO35" s="216"/>
      <c r="BP35" s="216"/>
      <c r="BQ35" s="216"/>
      <c r="BR35" s="216"/>
      <c r="BS35" s="216"/>
      <c r="BT35" s="216"/>
      <c r="BU35" s="216"/>
      <c r="BV35" s="216"/>
      <c r="BW35" s="216"/>
      <c r="BX35" s="216"/>
      <c r="BY35" s="216"/>
      <c r="BZ35" s="216"/>
      <c r="CA35" s="216"/>
      <c r="CB35" s="216"/>
      <c r="CC35" s="216"/>
      <c r="CD35" s="216"/>
      <c r="CE35" s="216"/>
      <c r="CF35" s="216"/>
      <c r="CG35" s="216"/>
      <c r="CH35" s="216"/>
      <c r="CI35" s="216"/>
      <c r="CJ35" s="216"/>
      <c r="CK35" s="216"/>
      <c r="CL35" s="216"/>
      <c r="CM35" s="216"/>
      <c r="CN35" s="216"/>
      <c r="CO35" s="216"/>
      <c r="CP35" s="216"/>
      <c r="CQ35" s="216"/>
      <c r="CR35" s="216"/>
      <c r="CS35" s="216"/>
      <c r="CT35" s="216"/>
      <c r="CU35" s="216"/>
      <c r="CV35" s="216"/>
      <c r="CW35" s="216"/>
      <c r="CX35" s="216"/>
      <c r="CY35" s="216"/>
      <c r="CZ35" s="216"/>
      <c r="DA35" s="216"/>
      <c r="DB35" s="216"/>
      <c r="DC35" s="216"/>
      <c r="DD35" s="216"/>
      <c r="DE35" s="216"/>
      <c r="DF35" s="216"/>
      <c r="DG35" s="216"/>
      <c r="DH35" s="216"/>
      <c r="DI35" s="216"/>
      <c r="DJ35" s="216"/>
      <c r="DK35" s="216"/>
      <c r="DL35" s="216"/>
      <c r="DM35" s="216"/>
      <c r="DN35" s="216"/>
      <c r="DO35" s="216"/>
      <c r="DP35" s="216"/>
      <c r="DQ35" s="216"/>
      <c r="DR35" s="216"/>
      <c r="DS35" s="216"/>
      <c r="DT35" s="216"/>
      <c r="DU35" s="216"/>
      <c r="DV35" s="216"/>
      <c r="DW35" s="216"/>
      <c r="DX35" s="216"/>
      <c r="DY35" s="216"/>
      <c r="DZ35" s="216"/>
      <c r="EA35" s="216"/>
      <c r="EB35" s="216"/>
      <c r="EC35" s="216"/>
      <c r="ED35" s="216"/>
      <c r="EE35" s="216"/>
      <c r="EF35" s="216"/>
      <c r="EG35" s="216"/>
      <c r="EH35" s="216"/>
      <c r="EI35" s="216"/>
      <c r="EJ35" s="216"/>
      <c r="EK35" s="216"/>
      <c r="EL35" s="216"/>
      <c r="EM35" s="216"/>
      <c r="EN35" s="216"/>
      <c r="EO35" s="216"/>
      <c r="EP35" s="216"/>
      <c r="EQ35" s="216"/>
      <c r="ER35" s="216"/>
      <c r="ES35" s="216"/>
      <c r="ET35" s="216"/>
      <c r="EU35" s="216"/>
      <c r="EV35" s="216"/>
      <c r="EW35" s="216"/>
      <c r="EX35" s="216"/>
      <c r="EY35" s="216"/>
      <c r="EZ35" s="216"/>
      <c r="FA35" s="216"/>
      <c r="FB35" s="216"/>
      <c r="FC35" s="216"/>
      <c r="FD35" s="216"/>
      <c r="FE35" s="216"/>
      <c r="FF35" s="216"/>
      <c r="FG35" s="216"/>
      <c r="FH35" s="216"/>
      <c r="FI35" s="216"/>
      <c r="FJ35" s="216"/>
      <c r="FK35" s="216"/>
      <c r="FL35" s="216"/>
      <c r="FM35" s="216"/>
      <c r="FN35" s="216"/>
      <c r="FO35" s="216"/>
      <c r="FP35" s="216"/>
      <c r="FQ35" s="216"/>
      <c r="FR35" s="216"/>
      <c r="FS35" s="216"/>
      <c r="FT35" s="216"/>
      <c r="FU35" s="216"/>
      <c r="FV35" s="216"/>
      <c r="FW35" s="216"/>
      <c r="FX35" s="216"/>
      <c r="FY35" s="216"/>
      <c r="FZ35" s="216"/>
      <c r="GA35" s="216"/>
      <c r="GB35" s="216"/>
      <c r="GC35" s="216"/>
      <c r="GD35" s="216"/>
      <c r="GE35" s="216"/>
      <c r="GF35" s="216"/>
      <c r="GG35" s="216"/>
      <c r="GH35" s="216"/>
      <c r="GI35" s="216"/>
      <c r="GJ35" s="216"/>
      <c r="GK35" s="216"/>
      <c r="GL35" s="216"/>
      <c r="GM35" s="216"/>
      <c r="GN35" s="216"/>
      <c r="GO35" s="216"/>
      <c r="GP35" s="216"/>
      <c r="GQ35" s="216"/>
      <c r="GR35" s="216"/>
      <c r="GS35" s="216"/>
      <c r="GT35" s="216"/>
      <c r="GU35" s="216"/>
      <c r="GV35" s="216"/>
      <c r="GW35" s="216"/>
      <c r="GX35" s="216"/>
      <c r="GY35" s="216"/>
      <c r="GZ35" s="216"/>
      <c r="HA35" s="216"/>
      <c r="HB35" s="216"/>
      <c r="HC35" s="216"/>
      <c r="HD35" s="216"/>
      <c r="HE35" s="216"/>
      <c r="HF35" s="216"/>
      <c r="HG35" s="216"/>
      <c r="HH35" s="216"/>
      <c r="HI35" s="216"/>
      <c r="HJ35" s="216"/>
      <c r="HK35" s="216"/>
      <c r="HL35" s="216"/>
      <c r="HM35" s="216"/>
      <c r="HN35" s="216"/>
      <c r="HO35" s="216"/>
      <c r="HP35" s="216"/>
      <c r="HQ35" s="216"/>
      <c r="HR35" s="216"/>
      <c r="HS35" s="216"/>
      <c r="HT35" s="216"/>
      <c r="HU35" s="216"/>
      <c r="HV35" s="216"/>
      <c r="HW35" s="216"/>
      <c r="HX35" s="216"/>
      <c r="HY35" s="216"/>
      <c r="HZ35" s="216"/>
      <c r="IA35" s="216"/>
      <c r="IB35" s="216"/>
      <c r="IC35" s="216"/>
      <c r="ID35" s="216"/>
      <c r="IE35" s="216"/>
      <c r="IF35" s="216"/>
      <c r="IG35" s="216"/>
      <c r="IH35" s="216"/>
      <c r="II35" s="216"/>
      <c r="IJ35" s="216"/>
      <c r="IK35" s="216"/>
      <c r="IL35" s="216"/>
      <c r="IM35" s="216"/>
      <c r="IN35" s="216"/>
      <c r="IO35" s="216"/>
      <c r="IP35" s="216"/>
      <c r="IQ35" s="216"/>
      <c r="IR35" s="216"/>
      <c r="IS35" s="216"/>
      <c r="IT35" s="216"/>
      <c r="IU35" s="216"/>
      <c r="IV35" s="216"/>
    </row>
  </sheetData>
  <mergeCells count="9">
    <mergeCell ref="A1:L3"/>
    <mergeCell ref="A9:E11"/>
    <mergeCell ref="G34:I34"/>
    <mergeCell ref="G21:K21"/>
    <mergeCell ref="A31:E31"/>
    <mergeCell ref="G31:J31"/>
    <mergeCell ref="G32:I32"/>
    <mergeCell ref="A33:D33"/>
    <mergeCell ref="G33:J33"/>
  </mergeCells>
  <pageMargins left="1.2736614173228347" right="0.70866141732283472" top="0.74803149606299213" bottom="0.74803149606299213" header="0.31496062992125984" footer="0.31496062992125984"/>
  <pageSetup paperSize="9" scale="54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39</vt:i4>
      </vt:variant>
      <vt:variant>
        <vt:lpstr>Rangos con nombre</vt:lpstr>
      </vt:variant>
      <vt:variant>
        <vt:i4>30</vt:i4>
      </vt:variant>
    </vt:vector>
  </HeadingPairs>
  <TitlesOfParts>
    <vt:vector size="69" baseType="lpstr">
      <vt:lpstr>Enero - 2023</vt:lpstr>
      <vt:lpstr>Hoja1</vt:lpstr>
      <vt:lpstr>Adhesiones</vt:lpstr>
      <vt:lpstr>Conciliación Quipu</vt:lpstr>
      <vt:lpstr>Anexo 3-Porcion C-NC</vt:lpstr>
      <vt:lpstr>Cta 11100613</vt:lpstr>
      <vt:lpstr>Cta 29020102</vt:lpstr>
      <vt:lpstr>Cta 29020103 rend</vt:lpstr>
      <vt:lpstr>Cta 19050301</vt:lpstr>
      <vt:lpstr>Mov Cta BBVA</vt:lpstr>
      <vt:lpstr>Mov Cta OCCIDENTE</vt:lpstr>
      <vt:lpstr>Anexo. Matrix</vt:lpstr>
      <vt:lpstr>GMF</vt:lpstr>
      <vt:lpstr>Impuestos</vt:lpstr>
      <vt:lpstr>Anexo 2 Sena</vt:lpstr>
      <vt:lpstr>Anexo 7 Capital Semilla</vt:lpstr>
      <vt:lpstr>Anexo 6 Tauramena</vt:lpstr>
      <vt:lpstr>Anexo 5 Itagüí</vt:lpstr>
      <vt:lpstr>Anexo 7 Villanueva</vt:lpstr>
      <vt:lpstr>Anexo 8 San Juan de Urabá</vt:lpstr>
      <vt:lpstr>Anexo 9 Yarumal</vt:lpstr>
      <vt:lpstr>Anexo 10 Garzón</vt:lpstr>
      <vt:lpstr>Anexo 11 Dpto Sucre</vt:lpstr>
      <vt:lpstr>Anexo 12 Planadas</vt:lpstr>
      <vt:lpstr>Anexo 13 Caldas</vt:lpstr>
      <vt:lpstr>Anexo 14 Bugalagrande</vt:lpstr>
      <vt:lpstr>Anexo 15 Carmen de Viboral</vt:lpstr>
      <vt:lpstr>Anexo 16 Planeta Rica</vt:lpstr>
      <vt:lpstr>Anexo 17 Barrancabermeja</vt:lpstr>
      <vt:lpstr>Anexo 18 Gramalote</vt:lpstr>
      <vt:lpstr>Anexo 19 Pastoral Social</vt:lpstr>
      <vt:lpstr>Anexo 20 Minera de Cobre</vt:lpstr>
      <vt:lpstr>Anexo 21 Ministerio del Interio</vt:lpstr>
      <vt:lpstr>Anexo 22 Municipio Manizales</vt:lpstr>
      <vt:lpstr>Anexo 24 Municipio de la virgin</vt:lpstr>
      <vt:lpstr>Anexo 23 Dpto Norte de Santande</vt:lpstr>
      <vt:lpstr>Anexo 25 Municipio Acacias</vt:lpstr>
      <vt:lpstr>Anexo 26 Distrito Riohacha</vt:lpstr>
      <vt:lpstr>Anexo 4- Relación facturas IVA</vt:lpstr>
      <vt:lpstr>Adhesiones!Área_de_impresión</vt:lpstr>
      <vt:lpstr>'Anexo 10 Garzón'!Área_de_impresión</vt:lpstr>
      <vt:lpstr>'Anexo 11 Dpto Sucre'!Área_de_impresión</vt:lpstr>
      <vt:lpstr>'Anexo 12 Planadas'!Área_de_impresión</vt:lpstr>
      <vt:lpstr>'Anexo 13 Caldas'!Área_de_impresión</vt:lpstr>
      <vt:lpstr>'Anexo 14 Bugalagrande'!Área_de_impresión</vt:lpstr>
      <vt:lpstr>'Anexo 15 Carmen de Viboral'!Área_de_impresión</vt:lpstr>
      <vt:lpstr>'Anexo 16 Planeta Rica'!Área_de_impresión</vt:lpstr>
      <vt:lpstr>'Anexo 17 Barrancabermeja'!Área_de_impresión</vt:lpstr>
      <vt:lpstr>'Anexo 18 Gramalote'!Área_de_impresión</vt:lpstr>
      <vt:lpstr>'Anexo 19 Pastoral Social'!Área_de_impresión</vt:lpstr>
      <vt:lpstr>'Anexo 2 Sena'!Área_de_impresión</vt:lpstr>
      <vt:lpstr>'Anexo 20 Minera de Cobre'!Área_de_impresión</vt:lpstr>
      <vt:lpstr>'Anexo 21 Ministerio del Interio'!Área_de_impresión</vt:lpstr>
      <vt:lpstr>'Anexo 22 Municipio Manizales'!Área_de_impresión</vt:lpstr>
      <vt:lpstr>'Anexo 23 Dpto Norte de Santande'!Área_de_impresión</vt:lpstr>
      <vt:lpstr>'Anexo 24 Municipio de la virgin'!Área_de_impresión</vt:lpstr>
      <vt:lpstr>'Anexo 25 Municipio Acacias'!Área_de_impresión</vt:lpstr>
      <vt:lpstr>'Anexo 26 Distrito Riohacha'!Área_de_impresión</vt:lpstr>
      <vt:lpstr>'Anexo 3-Porcion C-NC'!Área_de_impresión</vt:lpstr>
      <vt:lpstr>'Anexo 5 Itagüí'!Área_de_impresión</vt:lpstr>
      <vt:lpstr>'Anexo 6 Tauramena'!Área_de_impresión</vt:lpstr>
      <vt:lpstr>'Anexo 7 Villanueva'!Área_de_impresión</vt:lpstr>
      <vt:lpstr>'Anexo 8 San Juan de Urabá'!Área_de_impresión</vt:lpstr>
      <vt:lpstr>'Anexo 9 Yarumal'!Área_de_impresión</vt:lpstr>
      <vt:lpstr>'Anexo. Matrix'!Área_de_impresión</vt:lpstr>
      <vt:lpstr>'Enero - 2023'!Área_de_impresión</vt:lpstr>
      <vt:lpstr>'Mov Cta OCCIDENTE'!Área_de_impresión</vt:lpstr>
      <vt:lpstr>Adhesiones!Títulos_a_imprimir</vt:lpstr>
      <vt:lpstr>'Enero - 2023'!Títulos_a_imprimir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Iván</dc:creator>
  <cp:lastModifiedBy>Admin</cp:lastModifiedBy>
  <cp:lastPrinted>2023-02-13T20:52:50Z</cp:lastPrinted>
  <dcterms:created xsi:type="dcterms:W3CDTF">2020-08-12T15:15:31Z</dcterms:created>
  <dcterms:modified xsi:type="dcterms:W3CDTF">2023-02-14T14:03:05Z</dcterms:modified>
</cp:coreProperties>
</file>