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7301\Documents\DIEGO PEREZ\ALCALDIA TEUSAQUILLO\PROCESO DE CONTRATACION 2023\Obra\DOCUMENTOS EDITABLES\definitivos\"/>
    </mc:Choice>
  </mc:AlternateContent>
  <xr:revisionPtr revIDLastSave="0" documentId="13_ncr:1_{1089F504-119E-498A-AE1A-52BE0AE62AF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ESUPUESTO OFICIAL" sheetId="4" r:id="rId1"/>
    <sheet name="Analisis AIU" sheetId="2" r:id="rId2"/>
    <sheet name="Factor Prestacional" sheetId="3" r:id="rId3"/>
  </sheets>
  <definedNames>
    <definedName name="_xlnm.Print_Area" localSheetId="1">'Analisis AIU'!$A$1:$P$73</definedName>
    <definedName name="Po" localSheetId="1">'Analisis AIU'!$D$5</definedName>
    <definedName name="P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7" i="4" l="1"/>
  <c r="H78" i="4"/>
  <c r="H75" i="4"/>
  <c r="H74" i="4"/>
  <c r="H72" i="4"/>
  <c r="H70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48" i="4"/>
  <c r="H46" i="4"/>
  <c r="H43" i="4"/>
  <c r="H44" i="4"/>
  <c r="H42" i="4"/>
  <c r="H33" i="4"/>
  <c r="H34" i="4"/>
  <c r="H35" i="4"/>
  <c r="H36" i="4"/>
  <c r="H37" i="4"/>
  <c r="H38" i="4"/>
  <c r="H39" i="4"/>
  <c r="H40" i="4"/>
  <c r="H32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11" i="4"/>
  <c r="F90" i="4"/>
  <c r="H80" i="4" l="1"/>
  <c r="G95" i="4"/>
  <c r="G96" i="4" s="1"/>
  <c r="N60" i="2"/>
  <c r="N59" i="2"/>
  <c r="D67" i="2" l="1"/>
  <c r="D68" i="2"/>
  <c r="F68" i="2" s="1"/>
  <c r="S26" i="2" l="1"/>
  <c r="T26" i="2"/>
  <c r="T28" i="2"/>
  <c r="Q67" i="2"/>
  <c r="N61" i="2" l="1"/>
  <c r="N41" i="2"/>
  <c r="O12" i="2" l="1"/>
  <c r="N12" i="2"/>
  <c r="N13" i="2"/>
  <c r="N37" i="2"/>
  <c r="N36" i="2"/>
  <c r="N35" i="2"/>
  <c r="N34" i="2"/>
  <c r="N33" i="2"/>
  <c r="L13" i="2"/>
  <c r="L12" i="2"/>
  <c r="S12" i="2"/>
  <c r="F85" i="4" l="1"/>
  <c r="C17" i="3"/>
  <c r="C21" i="3" s="1"/>
  <c r="L23" i="2"/>
  <c r="L22" i="2"/>
  <c r="L21" i="2"/>
  <c r="L27" i="2"/>
  <c r="L26" i="2"/>
  <c r="N26" i="2" s="1"/>
  <c r="O26" i="2" s="1"/>
  <c r="S13" i="2"/>
  <c r="L14" i="2"/>
  <c r="L15" i="2"/>
  <c r="S15" i="2" s="1"/>
  <c r="L16" i="2"/>
  <c r="L17" i="2"/>
  <c r="L18" i="2"/>
  <c r="S18" i="2" s="1"/>
  <c r="T12" i="2" l="1"/>
  <c r="S27" i="2"/>
  <c r="T27" i="2" s="1"/>
  <c r="C22" i="3" l="1"/>
  <c r="O36" i="2"/>
  <c r="O34" i="2"/>
  <c r="N27" i="2" l="1"/>
  <c r="M46" i="2"/>
  <c r="T15" i="2" l="1"/>
  <c r="O35" i="2"/>
  <c r="O33" i="2"/>
  <c r="S23" i="2" l="1"/>
  <c r="T23" i="2" s="1"/>
  <c r="N23" i="2"/>
  <c r="S21" i="2"/>
  <c r="N21" i="2"/>
  <c r="O21" i="2" s="1"/>
  <c r="S22" i="2"/>
  <c r="T22" i="2" s="1"/>
  <c r="N22" i="2"/>
  <c r="T18" i="2"/>
  <c r="N18" i="2"/>
  <c r="O18" i="2" s="1"/>
  <c r="S17" i="2"/>
  <c r="T17" i="2" s="1"/>
  <c r="N17" i="2"/>
  <c r="O17" i="2" s="1"/>
  <c r="S16" i="2"/>
  <c r="T16" i="2" s="1"/>
  <c r="N16" i="2"/>
  <c r="O16" i="2" s="1"/>
  <c r="S14" i="2"/>
  <c r="N14" i="2"/>
  <c r="O14" i="2" s="1"/>
  <c r="T13" i="2"/>
  <c r="O13" i="2"/>
  <c r="N46" i="2"/>
  <c r="T14" i="2" l="1"/>
  <c r="T19" i="2" s="1"/>
  <c r="T30" i="2" s="1"/>
  <c r="S19" i="2"/>
  <c r="T21" i="2"/>
  <c r="T24" i="2" s="1"/>
  <c r="S24" i="2"/>
  <c r="S28" i="2"/>
  <c r="E3" i="3" l="1"/>
  <c r="O27" i="2"/>
  <c r="O28" i="2" s="1"/>
  <c r="O23" i="2"/>
  <c r="O22" i="2"/>
  <c r="E17" i="3" l="1"/>
  <c r="N15" i="2"/>
  <c r="O15" i="2" s="1"/>
  <c r="O24" i="2"/>
  <c r="E21" i="3" l="1"/>
  <c r="E5" i="3"/>
  <c r="E15" i="3" s="1"/>
  <c r="N28" i="2"/>
  <c r="N24" i="2"/>
  <c r="N19" i="2"/>
  <c r="O37" i="2"/>
  <c r="Q37" i="2" s="1"/>
  <c r="O19" i="2"/>
  <c r="O30" i="2" s="1"/>
  <c r="D66" i="2" s="1"/>
  <c r="D69" i="2" s="1"/>
  <c r="F69" i="2" s="1"/>
  <c r="M52" i="2"/>
  <c r="N52" i="2" s="1"/>
  <c r="M51" i="2"/>
  <c r="N51" i="2" s="1"/>
  <c r="M50" i="2"/>
  <c r="N50" i="2" s="1"/>
  <c r="M49" i="2"/>
  <c r="N49" i="2" s="1"/>
  <c r="M48" i="2"/>
  <c r="N48" i="2" s="1"/>
  <c r="M47" i="2"/>
  <c r="N47" i="2" s="1"/>
  <c r="N44" i="2"/>
  <c r="N43" i="2"/>
  <c r="N42" i="2"/>
  <c r="E16" i="3" l="1"/>
  <c r="E9" i="3"/>
  <c r="E11" i="3"/>
  <c r="E7" i="3"/>
  <c r="E14" i="3"/>
  <c r="E13" i="3"/>
  <c r="E12" i="3"/>
  <c r="E8" i="3"/>
  <c r="E6" i="3"/>
  <c r="E10" i="3"/>
  <c r="N54" i="2"/>
  <c r="Q54" i="2" s="1"/>
  <c r="N30" i="2"/>
  <c r="Q30" i="2"/>
  <c r="Q64" i="2" s="1"/>
  <c r="Q66" i="2" s="1"/>
  <c r="Q68" i="2" s="1"/>
  <c r="Q69" i="2" s="1"/>
  <c r="F84" i="4" l="1"/>
  <c r="F67" i="2"/>
  <c r="G94" i="4" s="1"/>
  <c r="F86" i="4"/>
  <c r="F88" i="4" l="1"/>
  <c r="N62" i="2"/>
  <c r="Q62" i="2" l="1"/>
  <c r="F66" i="2" l="1"/>
  <c r="G93" i="4" s="1"/>
  <c r="D72" i="2" l="1"/>
</calcChain>
</file>

<file path=xl/sharedStrings.xml><?xml version="1.0" encoding="utf-8"?>
<sst xmlns="http://schemas.openxmlformats.org/spreadsheetml/2006/main" count="308" uniqueCount="233">
  <si>
    <t>LOCALIDAD DE TEUSAQUILLO</t>
  </si>
  <si>
    <t>PRESUPUESTO OFICIAL A PRECIOS UNITARIOS</t>
  </si>
  <si>
    <t>FONDO DE DESARROLLO LOCAL DE TEUSAQUILLO</t>
  </si>
  <si>
    <t>PRESUPUESTO OFICIAL DE LA ENTIDAD</t>
  </si>
  <si>
    <t>CÓDIGO IDRD</t>
  </si>
  <si>
    <t>ÍTEM No.</t>
  </si>
  <si>
    <t>DESCRIPCIÓN</t>
  </si>
  <si>
    <t>UND.</t>
  </si>
  <si>
    <t>CANTIDAD</t>
  </si>
  <si>
    <t>VR. TOTAL</t>
  </si>
  <si>
    <t>1. PRELIMINARES - DEMOLICIÓN - DESMONTE</t>
  </si>
  <si>
    <t>Cerramiento en lona h=2.20 mts (Exc+base conc)**</t>
  </si>
  <si>
    <t>ML</t>
  </si>
  <si>
    <t>Demol pav asfaltico (carg+retiro)</t>
  </si>
  <si>
    <t>M3</t>
  </si>
  <si>
    <t>Demolición Bordillo con compresor + cargue y retir</t>
  </si>
  <si>
    <t>Desmonte baranda M-80 sin viga con retiro</t>
  </si>
  <si>
    <t>Desmonte juego tipo M-3-STPM**</t>
  </si>
  <si>
    <t>Desmonte equipos biosaludables (Demolc + retiro)</t>
  </si>
  <si>
    <t>Desmonte -Banca Abdominales Bajo</t>
  </si>
  <si>
    <t>Desmonte Señal (IDG-S)</t>
  </si>
  <si>
    <t>Desmonte Señal sc-80 -+ Dado-STPM</t>
  </si>
  <si>
    <t>Desmonte y retiro canecas **</t>
  </si>
  <si>
    <t>Excavación manual con retiro suelo blando**</t>
  </si>
  <si>
    <t>00695</t>
  </si>
  <si>
    <t>Localización y Replanteo</t>
  </si>
  <si>
    <t>M2</t>
  </si>
  <si>
    <t>15919</t>
  </si>
  <si>
    <t>Demol. Manual placa piso conc e=0.08 (Cargue + Retiro)</t>
  </si>
  <si>
    <t>11373</t>
  </si>
  <si>
    <t>Descapote Manual y Retiro (e=10-15 cm)</t>
  </si>
  <si>
    <t>10760</t>
  </si>
  <si>
    <t xml:space="preserve">Demolición carcamo equipo inclu. Cargue y retiro </t>
  </si>
  <si>
    <t>14428</t>
  </si>
  <si>
    <t>Demolicion Viga Ciment. Conc. Reforzado 0.045 m3/m</t>
  </si>
  <si>
    <t>13024</t>
  </si>
  <si>
    <t>Demolición Manual gradería Ladrillo y Placa Conc</t>
  </si>
  <si>
    <t>10343</t>
  </si>
  <si>
    <t>Desmonte estruc de microfutbol + cargue y retiro</t>
  </si>
  <si>
    <t>JGO</t>
  </si>
  <si>
    <t>10242</t>
  </si>
  <si>
    <t>Desmonte estruc baloncesto con demol base conc**</t>
  </si>
  <si>
    <t>10149</t>
  </si>
  <si>
    <t>Demolicion anden concr e= 0.10 incl. Cargue y ret*</t>
  </si>
  <si>
    <t>2. PISOS</t>
  </si>
  <si>
    <t xml:space="preserve">Relleno compactado Base granular tipo IDRD </t>
  </si>
  <si>
    <t xml:space="preserve">Relleno compactado SubBase granular tipo IDRD </t>
  </si>
  <si>
    <t>Piso Caucho recicl 3 cm (EPDM 1 cm+SBR 2cm sum+inst)</t>
  </si>
  <si>
    <t>Piso Caucho recicl 9 cm (EPDM 1 cm+SBR 8cm sum+inst)</t>
  </si>
  <si>
    <t>Geotextil NT-1800 + Trasiego (suministro e inst.)</t>
  </si>
  <si>
    <t>Bordillo prefabricado A-80 (0.35x0.2x0.8m)ZV-conAtr</t>
  </si>
  <si>
    <t>Demarcación pintura trafico multiple a=0.1**</t>
  </si>
  <si>
    <t>Graderia Talud (cntrah.conc.HuellaAdoqu) a=80m</t>
  </si>
  <si>
    <t>Andenconcreto e=0.07 4.2-2 medio+geotextil peatonal</t>
  </si>
  <si>
    <t>3. ESTRUCTURA</t>
  </si>
  <si>
    <t>Viga 0.3*0.3 cerram IDRD 21 Mpa reforzado**</t>
  </si>
  <si>
    <t>Placa contrapiso 0.10 m 2500 psi+malla 4 mm</t>
  </si>
  <si>
    <t>Tomado 16249</t>
  </si>
  <si>
    <t>Dado en concreto 3000 psi (50x50)Exc-sinref)sin form H=0.50</t>
  </si>
  <si>
    <t>UND</t>
  </si>
  <si>
    <t>4. INSTALACIONES DEPORTIVAS</t>
  </si>
  <si>
    <t>Rodadura asfaltica R=1350 e=0.03 compactado</t>
  </si>
  <si>
    <t>5. MOBILIARIO</t>
  </si>
  <si>
    <t>Baranda cerramiento M-83 (Sum + Inst)</t>
  </si>
  <si>
    <t>Dotación Giro Manos Adultos / Mayores - Diseñ-IDRD (Sum+Inst)</t>
  </si>
  <si>
    <t>UN</t>
  </si>
  <si>
    <t>Dotación Giro Cadera Adultos/Mayores-Diseñ-IDRD (Sum+Inst)</t>
  </si>
  <si>
    <t>Dotación Barras Adultos/Mayores-Diseñ-IDRD (Sum.+Inst.)</t>
  </si>
  <si>
    <t>Modulo Caballo Bicicleta Estatica (Sum. + Inst.)</t>
  </si>
  <si>
    <t>Modulo Dorsal Pectoral (Sum+Inst)</t>
  </si>
  <si>
    <t>Modulo Eliptica (Sumin.+Inst.)</t>
  </si>
  <si>
    <t>Modulo Jinete - Gimnasio al aire libre (Sum.+Inst.)</t>
  </si>
  <si>
    <t>Juego Torre puente deslizadero (Sum.+Inst)</t>
  </si>
  <si>
    <t>Señal IDG-S Dos Caras (S/Especif-IDRD) Sum+Inst</t>
  </si>
  <si>
    <t xml:space="preserve"> Tomado 12100</t>
  </si>
  <si>
    <t xml:space="preserve">Desmonte Juegos infantiles Madera </t>
  </si>
  <si>
    <t>10848</t>
  </si>
  <si>
    <t>Juego infantil M-5 o M-5A Columpio (Desmonte)**</t>
  </si>
  <si>
    <t>10226</t>
  </si>
  <si>
    <t>Juegos infantiles M-5 Columpio (Sum+Instal)**</t>
  </si>
  <si>
    <t>12167</t>
  </si>
  <si>
    <t>Adecuación estr. Cerr. Contra impac h=2.5 M**</t>
  </si>
  <si>
    <t>13924</t>
  </si>
  <si>
    <t>Pintura y demarcación tablero Baloncesto</t>
  </si>
  <si>
    <t>10535</t>
  </si>
  <si>
    <t>Desmonte cerramiento contra impacto h=2.5 M**</t>
  </si>
  <si>
    <t>10087</t>
  </si>
  <si>
    <t>Cerramiento contra impacto IDRD h=5**</t>
  </si>
  <si>
    <t>10429</t>
  </si>
  <si>
    <t>Estruc.Baloncesto Tabl.Antiband (Sum+Inst)**</t>
  </si>
  <si>
    <t>14663</t>
  </si>
  <si>
    <t>Estrctura Microfutbol (Sum + Inst)</t>
  </si>
  <si>
    <t>13317</t>
  </si>
  <si>
    <t>Instalación Juego de aros baloncesto metálico</t>
  </si>
  <si>
    <t>14842</t>
  </si>
  <si>
    <t>Juego de aros (Desm+Sumi*Inst)</t>
  </si>
  <si>
    <t>6. MANEJO AMBIENTAL</t>
  </si>
  <si>
    <t>Empradización zonas verdes a recuperar (5 cm Tierra)</t>
  </si>
  <si>
    <t>7. HIDRAULICO</t>
  </si>
  <si>
    <t>Instalación cañuela prefabricada (A-120) (canal)</t>
  </si>
  <si>
    <t>8. REDES SERVICIOS Y DESAGËS</t>
  </si>
  <si>
    <t>Contenedor Raices mamposteria 1.5*1.5 h=1.57**</t>
  </si>
  <si>
    <t>Destape y limpieza cajas 0.70x0.70x0.70**</t>
  </si>
  <si>
    <t>9. ACABADOS</t>
  </si>
  <si>
    <t>Pintura estructura baloncesto**</t>
  </si>
  <si>
    <t>Pintura estructura microfutbol (con brocha)</t>
  </si>
  <si>
    <t>SUMATORIA COSTOS UNITARIOS (A)</t>
  </si>
  <si>
    <t>VALOR DISPONIBLE PARA EL MONTO AGOTABLE DE COSTOS UNITARIOS (B)</t>
  </si>
  <si>
    <t>COMPONENTE AMBIENTAL Y SST 3%</t>
  </si>
  <si>
    <t>Valores No Modificables</t>
  </si>
  <si>
    <t>COMPONENTE SOCIAL 2%</t>
  </si>
  <si>
    <t>COMPONENTE PLAN MANEJO DE TRÁNSITO 2%</t>
  </si>
  <si>
    <t>SUMATORIA COSTOS NO MODIFICABLES (C )</t>
  </si>
  <si>
    <t>PRESUPUESTO MONTO AGOTABLE DEL PROCESO (B) + (C )</t>
  </si>
  <si>
    <t>DESCRIPCION</t>
  </si>
  <si>
    <t>PORCENTAJE</t>
  </si>
  <si>
    <t>ADMINISTRACION</t>
  </si>
  <si>
    <t>IMPREVISTOS</t>
  </si>
  <si>
    <t>UTILIDAD</t>
  </si>
  <si>
    <t>TOTAL A.I.U</t>
  </si>
  <si>
    <t>ALCALDIA LOCAL DE TEUSAQUILLO</t>
  </si>
  <si>
    <t>CALCULO DE A.I.U.</t>
  </si>
  <si>
    <t>VALOR TOTAL DEL CONTRATO ($)</t>
  </si>
  <si>
    <t>PLAZO (MESES)</t>
  </si>
  <si>
    <t>MESES</t>
  </si>
  <si>
    <t>PRESUPUESTO DE OBRAS DE MEJORAMIENTO Y/O CONSTRUCCION Y/O MANTENIMIENTO</t>
  </si>
  <si>
    <t>COSTOS MENSUALES DE PERSONAL:</t>
  </si>
  <si>
    <t>PERSONAL</t>
  </si>
  <si>
    <t xml:space="preserve">CONCEPTO </t>
  </si>
  <si>
    <t xml:space="preserve">PERFIL </t>
  </si>
  <si>
    <t>CODIGO IDU</t>
  </si>
  <si>
    <t>SALARIO</t>
  </si>
  <si>
    <t>15 DIAS</t>
  </si>
  <si>
    <t>15 DIA</t>
  </si>
  <si>
    <t>mes 2</t>
  </si>
  <si>
    <t>mes 3</t>
  </si>
  <si>
    <t>mes 4</t>
  </si>
  <si>
    <t>Total Dedicacion Proyecto</t>
  </si>
  <si>
    <t>FACTOR PRESTACIONAL</t>
  </si>
  <si>
    <t>TOTAL MENSUAL</t>
  </si>
  <si>
    <t>TOTAL OBRA</t>
  </si>
  <si>
    <t>TOTAL MENSUAL SIN FP</t>
  </si>
  <si>
    <t>TOTAL OBRA SIN FP</t>
  </si>
  <si>
    <t>PROFESIONAL Y ESPECIALISTAS</t>
  </si>
  <si>
    <t>Director de proyecto (Categoria 5)</t>
  </si>
  <si>
    <t>Residente de proyecto (Categoria 6)</t>
  </si>
  <si>
    <t>Especialista Diseño Urbano y Espacio Publico (Categoria 5)</t>
  </si>
  <si>
    <t>Especialista en Geotecnia (Categoria 5)</t>
  </si>
  <si>
    <t>Profesional Ambiental (Categoria 7)</t>
  </si>
  <si>
    <t>PROFESIONAL SOCIAL (Categoria 7)</t>
  </si>
  <si>
    <t xml:space="preserve"> PROFESIONAL SG-SST (Categoria 7)</t>
  </si>
  <si>
    <t>SUBTOTAL</t>
  </si>
  <si>
    <t>TECNICO Y AUXILIAR</t>
  </si>
  <si>
    <t>INSPECTOR - laboratorista</t>
  </si>
  <si>
    <t>Topógrafo inspector</t>
  </si>
  <si>
    <t>Cadenero 1</t>
  </si>
  <si>
    <t>ADMINISTRATIVO</t>
  </si>
  <si>
    <t>Auxiliar administrativo</t>
  </si>
  <si>
    <t>Conductor o motorista</t>
  </si>
  <si>
    <t>SUBTOTAL COSTOS DE PERSONAL</t>
  </si>
  <si>
    <t>C</t>
  </si>
  <si>
    <t>OPERACIONALES</t>
  </si>
  <si>
    <t>CONCEPTO</t>
  </si>
  <si>
    <t>ACTIVIDAD</t>
  </si>
  <si>
    <t>AREA (m2)/UND</t>
  </si>
  <si>
    <t>COSTO (UND/mes)</t>
  </si>
  <si>
    <t>DEDICACIÓN</t>
  </si>
  <si>
    <t>INSTALACIONES</t>
  </si>
  <si>
    <t>ALQUILER DE OFICINA. INCLUYE ADMINISTRACIÓN, SERVICIOS PÚBLICOS, COMUNICACIONES.</t>
  </si>
  <si>
    <t>mes</t>
  </si>
  <si>
    <t>EQUIPO</t>
  </si>
  <si>
    <t>TARIFA CAMPERO PICK UP, CAMIONETA 1300-1500 MODELO 2005-2012 (incluye combustible, mantenimiento vehiculo, etc)</t>
  </si>
  <si>
    <t>Alquiler equipo completo topografía</t>
  </si>
  <si>
    <t>Gastos de papeleria, impresos y publicaciones (inlcluye fotocopias, utiles de oficina, etc.) edicion presentacion informes avance obra</t>
  </si>
  <si>
    <t>SUBTOTAL COSTOS OPERACIONALES</t>
  </si>
  <si>
    <t>D</t>
  </si>
  <si>
    <t>IMPUESTO</t>
  </si>
  <si>
    <t>VALOR</t>
  </si>
  <si>
    <t>IMPUESTOS</t>
  </si>
  <si>
    <t>CONTRIBUCIÓN ESPECIAL (GUERRA)</t>
  </si>
  <si>
    <t>ESTAMPILLAS</t>
  </si>
  <si>
    <t>ICA</t>
  </si>
  <si>
    <t>RETEFUENTE</t>
  </si>
  <si>
    <t>GARANTÍAS</t>
  </si>
  <si>
    <t>%</t>
  </si>
  <si>
    <t>% ASEGURADO</t>
  </si>
  <si>
    <t>TASA ASEGURADORA</t>
  </si>
  <si>
    <t>CUMPLIMIENTO</t>
  </si>
  <si>
    <t>SALARIOS Y PRESTACIONES SOCIALES</t>
  </si>
  <si>
    <t xml:space="preserve">ESTABILIDAD Y CALIDAD DE LA OBRA </t>
  </si>
  <si>
    <t>SERIEDAD DE LA OFERTA</t>
  </si>
  <si>
    <t>RESPONSABILIDAD CIVIL EXTRACONTRACTUAL (200SMMLV)</t>
  </si>
  <si>
    <t>CALIDAD DEL SERVICIO</t>
  </si>
  <si>
    <t>CALIDAD DE MATERIALES</t>
  </si>
  <si>
    <t>SUBTOTAL IMPUESTOS Y GARANTÍAS</t>
  </si>
  <si>
    <t>E</t>
  </si>
  <si>
    <t>COSTOS IMPLEMENTACION PLANES DE GESTION PARA EL PROYECTO</t>
  </si>
  <si>
    <t>% del P.O</t>
  </si>
  <si>
    <t>IMPLEMENTACION</t>
  </si>
  <si>
    <t>PLAN GESTION SOCIAL</t>
  </si>
  <si>
    <t>PLAN GESTION AMBIENTAL Y S.S.T.</t>
  </si>
  <si>
    <t>PLAN MANEJO DE TRANSITO</t>
  </si>
  <si>
    <t>SUBTOTAL COSTOS IMPLEMENTACION PLANES COMPONENTES GESTION SOCIAL, AMBIENTAL - S.S.T., Y P.M.T.</t>
  </si>
  <si>
    <t>F</t>
  </si>
  <si>
    <t>COSTO DIRECTO MONTO AGOTABLE PARA OBRAS ($)</t>
  </si>
  <si>
    <t>ADMINISTRACIÓN (C + D + E + F)</t>
  </si>
  <si>
    <t>IMPREVISTOS (1%)</t>
  </si>
  <si>
    <t>UTILIDAD (5%)</t>
  </si>
  <si>
    <t>TOTAL A.I.U.</t>
  </si>
  <si>
    <t>TOTAL PRESUPUESTO</t>
  </si>
  <si>
    <t>FACTOR MULTIPLICADOR</t>
  </si>
  <si>
    <t>Costo de Personal Antes de FM</t>
  </si>
  <si>
    <t>Salarios y Prestaciones Sociales de Personal Facturable</t>
  </si>
  <si>
    <t xml:space="preserve">Salarios </t>
  </si>
  <si>
    <t>Prima anual (legal)</t>
  </si>
  <si>
    <t>Cesantía</t>
  </si>
  <si>
    <t>Intereses de cesantía</t>
  </si>
  <si>
    <t>Vacaciones</t>
  </si>
  <si>
    <t>Seguridad Social (salud + pensión)</t>
  </si>
  <si>
    <t>Caja de Compensación Familiar</t>
  </si>
  <si>
    <t>ARL</t>
  </si>
  <si>
    <t>Sena</t>
  </si>
  <si>
    <t>ICBF</t>
  </si>
  <si>
    <t>Subsidio de transporte</t>
  </si>
  <si>
    <t xml:space="preserve">Dotación </t>
  </si>
  <si>
    <t>Licenciamiento de software</t>
  </si>
  <si>
    <t>Total Factor Multiplicador</t>
  </si>
  <si>
    <t xml:space="preserve">NOTA: </t>
  </si>
  <si>
    <t>10860</t>
  </si>
  <si>
    <t>13195</t>
  </si>
  <si>
    <t>PRECIO UNITARIO</t>
  </si>
  <si>
    <t xml:space="preserve">Los precios unitarios con los que se estructuro el presente proceso corresponden a los precios de mercado de las entidades rectoras en materia de intervención de parques y  espacio público. Los cuales pueden ser consultados en la pagina web del IDRD  e IDU </t>
  </si>
  <si>
    <t xml:space="preserve">NO MODIFICAR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</si>
</sst>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$&quot;\ * #,##0.00_-;\-&quot;$&quot;\ * #,##0.00_-;_-&quot;$&quot;\ * &quot;-&quot;??_-;_-@_-"/>
    <numFmt numFmtId="164" formatCode="&quot;$&quot;\ #,##0_);[Red]\(&quot;$&quot;\ #,##0\)"/>
    <numFmt numFmtId="165" formatCode="&quot;$&quot;\ #,##0.00_);[Red]\(&quot;$&quot;\ #,##0.00\)"/>
    <numFmt numFmtId="166" formatCode="_(&quot;$&quot;\ * #,##0_);_(&quot;$&quot;\ * \(#,##0\);_(&quot;$&quot;\ 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\$* #,##0_-;&quot;-$&quot;* #,##0_-;_-\$* \-_-;_-@_-"/>
    <numFmt numFmtId="170" formatCode="0.0%"/>
    <numFmt numFmtId="171" formatCode="_(* #,##0_);_(* \(#,##0\);_(* &quot;-&quot;??_);_(@_)"/>
    <numFmt numFmtId="172" formatCode="&quot;$&quot;\ #,##0"/>
    <numFmt numFmtId="173" formatCode="_(&quot;$&quot;\ * #.##0.00_);_(&quot;$&quot;\ * \(#.##0.00\);_(&quot;$&quot;\ * &quot;-&quot;??_);_(@_)"/>
    <numFmt numFmtId="174" formatCode="&quot;$&quot;#,##0.00;\-&quot;$&quot;#,##0.00"/>
    <numFmt numFmtId="175" formatCode="&quot;$&quot;\ #,##0.00"/>
    <numFmt numFmtId="176" formatCode="0.00;[Red]0.00"/>
    <numFmt numFmtId="177" formatCode="_ [$$-240A]\ * #,##0.00_ ;_ [$$-240A]\ * \-#,##0.00_ ;_ [$$-240A]\ * &quot;-&quot;??_ ;_ @_ "/>
    <numFmt numFmtId="178" formatCode="0#.00\ \L\t"/>
    <numFmt numFmtId="179" formatCode="_-[$$-240A]\ * #,##0.00_ ;_-[$$-240A]\ * \-#,##0.00\ ;_-[$$-240A]\ * &quot;-&quot;??_ ;_-@_ "/>
    <numFmt numFmtId="180" formatCode="_(* #,##0.0_);_(* \(#,##0.0\);_(* &quot;-&quot;??_);_(@_)"/>
    <numFmt numFmtId="181" formatCode="_(&quot;$&quot;\ * #,##0.0_);_(&quot;$&quot;\ * \(#,##0.0\);_(&quot;$&quot;\ * &quot;-&quot;_);_(@_)"/>
    <numFmt numFmtId="182" formatCode="&quot;$&quot;#,##0.0;\-&quot;$&quot;#,##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sz val="9"/>
      <color indexed="8"/>
      <name val="Arial Narrow"/>
      <family val="2"/>
    </font>
    <font>
      <sz val="10"/>
      <color indexed="8"/>
      <name val="Arial"/>
      <family val="2"/>
      <charset val="1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 Narrow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name val="Arial Narrow"/>
      <family val="2"/>
    </font>
    <font>
      <b/>
      <sz val="10"/>
      <color rgb="FF000000"/>
      <name val="Arial"/>
      <family val="2"/>
    </font>
    <font>
      <sz val="12"/>
      <color rgb="FF000000"/>
      <name val="Calibri"/>
      <family val="2"/>
    </font>
    <font>
      <sz val="12"/>
      <color rgb="FFFF0000"/>
      <name val="Arial Narrow"/>
      <family val="2"/>
    </font>
    <font>
      <sz val="9"/>
      <name val="Arial Narrow"/>
      <family val="2"/>
    </font>
    <font>
      <b/>
      <sz val="10"/>
      <name val="Arial"/>
    </font>
    <font>
      <b/>
      <sz val="12"/>
      <name val="Arial"/>
    </font>
    <font>
      <b/>
      <sz val="11"/>
      <name val="Arial"/>
    </font>
    <font>
      <b/>
      <sz val="10"/>
      <color rgb="FF000000"/>
      <name val="Calibri"/>
      <charset val="1"/>
    </font>
    <font>
      <b/>
      <sz val="12"/>
      <name val="Arial Narrow"/>
    </font>
    <font>
      <sz val="9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40"/>
        <bgColor indexed="49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9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D0CECE"/>
        <bgColor indexed="64"/>
      </patternFill>
    </fill>
  </fills>
  <borders count="1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2">
    <xf numFmtId="0" fontId="0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6" fillId="0" borderId="0"/>
    <xf numFmtId="0" fontId="1" fillId="0" borderId="0"/>
    <xf numFmtId="0" fontId="9" fillId="0" borderId="0"/>
    <xf numFmtId="0" fontId="15" fillId="0" borderId="0"/>
    <xf numFmtId="0" fontId="9" fillId="0" borderId="0"/>
    <xf numFmtId="178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434">
    <xf numFmtId="0" fontId="0" fillId="0" borderId="0" xfId="0"/>
    <xf numFmtId="0" fontId="0" fillId="0" borderId="2" xfId="0" applyBorder="1"/>
    <xf numFmtId="0" fontId="0" fillId="0" borderId="7" xfId="0" applyBorder="1"/>
    <xf numFmtId="0" fontId="2" fillId="0" borderId="11" xfId="0" applyFont="1" applyBorder="1"/>
    <xf numFmtId="0" fontId="3" fillId="0" borderId="0" xfId="0" applyFont="1" applyAlignment="1">
      <alignment horizontal="center"/>
    </xf>
    <xf numFmtId="0" fontId="3" fillId="0" borderId="15" xfId="0" applyFont="1" applyBorder="1" applyAlignment="1">
      <alignment horizontal="left"/>
    </xf>
    <xf numFmtId="0" fontId="0" fillId="0" borderId="5" xfId="0" applyBorder="1"/>
    <xf numFmtId="0" fontId="3" fillId="0" borderId="0" xfId="0" applyFont="1"/>
    <xf numFmtId="0" fontId="4" fillId="3" borderId="0" xfId="0" applyFont="1" applyFill="1" applyAlignment="1">
      <alignment horizontal="center"/>
    </xf>
    <xf numFmtId="0" fontId="3" fillId="0" borderId="0" xfId="0" applyFont="1" applyAlignment="1">
      <alignment vertical="center"/>
    </xf>
    <xf numFmtId="10" fontId="3" fillId="0" borderId="0" xfId="0" applyNumberFormat="1" applyFont="1"/>
    <xf numFmtId="9" fontId="3" fillId="0" borderId="14" xfId="3" applyFont="1" applyFill="1" applyBorder="1" applyAlignment="1">
      <alignment horizontal="center"/>
    </xf>
    <xf numFmtId="9" fontId="3" fillId="0" borderId="22" xfId="3" applyFont="1" applyFill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0" fillId="0" borderId="6" xfId="0" applyBorder="1"/>
    <xf numFmtId="166" fontId="3" fillId="0" borderId="25" xfId="2" applyFont="1" applyFill="1" applyBorder="1" applyAlignment="1" applyProtection="1">
      <alignment horizontal="center"/>
    </xf>
    <xf numFmtId="0" fontId="3" fillId="0" borderId="5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6" xfId="0" applyFont="1" applyBorder="1"/>
    <xf numFmtId="169" fontId="3" fillId="0" borderId="0" xfId="0" applyNumberFormat="1" applyFont="1"/>
    <xf numFmtId="166" fontId="0" fillId="0" borderId="1" xfId="0" applyNumberFormat="1" applyBorder="1"/>
    <xf numFmtId="167" fontId="3" fillId="0" borderId="22" xfId="1" applyFont="1" applyFill="1" applyBorder="1" applyAlignment="1">
      <alignment horizontal="center"/>
    </xf>
    <xf numFmtId="166" fontId="3" fillId="0" borderId="22" xfId="2" applyFont="1" applyFill="1" applyBorder="1" applyAlignment="1" applyProtection="1">
      <alignment horizontal="center"/>
    </xf>
    <xf numFmtId="166" fontId="0" fillId="0" borderId="30" xfId="0" applyNumberFormat="1" applyBorder="1"/>
    <xf numFmtId="0" fontId="2" fillId="5" borderId="1" xfId="0" applyFont="1" applyFill="1" applyBorder="1" applyAlignment="1">
      <alignment horizontal="center" vertical="center"/>
    </xf>
    <xf numFmtId="169" fontId="3" fillId="6" borderId="28" xfId="0" applyNumberFormat="1" applyFont="1" applyFill="1" applyBorder="1" applyAlignment="1">
      <alignment horizontal="center"/>
    </xf>
    <xf numFmtId="166" fontId="0" fillId="6" borderId="26" xfId="0" applyNumberFormat="1" applyFill="1" applyBorder="1"/>
    <xf numFmtId="0" fontId="3" fillId="0" borderId="31" xfId="0" applyFont="1" applyBorder="1"/>
    <xf numFmtId="0" fontId="3" fillId="0" borderId="32" xfId="0" applyFont="1" applyBorder="1"/>
    <xf numFmtId="0" fontId="3" fillId="0" borderId="35" xfId="0" applyFont="1" applyBorder="1"/>
    <xf numFmtId="0" fontId="3" fillId="0" borderId="35" xfId="0" applyFont="1" applyBorder="1" applyAlignment="1">
      <alignment horizontal="center"/>
    </xf>
    <xf numFmtId="0" fontId="2" fillId="5" borderId="13" xfId="0" applyFont="1" applyFill="1" applyBorder="1" applyAlignment="1">
      <alignment horizontal="center" vertical="center"/>
    </xf>
    <xf numFmtId="0" fontId="3" fillId="0" borderId="36" xfId="0" applyFont="1" applyBorder="1"/>
    <xf numFmtId="0" fontId="3" fillId="0" borderId="15" xfId="0" applyFont="1" applyBorder="1"/>
    <xf numFmtId="10" fontId="0" fillId="0" borderId="0" xfId="0" applyNumberFormat="1"/>
    <xf numFmtId="169" fontId="0" fillId="0" borderId="0" xfId="0" applyNumberFormat="1"/>
    <xf numFmtId="0" fontId="3" fillId="0" borderId="25" xfId="0" applyFont="1" applyBorder="1" applyAlignment="1">
      <alignment horizontal="right"/>
    </xf>
    <xf numFmtId="167" fontId="0" fillId="0" borderId="0" xfId="1" applyFont="1"/>
    <xf numFmtId="0" fontId="3" fillId="0" borderId="10" xfId="0" applyFont="1" applyBorder="1"/>
    <xf numFmtId="0" fontId="3" fillId="0" borderId="15" xfId="0" applyFont="1" applyBorder="1" applyAlignment="1">
      <alignment wrapText="1"/>
    </xf>
    <xf numFmtId="167" fontId="3" fillId="0" borderId="16" xfId="1" applyFont="1" applyFill="1" applyBorder="1" applyAlignment="1" applyProtection="1">
      <alignment horizontal="center" vertical="center"/>
    </xf>
    <xf numFmtId="167" fontId="3" fillId="0" borderId="14" xfId="1" applyFont="1" applyFill="1" applyBorder="1" applyAlignment="1" applyProtection="1">
      <alignment horizontal="center" vertical="center"/>
    </xf>
    <xf numFmtId="0" fontId="2" fillId="5" borderId="13" xfId="0" applyFont="1" applyFill="1" applyBorder="1" applyAlignment="1">
      <alignment horizontal="center" vertical="center" wrapText="1"/>
    </xf>
    <xf numFmtId="169" fontId="3" fillId="6" borderId="7" xfId="0" applyNumberFormat="1" applyFont="1" applyFill="1" applyBorder="1" applyAlignment="1">
      <alignment horizontal="center"/>
    </xf>
    <xf numFmtId="168" fontId="0" fillId="0" borderId="0" xfId="4" applyFont="1"/>
    <xf numFmtId="166" fontId="0" fillId="0" borderId="0" xfId="0" applyNumberFormat="1"/>
    <xf numFmtId="166" fontId="3" fillId="0" borderId="8" xfId="2" applyFont="1" applyFill="1" applyBorder="1" applyAlignment="1" applyProtection="1">
      <alignment horizontal="center" vertical="center" wrapText="1"/>
      <protection locked="0"/>
    </xf>
    <xf numFmtId="166" fontId="3" fillId="0" borderId="9" xfId="2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Border="1"/>
    <xf numFmtId="167" fontId="3" fillId="0" borderId="17" xfId="1" applyFont="1" applyFill="1" applyBorder="1" applyAlignment="1" applyProtection="1">
      <alignment horizontal="center" vertical="center"/>
    </xf>
    <xf numFmtId="167" fontId="0" fillId="0" borderId="0" xfId="0" applyNumberFormat="1"/>
    <xf numFmtId="169" fontId="3" fillId="6" borderId="1" xfId="0" applyNumberFormat="1" applyFont="1" applyFill="1" applyBorder="1" applyAlignment="1">
      <alignment horizontal="right"/>
    </xf>
    <xf numFmtId="0" fontId="0" fillId="0" borderId="4" xfId="0" applyBorder="1"/>
    <xf numFmtId="0" fontId="0" fillId="0" borderId="9" xfId="0" applyBorder="1"/>
    <xf numFmtId="167" fontId="0" fillId="0" borderId="0" xfId="1" applyFont="1" applyBorder="1"/>
    <xf numFmtId="0" fontId="2" fillId="0" borderId="48" xfId="0" applyFont="1" applyBorder="1"/>
    <xf numFmtId="167" fontId="0" fillId="6" borderId="1" xfId="1" applyFont="1" applyFill="1" applyBorder="1"/>
    <xf numFmtId="168" fontId="0" fillId="0" borderId="0" xfId="0" applyNumberFormat="1"/>
    <xf numFmtId="0" fontId="2" fillId="5" borderId="25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9" fontId="3" fillId="0" borderId="22" xfId="0" applyNumberFormat="1" applyFont="1" applyBorder="1" applyAlignment="1">
      <alignment horizontal="center"/>
    </xf>
    <xf numFmtId="9" fontId="0" fillId="0" borderId="0" xfId="4" applyNumberFormat="1" applyFont="1"/>
    <xf numFmtId="0" fontId="2" fillId="0" borderId="0" xfId="0" applyFont="1"/>
    <xf numFmtId="0" fontId="2" fillId="5" borderId="1" xfId="0" applyFont="1" applyFill="1" applyBorder="1" applyAlignment="1">
      <alignment horizontal="center" vertical="justify"/>
    </xf>
    <xf numFmtId="0" fontId="3" fillId="0" borderId="0" xfId="0" applyFont="1" applyAlignment="1">
      <alignment horizontal="center" wrapText="1"/>
    </xf>
    <xf numFmtId="0" fontId="4" fillId="7" borderId="0" xfId="0" applyFont="1" applyFill="1" applyAlignment="1">
      <alignment horizontal="center" vertical="center" textRotation="90"/>
    </xf>
    <xf numFmtId="169" fontId="3" fillId="8" borderId="0" xfId="0" applyNumberFormat="1" applyFont="1" applyFill="1" applyAlignment="1">
      <alignment horizontal="center"/>
    </xf>
    <xf numFmtId="0" fontId="4" fillId="9" borderId="0" xfId="0" applyFont="1" applyFill="1" applyAlignment="1">
      <alignment horizontal="center"/>
    </xf>
    <xf numFmtId="0" fontId="2" fillId="5" borderId="3" xfId="0" applyFont="1" applyFill="1" applyBorder="1" applyAlignment="1">
      <alignment horizontal="center" vertical="justify"/>
    </xf>
    <xf numFmtId="169" fontId="3" fillId="6" borderId="1" xfId="0" applyNumberFormat="1" applyFont="1" applyFill="1" applyBorder="1" applyAlignment="1">
      <alignment horizontal="center"/>
    </xf>
    <xf numFmtId="173" fontId="0" fillId="0" borderId="0" xfId="0" applyNumberFormat="1"/>
    <xf numFmtId="0" fontId="3" fillId="0" borderId="50" xfId="0" applyFont="1" applyBorder="1"/>
    <xf numFmtId="0" fontId="0" fillId="0" borderId="52" xfId="0" applyBorder="1"/>
    <xf numFmtId="0" fontId="0" fillId="0" borderId="53" xfId="0" applyBorder="1"/>
    <xf numFmtId="0" fontId="0" fillId="0" borderId="54" xfId="0" applyBorder="1"/>
    <xf numFmtId="10" fontId="3" fillId="0" borderId="0" xfId="3" applyNumberFormat="1" applyFont="1" applyFill="1" applyBorder="1" applyAlignment="1" applyProtection="1">
      <alignment horizontal="center"/>
    </xf>
    <xf numFmtId="0" fontId="3" fillId="6" borderId="25" xfId="0" applyFont="1" applyFill="1" applyBorder="1"/>
    <xf numFmtId="169" fontId="3" fillId="6" borderId="1" xfId="0" applyNumberFormat="1" applyFont="1" applyFill="1" applyBorder="1" applyProtection="1">
      <protection locked="0"/>
    </xf>
    <xf numFmtId="172" fontId="0" fillId="0" borderId="0" xfId="0" applyNumberFormat="1"/>
    <xf numFmtId="10" fontId="0" fillId="0" borderId="0" xfId="3" applyNumberFormat="1" applyFont="1"/>
    <xf numFmtId="0" fontId="3" fillId="0" borderId="25" xfId="0" applyFont="1" applyBorder="1" applyAlignment="1">
      <alignment horizontal="left"/>
    </xf>
    <xf numFmtId="0" fontId="3" fillId="0" borderId="55" xfId="0" applyFont="1" applyBorder="1"/>
    <xf numFmtId="169" fontId="3" fillId="0" borderId="56" xfId="0" applyNumberFormat="1" applyFont="1" applyBorder="1" applyAlignment="1">
      <alignment horizontal="center"/>
    </xf>
    <xf numFmtId="10" fontId="3" fillId="0" borderId="1" xfId="0" applyNumberFormat="1" applyFont="1" applyBorder="1" applyAlignment="1">
      <alignment horizontal="center"/>
    </xf>
    <xf numFmtId="10" fontId="3" fillId="0" borderId="52" xfId="3" applyNumberFormat="1" applyFont="1" applyFill="1" applyBorder="1" applyAlignment="1" applyProtection="1">
      <alignment horizontal="center"/>
    </xf>
    <xf numFmtId="10" fontId="3" fillId="0" borderId="53" xfId="3" applyNumberFormat="1" applyFont="1" applyFill="1" applyBorder="1" applyAlignment="1" applyProtection="1">
      <alignment horizontal="center"/>
    </xf>
    <xf numFmtId="10" fontId="3" fillId="0" borderId="54" xfId="3" applyNumberFormat="1" applyFont="1" applyFill="1" applyBorder="1" applyAlignment="1" applyProtection="1">
      <alignment horizontal="center"/>
    </xf>
    <xf numFmtId="9" fontId="0" fillId="0" borderId="0" xfId="0" applyNumberFormat="1"/>
    <xf numFmtId="0" fontId="2" fillId="5" borderId="26" xfId="0" applyFont="1" applyFill="1" applyBorder="1" applyAlignment="1">
      <alignment horizontal="center" vertical="justify"/>
    </xf>
    <xf numFmtId="0" fontId="2" fillId="5" borderId="2" xfId="0" applyFont="1" applyFill="1" applyBorder="1" applyAlignment="1">
      <alignment horizontal="center" vertical="center"/>
    </xf>
    <xf numFmtId="168" fontId="3" fillId="0" borderId="14" xfId="4" applyFont="1" applyFill="1" applyBorder="1" applyAlignment="1" applyProtection="1">
      <alignment horizontal="center" vertical="center"/>
    </xf>
    <xf numFmtId="168" fontId="3" fillId="0" borderId="17" xfId="4" applyFont="1" applyFill="1" applyBorder="1" applyAlignment="1" applyProtection="1">
      <alignment horizontal="center" vertical="center" wrapText="1"/>
    </xf>
    <xf numFmtId="169" fontId="3" fillId="6" borderId="43" xfId="0" applyNumberFormat="1" applyFont="1" applyFill="1" applyBorder="1" applyAlignment="1">
      <alignment horizontal="center"/>
    </xf>
    <xf numFmtId="0" fontId="3" fillId="0" borderId="57" xfId="0" applyFont="1" applyBorder="1" applyAlignment="1">
      <alignment horizontal="center" vertical="center"/>
    </xf>
    <xf numFmtId="9" fontId="3" fillId="0" borderId="57" xfId="3" applyFont="1" applyFill="1" applyBorder="1" applyAlignment="1" applyProtection="1">
      <alignment horizontal="center" vertical="center"/>
    </xf>
    <xf numFmtId="171" fontId="3" fillId="0" borderId="57" xfId="4" applyNumberFormat="1" applyFont="1" applyFill="1" applyBorder="1" applyAlignment="1" applyProtection="1">
      <alignment horizontal="center" vertical="center"/>
    </xf>
    <xf numFmtId="167" fontId="3" fillId="0" borderId="57" xfId="1" applyFont="1" applyFill="1" applyBorder="1" applyAlignment="1" applyProtection="1">
      <alignment horizontal="center" vertical="center"/>
    </xf>
    <xf numFmtId="9" fontId="3" fillId="0" borderId="57" xfId="3" applyFont="1" applyFill="1" applyBorder="1" applyAlignment="1" applyProtection="1">
      <alignment horizontal="center" vertical="center"/>
      <protection locked="0"/>
    </xf>
    <xf numFmtId="168" fontId="3" fillId="0" borderId="0" xfId="0" applyNumberFormat="1" applyFont="1"/>
    <xf numFmtId="9" fontId="0" fillId="0" borderId="0" xfId="3" applyFont="1"/>
    <xf numFmtId="0" fontId="3" fillId="4" borderId="57" xfId="0" applyFont="1" applyFill="1" applyBorder="1" applyAlignment="1">
      <alignment horizontal="center" vertical="center" textRotation="90"/>
    </xf>
    <xf numFmtId="0" fontId="3" fillId="0" borderId="57" xfId="0" applyFont="1" applyBorder="1" applyAlignment="1">
      <alignment horizontal="center"/>
    </xf>
    <xf numFmtId="9" fontId="3" fillId="0" borderId="57" xfId="3" applyFont="1" applyFill="1" applyBorder="1" applyAlignment="1">
      <alignment horizontal="center"/>
    </xf>
    <xf numFmtId="9" fontId="3" fillId="0" borderId="57" xfId="0" applyNumberFormat="1" applyFont="1" applyBorder="1" applyAlignment="1">
      <alignment horizontal="center"/>
    </xf>
    <xf numFmtId="169" fontId="3" fillId="0" borderId="4" xfId="0" applyNumberFormat="1" applyFont="1" applyBorder="1" applyAlignment="1">
      <alignment horizontal="center"/>
    </xf>
    <xf numFmtId="169" fontId="3" fillId="0" borderId="6" xfId="0" applyNumberFormat="1" applyFont="1" applyBorder="1" applyAlignment="1">
      <alignment horizontal="center"/>
    </xf>
    <xf numFmtId="169" fontId="3" fillId="0" borderId="9" xfId="0" applyNumberFormat="1" applyFont="1" applyBorder="1" applyAlignment="1">
      <alignment horizontal="center"/>
    </xf>
    <xf numFmtId="166" fontId="0" fillId="0" borderId="0" xfId="2" applyFont="1"/>
    <xf numFmtId="167" fontId="3" fillId="0" borderId="57" xfId="1" applyFont="1" applyFill="1" applyBorder="1" applyAlignment="1">
      <alignment horizontal="center"/>
    </xf>
    <xf numFmtId="0" fontId="3" fillId="0" borderId="57" xfId="0" applyFont="1" applyBorder="1" applyAlignment="1">
      <alignment wrapText="1"/>
    </xf>
    <xf numFmtId="0" fontId="3" fillId="0" borderId="57" xfId="0" applyFont="1" applyBorder="1" applyAlignment="1">
      <alignment horizontal="center" vertical="center" wrapText="1"/>
    </xf>
    <xf numFmtId="0" fontId="8" fillId="0" borderId="0" xfId="0" applyFont="1" applyAlignment="1">
      <alignment vertical="top"/>
    </xf>
    <xf numFmtId="10" fontId="8" fillId="0" borderId="0" xfId="3" applyNumberFormat="1" applyFont="1" applyAlignment="1">
      <alignment horizontal="center" vertical="top"/>
    </xf>
    <xf numFmtId="0" fontId="7" fillId="5" borderId="57" xfId="0" applyFont="1" applyFill="1" applyBorder="1" applyAlignment="1">
      <alignment horizontal="center" vertical="top" wrapText="1"/>
    </xf>
    <xf numFmtId="175" fontId="8" fillId="0" borderId="0" xfId="0" applyNumberFormat="1" applyFont="1" applyAlignment="1">
      <alignment vertical="top"/>
    </xf>
    <xf numFmtId="0" fontId="7" fillId="5" borderId="57" xfId="0" applyFont="1" applyFill="1" applyBorder="1" applyAlignment="1">
      <alignment vertical="top"/>
    </xf>
    <xf numFmtId="10" fontId="7" fillId="5" borderId="57" xfId="3" applyNumberFormat="1" applyFont="1" applyFill="1" applyBorder="1" applyAlignment="1">
      <alignment horizontal="center" vertical="top"/>
    </xf>
    <xf numFmtId="174" fontId="8" fillId="0" borderId="0" xfId="0" applyNumberFormat="1" applyFont="1" applyAlignment="1">
      <alignment vertical="top"/>
    </xf>
    <xf numFmtId="0" fontId="8" fillId="0" borderId="57" xfId="0" applyFont="1" applyBorder="1" applyAlignment="1">
      <alignment vertical="top"/>
    </xf>
    <xf numFmtId="10" fontId="8" fillId="0" borderId="57" xfId="3" applyNumberFormat="1" applyFont="1" applyBorder="1" applyAlignment="1">
      <alignment horizontal="center" vertical="top"/>
    </xf>
    <xf numFmtId="174" fontId="8" fillId="0" borderId="57" xfId="0" applyNumberFormat="1" applyFont="1" applyBorder="1" applyAlignment="1">
      <alignment vertical="top"/>
    </xf>
    <xf numFmtId="174" fontId="8" fillId="5" borderId="57" xfId="0" applyNumberFormat="1" applyFont="1" applyFill="1" applyBorder="1" applyAlignment="1">
      <alignment vertical="top"/>
    </xf>
    <xf numFmtId="0" fontId="8" fillId="0" borderId="57" xfId="0" applyFont="1" applyBorder="1" applyAlignment="1">
      <alignment vertical="top" wrapText="1"/>
    </xf>
    <xf numFmtId="0" fontId="7" fillId="5" borderId="57" xfId="0" applyFont="1" applyFill="1" applyBorder="1" applyAlignment="1">
      <alignment horizontal="center" vertical="top"/>
    </xf>
    <xf numFmtId="9" fontId="7" fillId="5" borderId="57" xfId="3" applyFont="1" applyFill="1" applyBorder="1" applyAlignment="1">
      <alignment horizontal="center" vertical="top"/>
    </xf>
    <xf numFmtId="176" fontId="8" fillId="0" borderId="0" xfId="3" applyNumberFormat="1" applyFont="1" applyAlignment="1">
      <alignment horizontal="center" vertical="top"/>
    </xf>
    <xf numFmtId="167" fontId="3" fillId="0" borderId="0" xfId="1" applyFont="1" applyFill="1" applyBorder="1" applyAlignment="1" applyProtection="1">
      <alignment horizontal="center" vertical="center"/>
    </xf>
    <xf numFmtId="0" fontId="2" fillId="10" borderId="57" xfId="0" applyFont="1" applyFill="1" applyBorder="1"/>
    <xf numFmtId="0" fontId="11" fillId="12" borderId="66" xfId="0" applyFont="1" applyFill="1" applyBorder="1" applyAlignment="1">
      <alignment horizontal="center" vertical="center" wrapText="1"/>
    </xf>
    <xf numFmtId="0" fontId="9" fillId="13" borderId="57" xfId="6" applyFont="1" applyFill="1" applyBorder="1" applyAlignment="1">
      <alignment horizontal="left" vertical="center" wrapText="1"/>
    </xf>
    <xf numFmtId="0" fontId="12" fillId="0" borderId="57" xfId="6" applyFont="1" applyBorder="1" applyAlignment="1">
      <alignment horizontal="center" vertical="center" wrapText="1"/>
    </xf>
    <xf numFmtId="167" fontId="9" fillId="8" borderId="22" xfId="1" applyFont="1" applyFill="1" applyBorder="1" applyAlignment="1">
      <alignment horizontal="right" vertical="center" wrapText="1"/>
    </xf>
    <xf numFmtId="0" fontId="13" fillId="0" borderId="22" xfId="7" applyFont="1" applyBorder="1" applyAlignment="1">
      <alignment horizontal="center" wrapText="1"/>
    </xf>
    <xf numFmtId="164" fontId="13" fillId="0" borderId="22" xfId="7" applyNumberFormat="1" applyFont="1" applyBorder="1" applyAlignment="1">
      <alignment wrapText="1"/>
    </xf>
    <xf numFmtId="0" fontId="11" fillId="12" borderId="67" xfId="0" applyFont="1" applyFill="1" applyBorder="1" applyAlignment="1">
      <alignment horizontal="center" vertical="center" wrapText="1"/>
    </xf>
    <xf numFmtId="0" fontId="12" fillId="0" borderId="57" xfId="0" applyFont="1" applyBorder="1" applyAlignment="1">
      <alignment vertical="center" wrapText="1"/>
    </xf>
    <xf numFmtId="0" fontId="12" fillId="0" borderId="57" xfId="0" applyFont="1" applyBorder="1" applyAlignment="1">
      <alignment horizontal="center" vertical="center" wrapText="1"/>
    </xf>
    <xf numFmtId="0" fontId="13" fillId="0" borderId="57" xfId="7" applyFont="1" applyBorder="1" applyAlignment="1">
      <alignment horizontal="center" wrapText="1"/>
    </xf>
    <xf numFmtId="44" fontId="0" fillId="0" borderId="0" xfId="0" applyNumberFormat="1"/>
    <xf numFmtId="49" fontId="11" fillId="12" borderId="67" xfId="0" applyNumberFormat="1" applyFont="1" applyFill="1" applyBorder="1" applyAlignment="1">
      <alignment horizontal="center" vertical="center" wrapText="1"/>
    </xf>
    <xf numFmtId="2" fontId="11" fillId="12" borderId="67" xfId="0" applyNumberFormat="1" applyFont="1" applyFill="1" applyBorder="1" applyAlignment="1">
      <alignment horizontal="center" vertical="center" wrapText="1"/>
    </xf>
    <xf numFmtId="49" fontId="11" fillId="12" borderId="68" xfId="0" applyNumberFormat="1" applyFont="1" applyFill="1" applyBorder="1" applyAlignment="1">
      <alignment horizontal="center" vertical="center" wrapText="1"/>
    </xf>
    <xf numFmtId="2" fontId="11" fillId="12" borderId="68" xfId="0" applyNumberFormat="1" applyFont="1" applyFill="1" applyBorder="1" applyAlignment="1">
      <alignment horizontal="center" vertical="center" wrapText="1"/>
    </xf>
    <xf numFmtId="0" fontId="12" fillId="0" borderId="60" xfId="0" applyFont="1" applyBorder="1" applyAlignment="1">
      <alignment vertical="center" wrapText="1"/>
    </xf>
    <xf numFmtId="0" fontId="12" fillId="0" borderId="60" xfId="0" applyFont="1" applyBorder="1" applyAlignment="1">
      <alignment horizontal="center" vertical="center" wrapText="1"/>
    </xf>
    <xf numFmtId="0" fontId="13" fillId="0" borderId="60" xfId="7" applyFont="1" applyBorder="1" applyAlignment="1">
      <alignment horizontal="center" wrapText="1"/>
    </xf>
    <xf numFmtId="49" fontId="11" fillId="12" borderId="57" xfId="0" applyNumberFormat="1" applyFont="1" applyFill="1" applyBorder="1" applyAlignment="1">
      <alignment horizontal="center" vertical="center" wrapText="1"/>
    </xf>
    <xf numFmtId="2" fontId="11" fillId="12" borderId="57" xfId="0" applyNumberFormat="1" applyFont="1" applyFill="1" applyBorder="1" applyAlignment="1">
      <alignment horizontal="center" vertical="center" wrapText="1"/>
    </xf>
    <xf numFmtId="167" fontId="12" fillId="0" borderId="57" xfId="1" applyFont="1" applyBorder="1" applyAlignment="1">
      <alignment horizontal="right" vertical="center" wrapText="1"/>
    </xf>
    <xf numFmtId="0" fontId="13" fillId="0" borderId="57" xfId="7" applyFont="1" applyBorder="1" applyAlignment="1">
      <alignment horizontal="center"/>
    </xf>
    <xf numFmtId="0" fontId="11" fillId="12" borderId="68" xfId="0" applyFont="1" applyFill="1" applyBorder="1" applyAlignment="1">
      <alignment horizontal="center" vertical="center" wrapText="1"/>
    </xf>
    <xf numFmtId="0" fontId="13" fillId="0" borderId="60" xfId="7" applyFont="1" applyBorder="1" applyAlignment="1">
      <alignment horizontal="center"/>
    </xf>
    <xf numFmtId="0" fontId="11" fillId="12" borderId="57" xfId="0" applyFont="1" applyFill="1" applyBorder="1" applyAlignment="1">
      <alignment horizontal="center" vertical="center" wrapText="1"/>
    </xf>
    <xf numFmtId="49" fontId="11" fillId="12" borderId="69" xfId="0" applyNumberFormat="1" applyFont="1" applyFill="1" applyBorder="1" applyAlignment="1">
      <alignment horizontal="center" vertical="center" wrapText="1"/>
    </xf>
    <xf numFmtId="0" fontId="11" fillId="12" borderId="69" xfId="0" applyFont="1" applyFill="1" applyBorder="1" applyAlignment="1">
      <alignment horizontal="center" vertical="center" wrapText="1"/>
    </xf>
    <xf numFmtId="2" fontId="11" fillId="12" borderId="69" xfId="0" applyNumberFormat="1" applyFont="1" applyFill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left" vertical="center" wrapText="1"/>
    </xf>
    <xf numFmtId="0" fontId="11" fillId="12" borderId="0" xfId="0" applyFont="1" applyFill="1" applyAlignment="1">
      <alignment horizontal="center" vertical="center" wrapText="1"/>
    </xf>
    <xf numFmtId="0" fontId="11" fillId="12" borderId="0" xfId="8" applyFont="1" applyFill="1" applyAlignment="1">
      <alignment horizontal="left" vertical="center" wrapText="1"/>
    </xf>
    <xf numFmtId="0" fontId="11" fillId="12" borderId="0" xfId="8" applyFont="1" applyFill="1" applyAlignment="1">
      <alignment horizontal="center" vertical="center" wrapText="1"/>
    </xf>
    <xf numFmtId="165" fontId="13" fillId="0" borderId="0" xfId="7" applyNumberFormat="1" applyFont="1" applyAlignment="1">
      <alignment horizontal="center" wrapText="1"/>
    </xf>
    <xf numFmtId="0" fontId="13" fillId="15" borderId="0" xfId="7" applyFont="1" applyFill="1" applyAlignment="1">
      <alignment horizontal="center"/>
    </xf>
    <xf numFmtId="165" fontId="13" fillId="15" borderId="0" xfId="7" applyNumberFormat="1" applyFont="1" applyFill="1"/>
    <xf numFmtId="164" fontId="10" fillId="15" borderId="1" xfId="7" applyNumberFormat="1" applyFont="1" applyFill="1" applyBorder="1"/>
    <xf numFmtId="1" fontId="10" fillId="0" borderId="0" xfId="7" applyNumberFormat="1" applyFont="1" applyAlignment="1">
      <alignment horizontal="center" vertical="center"/>
    </xf>
    <xf numFmtId="164" fontId="10" fillId="15" borderId="0" xfId="7" applyNumberFormat="1" applyFont="1" applyFill="1"/>
    <xf numFmtId="177" fontId="13" fillId="0" borderId="0" xfId="7" applyNumberFormat="1" applyFont="1" applyAlignment="1">
      <alignment horizontal="center" vertical="center"/>
    </xf>
    <xf numFmtId="0" fontId="13" fillId="8" borderId="57" xfId="9" applyFont="1" applyFill="1" applyBorder="1" applyAlignment="1">
      <alignment horizontal="center" vertical="center" wrapText="1"/>
    </xf>
    <xf numFmtId="0" fontId="13" fillId="8" borderId="57" xfId="9" applyFont="1" applyFill="1" applyBorder="1" applyAlignment="1">
      <alignment horizontal="justify" vertical="center" wrapText="1"/>
    </xf>
    <xf numFmtId="9" fontId="13" fillId="8" borderId="57" xfId="3" applyFont="1" applyFill="1" applyBorder="1" applyAlignment="1">
      <alignment vertical="center"/>
    </xf>
    <xf numFmtId="0" fontId="13" fillId="8" borderId="0" xfId="9" applyFont="1" applyFill="1" applyAlignment="1">
      <alignment horizontal="center" vertical="center" wrapText="1"/>
    </xf>
    <xf numFmtId="0" fontId="13" fillId="8" borderId="0" xfId="9" applyFont="1" applyFill="1" applyAlignment="1">
      <alignment horizontal="justify" vertical="center" wrapText="1"/>
    </xf>
    <xf numFmtId="10" fontId="13" fillId="8" borderId="0" xfId="9" applyNumberFormat="1" applyFont="1" applyFill="1" applyAlignment="1">
      <alignment horizontal="center" vertical="center" wrapText="1"/>
    </xf>
    <xf numFmtId="175" fontId="13" fillId="8" borderId="0" xfId="0" applyNumberFormat="1" applyFont="1" applyFill="1" applyAlignment="1">
      <alignment vertical="center"/>
    </xf>
    <xf numFmtId="0" fontId="16" fillId="15" borderId="0" xfId="7" applyFont="1" applyFill="1" applyAlignment="1">
      <alignment horizontal="center"/>
    </xf>
    <xf numFmtId="177" fontId="10" fillId="0" borderId="0" xfId="7" applyNumberFormat="1" applyFont="1" applyAlignment="1">
      <alignment horizontal="center" vertical="center"/>
    </xf>
    <xf numFmtId="175" fontId="10" fillId="8" borderId="0" xfId="0" applyNumberFormat="1" applyFont="1" applyFill="1" applyAlignment="1">
      <alignment vertical="center"/>
    </xf>
    <xf numFmtId="177" fontId="13" fillId="0" borderId="0" xfId="7" applyNumberFormat="1" applyFont="1" applyAlignment="1">
      <alignment vertical="center"/>
    </xf>
    <xf numFmtId="0" fontId="13" fillId="15" borderId="0" xfId="7" applyFont="1" applyFill="1"/>
    <xf numFmtId="179" fontId="10" fillId="8" borderId="61" xfId="10" applyNumberFormat="1" applyFont="1" applyFill="1" applyBorder="1" applyAlignment="1">
      <alignment horizontal="center" vertical="center"/>
    </xf>
    <xf numFmtId="0" fontId="13" fillId="0" borderId="0" xfId="7" applyFont="1"/>
    <xf numFmtId="10" fontId="13" fillId="0" borderId="16" xfId="3" applyNumberFormat="1" applyFont="1" applyFill="1" applyBorder="1" applyAlignment="1">
      <alignment horizontal="center" vertical="center"/>
    </xf>
    <xf numFmtId="10" fontId="13" fillId="0" borderId="16" xfId="11" applyNumberFormat="1" applyFont="1" applyFill="1" applyBorder="1" applyAlignment="1">
      <alignment horizontal="center" vertical="center"/>
    </xf>
    <xf numFmtId="10" fontId="10" fillId="0" borderId="62" xfId="11" applyNumberFormat="1" applyFont="1" applyFill="1" applyBorder="1" applyAlignment="1">
      <alignment horizontal="center" vertical="center"/>
    </xf>
    <xf numFmtId="0" fontId="3" fillId="0" borderId="59" xfId="0" applyFont="1" applyBorder="1"/>
    <xf numFmtId="168" fontId="3" fillId="0" borderId="57" xfId="4" applyFont="1" applyFill="1" applyBorder="1" applyAlignment="1" applyProtection="1">
      <alignment horizontal="center" vertical="center" wrapText="1"/>
    </xf>
    <xf numFmtId="0" fontId="3" fillId="0" borderId="75" xfId="0" applyFont="1" applyBorder="1"/>
    <xf numFmtId="169" fontId="3" fillId="0" borderId="76" xfId="0" applyNumberFormat="1" applyFont="1" applyBorder="1" applyAlignment="1">
      <alignment horizontal="center"/>
    </xf>
    <xf numFmtId="0" fontId="3" fillId="0" borderId="77" xfId="0" applyFont="1" applyBorder="1"/>
    <xf numFmtId="169" fontId="3" fillId="0" borderId="78" xfId="0" applyNumberFormat="1" applyFont="1" applyBorder="1" applyAlignment="1">
      <alignment horizontal="center"/>
    </xf>
    <xf numFmtId="0" fontId="10" fillId="11" borderId="22" xfId="7" applyFont="1" applyFill="1" applyBorder="1" applyAlignment="1">
      <alignment horizontal="center" vertical="center" wrapText="1"/>
    </xf>
    <xf numFmtId="0" fontId="10" fillId="11" borderId="30" xfId="7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9" fontId="3" fillId="0" borderId="0" xfId="0" applyNumberFormat="1" applyFont="1" applyFill="1" applyAlignment="1">
      <alignment horizontal="center"/>
    </xf>
    <xf numFmtId="0" fontId="3" fillId="0" borderId="0" xfId="0" applyFont="1" applyFill="1"/>
    <xf numFmtId="0" fontId="0" fillId="0" borderId="0" xfId="0" applyFill="1"/>
    <xf numFmtId="2" fontId="3" fillId="0" borderId="22" xfId="0" applyNumberFormat="1" applyFont="1" applyBorder="1" applyAlignment="1">
      <alignment horizontal="center"/>
    </xf>
    <xf numFmtId="0" fontId="0" fillId="0" borderId="0" xfId="0" applyBorder="1"/>
    <xf numFmtId="166" fontId="3" fillId="0" borderId="0" xfId="2" applyFont="1" applyFill="1" applyBorder="1" applyAlignment="1" applyProtection="1">
      <alignment horizontal="center" vertical="center" wrapText="1"/>
      <protection locked="0"/>
    </xf>
    <xf numFmtId="169" fontId="3" fillId="6" borderId="90" xfId="0" applyNumberFormat="1" applyFont="1" applyFill="1" applyBorder="1" applyAlignment="1">
      <alignment horizontal="center"/>
    </xf>
    <xf numFmtId="166" fontId="3" fillId="0" borderId="91" xfId="2" applyFont="1" applyFill="1" applyBorder="1" applyAlignment="1" applyProtection="1">
      <alignment horizontal="center"/>
    </xf>
    <xf numFmtId="0" fontId="3" fillId="0" borderId="92" xfId="0" applyFont="1" applyBorder="1" applyAlignment="1">
      <alignment horizontal="left"/>
    </xf>
    <xf numFmtId="0" fontId="3" fillId="0" borderId="93" xfId="0" applyFont="1" applyBorder="1" applyAlignment="1">
      <alignment horizontal="center"/>
    </xf>
    <xf numFmtId="167" fontId="3" fillId="0" borderId="93" xfId="1" applyFont="1" applyFill="1" applyBorder="1" applyAlignment="1">
      <alignment horizontal="center"/>
    </xf>
    <xf numFmtId="9" fontId="3" fillId="0" borderId="93" xfId="3" applyFont="1" applyFill="1" applyBorder="1" applyAlignment="1">
      <alignment horizontal="center"/>
    </xf>
    <xf numFmtId="9" fontId="3" fillId="0" borderId="93" xfId="0" applyNumberFormat="1" applyFont="1" applyBorder="1" applyAlignment="1">
      <alignment horizontal="center"/>
    </xf>
    <xf numFmtId="2" fontId="3" fillId="0" borderId="94" xfId="0" applyNumberFormat="1" applyFont="1" applyBorder="1" applyAlignment="1">
      <alignment horizontal="center"/>
    </xf>
    <xf numFmtId="166" fontId="3" fillId="0" borderId="95" xfId="2" applyFont="1" applyFill="1" applyBorder="1" applyAlignment="1" applyProtection="1">
      <alignment horizontal="center"/>
    </xf>
    <xf numFmtId="166" fontId="3" fillId="0" borderId="96" xfId="2" applyFont="1" applyFill="1" applyBorder="1" applyAlignment="1" applyProtection="1">
      <alignment horizontal="center"/>
    </xf>
    <xf numFmtId="0" fontId="3" fillId="0" borderId="97" xfId="0" applyFont="1" applyBorder="1" applyAlignment="1">
      <alignment horizontal="left"/>
    </xf>
    <xf numFmtId="166" fontId="0" fillId="0" borderId="98" xfId="0" applyNumberFormat="1" applyBorder="1"/>
    <xf numFmtId="0" fontId="3" fillId="0" borderId="99" xfId="0" applyFont="1" applyBorder="1" applyAlignment="1">
      <alignment horizontal="left"/>
    </xf>
    <xf numFmtId="0" fontId="3" fillId="0" borderId="100" xfId="0" applyFont="1" applyBorder="1" applyAlignment="1">
      <alignment horizontal="center"/>
    </xf>
    <xf numFmtId="167" fontId="3" fillId="0" borderId="100" xfId="1" applyFont="1" applyFill="1" applyBorder="1" applyAlignment="1">
      <alignment horizontal="center"/>
    </xf>
    <xf numFmtId="9" fontId="3" fillId="0" borderId="100" xfId="0" applyNumberFormat="1" applyFont="1" applyBorder="1" applyAlignment="1">
      <alignment horizontal="center"/>
    </xf>
    <xf numFmtId="9" fontId="3" fillId="0" borderId="101" xfId="3" applyFont="1" applyFill="1" applyBorder="1" applyAlignment="1">
      <alignment horizontal="center"/>
    </xf>
    <xf numFmtId="9" fontId="3" fillId="0" borderId="102" xfId="0" applyNumberFormat="1" applyFont="1" applyBorder="1" applyAlignment="1">
      <alignment horizontal="center"/>
    </xf>
    <xf numFmtId="166" fontId="3" fillId="0" borderId="103" xfId="2" applyFont="1" applyFill="1" applyBorder="1" applyAlignment="1" applyProtection="1">
      <alignment horizontal="center"/>
    </xf>
    <xf numFmtId="166" fontId="3" fillId="0" borderId="104" xfId="2" applyFont="1" applyFill="1" applyBorder="1" applyAlignment="1" applyProtection="1">
      <alignment horizontal="center"/>
    </xf>
    <xf numFmtId="169" fontId="3" fillId="0" borderId="7" xfId="0" applyNumberFormat="1" applyFont="1" applyBorder="1" applyAlignment="1">
      <alignment horizontal="center"/>
    </xf>
    <xf numFmtId="166" fontId="3" fillId="0" borderId="43" xfId="0" applyNumberFormat="1" applyFont="1" applyBorder="1"/>
    <xf numFmtId="180" fontId="3" fillId="0" borderId="57" xfId="4" applyNumberFormat="1" applyFont="1" applyFill="1" applyBorder="1" applyAlignment="1" applyProtection="1">
      <alignment horizontal="right" vertical="center"/>
    </xf>
    <xf numFmtId="167" fontId="3" fillId="0" borderId="93" xfId="1" applyFont="1" applyBorder="1" applyAlignment="1">
      <alignment horizontal="center"/>
    </xf>
    <xf numFmtId="2" fontId="3" fillId="0" borderId="93" xfId="0" applyNumberFormat="1" applyFont="1" applyBorder="1" applyAlignment="1">
      <alignment horizontal="center"/>
    </xf>
    <xf numFmtId="166" fontId="3" fillId="0" borderId="93" xfId="2" applyFont="1" applyFill="1" applyBorder="1" applyAlignment="1" applyProtection="1">
      <alignment horizontal="center"/>
    </xf>
    <xf numFmtId="0" fontId="3" fillId="0" borderId="105" xfId="0" applyFont="1" applyBorder="1" applyAlignment="1">
      <alignment horizontal="left"/>
    </xf>
    <xf numFmtId="0" fontId="3" fillId="0" borderId="102" xfId="0" applyFont="1" applyBorder="1" applyAlignment="1">
      <alignment horizontal="center"/>
    </xf>
    <xf numFmtId="167" fontId="3" fillId="0" borderId="102" xfId="1" applyFont="1" applyBorder="1" applyAlignment="1">
      <alignment horizontal="center"/>
    </xf>
    <xf numFmtId="9" fontId="3" fillId="0" borderId="101" xfId="0" applyNumberFormat="1" applyFont="1" applyBorder="1" applyAlignment="1">
      <alignment horizontal="center"/>
    </xf>
    <xf numFmtId="166" fontId="3" fillId="0" borderId="102" xfId="2" applyFont="1" applyFill="1" applyBorder="1" applyAlignment="1" applyProtection="1">
      <alignment horizontal="center"/>
    </xf>
    <xf numFmtId="166" fontId="0" fillId="0" borderId="106" xfId="0" applyNumberFormat="1" applyBorder="1"/>
    <xf numFmtId="169" fontId="3" fillId="0" borderId="43" xfId="0" applyNumberFormat="1" applyFont="1" applyBorder="1"/>
    <xf numFmtId="166" fontId="0" fillId="0" borderId="43" xfId="0" applyNumberFormat="1" applyBorder="1"/>
    <xf numFmtId="180" fontId="3" fillId="0" borderId="57" xfId="4" applyNumberFormat="1" applyFont="1" applyFill="1" applyBorder="1" applyAlignment="1" applyProtection="1">
      <alignment horizontal="center" vertical="center"/>
    </xf>
    <xf numFmtId="167" fontId="0" fillId="0" borderId="0" xfId="1" applyFont="1" applyFill="1" applyBorder="1"/>
    <xf numFmtId="169" fontId="3" fillId="0" borderId="108" xfId="0" applyNumberFormat="1" applyFont="1" applyBorder="1" applyAlignment="1">
      <alignment horizontal="center"/>
    </xf>
    <xf numFmtId="166" fontId="3" fillId="0" borderId="109" xfId="0" applyNumberFormat="1" applyFont="1" applyBorder="1"/>
    <xf numFmtId="169" fontId="3" fillId="0" borderId="108" xfId="0" applyNumberFormat="1" applyFont="1" applyBorder="1"/>
    <xf numFmtId="166" fontId="0" fillId="0" borderId="109" xfId="0" applyNumberFormat="1" applyBorder="1"/>
    <xf numFmtId="181" fontId="2" fillId="6" borderId="26" xfId="0" applyNumberFormat="1" applyFont="1" applyFill="1" applyBorder="1"/>
    <xf numFmtId="182" fontId="7" fillId="0" borderId="57" xfId="0" applyNumberFormat="1" applyFont="1" applyBorder="1" applyAlignment="1">
      <alignment vertical="top"/>
    </xf>
    <xf numFmtId="0" fontId="8" fillId="0" borderId="60" xfId="0" applyFont="1" applyBorder="1" applyAlignment="1">
      <alignment vertical="top"/>
    </xf>
    <xf numFmtId="10" fontId="8" fillId="0" borderId="60" xfId="3" applyNumberFormat="1" applyFont="1" applyBorder="1" applyAlignment="1">
      <alignment horizontal="center" vertical="top"/>
    </xf>
    <xf numFmtId="174" fontId="8" fillId="0" borderId="60" xfId="0" applyNumberFormat="1" applyFont="1" applyBorder="1" applyAlignment="1">
      <alignment vertical="top"/>
    </xf>
    <xf numFmtId="0" fontId="8" fillId="0" borderId="22" xfId="0" applyFont="1" applyBorder="1" applyAlignment="1">
      <alignment vertical="top"/>
    </xf>
    <xf numFmtId="10" fontId="8" fillId="0" borderId="22" xfId="3" applyNumberFormat="1" applyFont="1" applyBorder="1" applyAlignment="1">
      <alignment horizontal="center" vertical="top"/>
    </xf>
    <xf numFmtId="174" fontId="8" fillId="0" borderId="22" xfId="0" applyNumberFormat="1" applyFont="1" applyBorder="1" applyAlignment="1">
      <alignment vertical="top"/>
    </xf>
    <xf numFmtId="0" fontId="21" fillId="16" borderId="67" xfId="0" applyFont="1" applyFill="1" applyBorder="1"/>
    <xf numFmtId="0" fontId="8" fillId="16" borderId="67" xfId="0" applyFont="1" applyFill="1" applyBorder="1" applyAlignment="1">
      <alignment vertical="top"/>
    </xf>
    <xf numFmtId="174" fontId="8" fillId="16" borderId="67" xfId="0" applyNumberFormat="1" applyFont="1" applyFill="1" applyBorder="1" applyAlignment="1">
      <alignment vertical="top"/>
    </xf>
    <xf numFmtId="10" fontId="7" fillId="16" borderId="67" xfId="3" applyNumberFormat="1" applyFont="1" applyFill="1" applyBorder="1" applyAlignment="1">
      <alignment horizontal="center" vertical="top"/>
    </xf>
    <xf numFmtId="3" fontId="8" fillId="0" borderId="0" xfId="0" applyNumberFormat="1" applyFont="1" applyAlignment="1">
      <alignment vertical="top"/>
    </xf>
    <xf numFmtId="10" fontId="8" fillId="0" borderId="0" xfId="0" applyNumberFormat="1" applyFont="1" applyAlignment="1">
      <alignment vertical="top"/>
    </xf>
    <xf numFmtId="0" fontId="7" fillId="0" borderId="67" xfId="0" applyFont="1" applyBorder="1" applyAlignment="1">
      <alignment horizontal="center" vertical="center"/>
    </xf>
    <xf numFmtId="10" fontId="7" fillId="0" borderId="67" xfId="3" applyNumberFormat="1" applyFont="1" applyBorder="1" applyAlignment="1">
      <alignment horizontal="center" vertical="center"/>
    </xf>
    <xf numFmtId="175" fontId="10" fillId="8" borderId="26" xfId="0" applyNumberFormat="1" applyFont="1" applyFill="1" applyBorder="1" applyAlignment="1">
      <alignment horizontal="center" vertical="center"/>
    </xf>
    <xf numFmtId="0" fontId="2" fillId="5" borderId="112" xfId="0" applyFont="1" applyFill="1" applyBorder="1" applyAlignment="1">
      <alignment horizontal="center" vertical="center"/>
    </xf>
    <xf numFmtId="0" fontId="2" fillId="5" borderId="113" xfId="0" applyFont="1" applyFill="1" applyBorder="1" applyAlignment="1">
      <alignment horizontal="center" vertical="center"/>
    </xf>
    <xf numFmtId="166" fontId="3" fillId="0" borderId="114" xfId="2" applyFont="1" applyFill="1" applyBorder="1" applyAlignment="1" applyProtection="1">
      <alignment horizontal="center"/>
    </xf>
    <xf numFmtId="166" fontId="0" fillId="0" borderId="115" xfId="0" applyNumberFormat="1" applyBorder="1"/>
    <xf numFmtId="166" fontId="3" fillId="0" borderId="116" xfId="2" applyFont="1" applyFill="1" applyBorder="1" applyAlignment="1" applyProtection="1">
      <alignment horizontal="center"/>
    </xf>
    <xf numFmtId="166" fontId="0" fillId="0" borderId="117" xfId="0" applyNumberFormat="1" applyBorder="1"/>
    <xf numFmtId="166" fontId="3" fillId="0" borderId="118" xfId="2" applyFont="1" applyFill="1" applyBorder="1" applyAlignment="1" applyProtection="1">
      <alignment horizontal="center"/>
    </xf>
    <xf numFmtId="166" fontId="0" fillId="0" borderId="119" xfId="0" applyNumberFormat="1" applyBorder="1"/>
    <xf numFmtId="166" fontId="3" fillId="0" borderId="120" xfId="2" applyFont="1" applyFill="1" applyBorder="1" applyAlignment="1" applyProtection="1">
      <alignment horizontal="center"/>
    </xf>
    <xf numFmtId="166" fontId="3" fillId="0" borderId="121" xfId="2" applyFont="1" applyFill="1" applyBorder="1" applyAlignment="1" applyProtection="1">
      <alignment horizontal="center"/>
    </xf>
    <xf numFmtId="166" fontId="3" fillId="0" borderId="122" xfId="2" applyFont="1" applyFill="1" applyBorder="1" applyAlignment="1" applyProtection="1">
      <alignment horizontal="center"/>
    </xf>
    <xf numFmtId="166" fontId="3" fillId="0" borderId="123" xfId="2" applyFont="1" applyFill="1" applyBorder="1" applyAlignment="1" applyProtection="1">
      <alignment horizontal="center"/>
    </xf>
    <xf numFmtId="166" fontId="0" fillId="0" borderId="123" xfId="0" applyNumberFormat="1" applyBorder="1"/>
    <xf numFmtId="169" fontId="3" fillId="0" borderId="0" xfId="0" applyNumberFormat="1" applyFont="1" applyFill="1" applyProtection="1">
      <protection locked="0"/>
    </xf>
    <xf numFmtId="169" fontId="3" fillId="0" borderId="0" xfId="0" applyNumberFormat="1" applyFont="1" applyFill="1" applyAlignment="1">
      <alignment horizontal="right"/>
    </xf>
    <xf numFmtId="167" fontId="0" fillId="0" borderId="57" xfId="1" applyFont="1" applyBorder="1"/>
    <xf numFmtId="166" fontId="3" fillId="0" borderId="64" xfId="2" applyFont="1" applyFill="1" applyBorder="1" applyAlignment="1" applyProtection="1">
      <alignment vertical="center"/>
      <protection locked="0"/>
    </xf>
    <xf numFmtId="166" fontId="3" fillId="0" borderId="74" xfId="2" applyFont="1" applyFill="1" applyBorder="1" applyAlignment="1" applyProtection="1">
      <alignment vertical="center"/>
      <protection locked="0"/>
    </xf>
    <xf numFmtId="0" fontId="3" fillId="0" borderId="15" xfId="0" applyFont="1" applyFill="1" applyBorder="1"/>
    <xf numFmtId="177" fontId="10" fillId="0" borderId="1" xfId="7" applyNumberFormat="1" applyFont="1" applyBorder="1" applyAlignment="1">
      <alignment horizontal="center" vertical="center"/>
    </xf>
    <xf numFmtId="0" fontId="3" fillId="0" borderId="29" xfId="0" applyFont="1" applyFill="1" applyBorder="1" applyAlignment="1">
      <alignment horizontal="left"/>
    </xf>
    <xf numFmtId="0" fontId="3" fillId="0" borderId="15" xfId="0" applyFont="1" applyFill="1" applyBorder="1" applyAlignment="1">
      <alignment horizontal="left"/>
    </xf>
    <xf numFmtId="0" fontId="0" fillId="0" borderId="49" xfId="0" applyBorder="1" applyAlignment="1">
      <alignment horizontal="center"/>
    </xf>
    <xf numFmtId="175" fontId="0" fillId="0" borderId="0" xfId="0" applyNumberFormat="1"/>
    <xf numFmtId="44" fontId="0" fillId="0" borderId="0" xfId="0" applyNumberFormat="1" applyBorder="1"/>
    <xf numFmtId="177" fontId="10" fillId="0" borderId="0" xfId="7" applyNumberFormat="1" applyFont="1" applyBorder="1" applyAlignment="1">
      <alignment horizontal="center" vertical="center"/>
    </xf>
    <xf numFmtId="164" fontId="0" fillId="0" borderId="0" xfId="0" applyNumberFormat="1"/>
    <xf numFmtId="0" fontId="14" fillId="14" borderId="0" xfId="0" applyFont="1" applyFill="1" applyAlignment="1">
      <alignment horizontal="left" vertical="center"/>
    </xf>
    <xf numFmtId="0" fontId="14" fillId="14" borderId="65" xfId="0" applyFont="1" applyFill="1" applyBorder="1" applyAlignment="1">
      <alignment horizontal="left" vertical="center"/>
    </xf>
    <xf numFmtId="0" fontId="0" fillId="0" borderId="57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60" xfId="0" applyBorder="1" applyAlignment="1">
      <alignment horizontal="center"/>
    </xf>
    <xf numFmtId="0" fontId="2" fillId="10" borderId="69" xfId="0" applyFont="1" applyFill="1" applyBorder="1" applyAlignment="1">
      <alignment horizontal="center"/>
    </xf>
    <xf numFmtId="0" fontId="2" fillId="10" borderId="85" xfId="0" applyFont="1" applyFill="1" applyBorder="1" applyAlignment="1">
      <alignment horizontal="center"/>
    </xf>
    <xf numFmtId="0" fontId="2" fillId="10" borderId="86" xfId="0" applyFont="1" applyFill="1" applyBorder="1" applyAlignment="1">
      <alignment horizontal="center"/>
    </xf>
    <xf numFmtId="0" fontId="2" fillId="10" borderId="63" xfId="0" applyFont="1" applyFill="1" applyBorder="1" applyAlignment="1">
      <alignment horizontal="left"/>
    </xf>
    <xf numFmtId="0" fontId="2" fillId="10" borderId="59" xfId="0" applyFont="1" applyFill="1" applyBorder="1" applyAlignment="1">
      <alignment horizontal="left"/>
    </xf>
    <xf numFmtId="0" fontId="14" fillId="14" borderId="0" xfId="0" applyFont="1" applyFill="1" applyAlignment="1">
      <alignment horizontal="left" vertical="center" wrapText="1"/>
    </xf>
    <xf numFmtId="0" fontId="14" fillId="14" borderId="65" xfId="0" applyFont="1" applyFill="1" applyBorder="1" applyAlignment="1">
      <alignment horizontal="left" vertical="center" wrapText="1"/>
    </xf>
    <xf numFmtId="0" fontId="18" fillId="13" borderId="79" xfId="6" applyFont="1" applyFill="1" applyBorder="1" applyAlignment="1">
      <alignment horizontal="center" vertical="center" wrapText="1"/>
    </xf>
    <xf numFmtId="0" fontId="18" fillId="13" borderId="80" xfId="6" applyFont="1" applyFill="1" applyBorder="1" applyAlignment="1">
      <alignment horizontal="center" vertical="center" wrapText="1"/>
    </xf>
    <xf numFmtId="0" fontId="18" fillId="13" borderId="81" xfId="6" applyFont="1" applyFill="1" applyBorder="1" applyAlignment="1">
      <alignment horizontal="center" vertical="center" wrapText="1"/>
    </xf>
    <xf numFmtId="0" fontId="18" fillId="13" borderId="82" xfId="6" applyFont="1" applyFill="1" applyBorder="1" applyAlignment="1">
      <alignment horizontal="center" vertical="center" wrapText="1"/>
    </xf>
    <xf numFmtId="0" fontId="19" fillId="0" borderId="87" xfId="6" applyFont="1" applyBorder="1" applyAlignment="1">
      <alignment horizontal="center" vertical="center" wrapText="1"/>
    </xf>
    <xf numFmtId="0" fontId="19" fillId="0" borderId="58" xfId="6" applyFont="1" applyBorder="1" applyAlignment="1">
      <alignment horizontal="center" vertical="center" wrapText="1"/>
    </xf>
    <xf numFmtId="0" fontId="19" fillId="0" borderId="59" xfId="6" applyFont="1" applyBorder="1" applyAlignment="1">
      <alignment horizontal="center" vertical="center" wrapText="1"/>
    </xf>
    <xf numFmtId="0" fontId="20" fillId="0" borderId="88" xfId="6" applyFont="1" applyBorder="1" applyAlignment="1">
      <alignment horizontal="center" vertical="center" wrapText="1"/>
    </xf>
    <xf numFmtId="0" fontId="20" fillId="0" borderId="72" xfId="6" applyFont="1" applyBorder="1" applyAlignment="1">
      <alignment horizontal="center" vertical="center" wrapText="1"/>
    </xf>
    <xf numFmtId="0" fontId="20" fillId="0" borderId="36" xfId="6" applyFont="1" applyBorder="1" applyAlignment="1">
      <alignment horizontal="center" vertical="center" wrapText="1"/>
    </xf>
    <xf numFmtId="0" fontId="20" fillId="0" borderId="81" xfId="6" applyFont="1" applyBorder="1" applyAlignment="1">
      <alignment horizontal="center" vertical="center" wrapText="1"/>
    </xf>
    <xf numFmtId="0" fontId="20" fillId="0" borderId="0" xfId="6" applyFont="1" applyBorder="1" applyAlignment="1">
      <alignment horizontal="center" vertical="center" wrapText="1"/>
    </xf>
    <xf numFmtId="0" fontId="20" fillId="0" borderId="65" xfId="6" applyFont="1" applyBorder="1" applyAlignment="1">
      <alignment horizontal="center" vertical="center" wrapText="1"/>
    </xf>
    <xf numFmtId="0" fontId="20" fillId="0" borderId="82" xfId="6" applyFont="1" applyBorder="1" applyAlignment="1">
      <alignment horizontal="center" vertical="center" wrapText="1"/>
    </xf>
    <xf numFmtId="0" fontId="20" fillId="0" borderId="83" xfId="6" applyFont="1" applyBorder="1" applyAlignment="1">
      <alignment horizontal="center" vertical="center" wrapText="1"/>
    </xf>
    <xf numFmtId="0" fontId="20" fillId="0" borderId="89" xfId="6" applyFont="1" applyBorder="1" applyAlignment="1">
      <alignment horizontal="center" vertical="center" wrapText="1"/>
    </xf>
    <xf numFmtId="0" fontId="20" fillId="0" borderId="84" xfId="6" applyFont="1" applyBorder="1" applyAlignment="1">
      <alignment horizontal="center" vertical="center" wrapText="1"/>
    </xf>
    <xf numFmtId="177" fontId="10" fillId="0" borderId="107" xfId="7" applyNumberFormat="1" applyFont="1" applyBorder="1" applyAlignment="1">
      <alignment horizontal="center" vertical="center"/>
    </xf>
    <xf numFmtId="177" fontId="10" fillId="0" borderId="110" xfId="7" applyNumberFormat="1" applyFont="1" applyBorder="1" applyAlignment="1">
      <alignment horizontal="center" vertical="center"/>
    </xf>
    <xf numFmtId="177" fontId="10" fillId="0" borderId="111" xfId="7" applyNumberFormat="1" applyFont="1" applyBorder="1" applyAlignment="1">
      <alignment horizontal="center" vertical="center"/>
    </xf>
    <xf numFmtId="1" fontId="10" fillId="0" borderId="46" xfId="7" applyNumberFormat="1" applyFont="1" applyBorder="1" applyAlignment="1">
      <alignment horizontal="center" vertical="center"/>
    </xf>
    <xf numFmtId="1" fontId="10" fillId="0" borderId="70" xfId="7" applyNumberFormat="1" applyFont="1" applyBorder="1" applyAlignment="1">
      <alignment horizontal="center" vertical="center"/>
    </xf>
    <xf numFmtId="1" fontId="10" fillId="0" borderId="47" xfId="7" applyNumberFormat="1" applyFont="1" applyBorder="1" applyAlignment="1">
      <alignment horizontal="center" vertical="center"/>
    </xf>
    <xf numFmtId="1" fontId="10" fillId="0" borderId="25" xfId="7" applyNumberFormat="1" applyFont="1" applyBorder="1" applyAlignment="1">
      <alignment horizontal="center" vertical="center"/>
    </xf>
    <xf numFmtId="1" fontId="10" fillId="0" borderId="34" xfId="7" applyNumberFormat="1" applyFont="1" applyBorder="1" applyAlignment="1">
      <alignment horizontal="center" vertical="center"/>
    </xf>
    <xf numFmtId="1" fontId="10" fillId="0" borderId="26" xfId="7" applyNumberFormat="1" applyFont="1" applyBorder="1" applyAlignment="1">
      <alignment horizontal="center" vertical="center"/>
    </xf>
    <xf numFmtId="177" fontId="13" fillId="0" borderId="0" xfId="7" applyNumberFormat="1" applyFont="1" applyAlignment="1">
      <alignment horizontal="center" vertical="center"/>
    </xf>
    <xf numFmtId="0" fontId="16" fillId="15" borderId="57" xfId="7" applyFont="1" applyFill="1" applyBorder="1" applyAlignment="1">
      <alignment horizontal="center"/>
    </xf>
    <xf numFmtId="0" fontId="16" fillId="15" borderId="16" xfId="7" applyFont="1" applyFill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17" fillId="0" borderId="11" xfId="6" applyFont="1" applyBorder="1" applyAlignment="1">
      <alignment vertical="center" wrapText="1"/>
    </xf>
    <xf numFmtId="0" fontId="17" fillId="0" borderId="71" xfId="6" applyFont="1" applyBorder="1" applyAlignment="1">
      <alignment vertical="center" wrapText="1"/>
    </xf>
    <xf numFmtId="0" fontId="17" fillId="0" borderId="17" xfId="6" applyFont="1" applyBorder="1" applyAlignment="1">
      <alignment vertical="center" wrapText="1"/>
    </xf>
    <xf numFmtId="3" fontId="10" fillId="8" borderId="21" xfId="6" applyNumberFormat="1" applyFont="1" applyFill="1" applyBorder="1" applyAlignment="1">
      <alignment horizontal="right" vertical="center"/>
    </xf>
    <xf numFmtId="3" fontId="10" fillId="8" borderId="71" xfId="6" applyNumberFormat="1" applyFont="1" applyFill="1" applyBorder="1" applyAlignment="1">
      <alignment horizontal="right" vertical="center"/>
    </xf>
    <xf numFmtId="0" fontId="17" fillId="8" borderId="10" xfId="6" applyFont="1" applyFill="1" applyBorder="1" applyAlignment="1">
      <alignment vertical="center" wrapText="1"/>
    </xf>
    <xf numFmtId="0" fontId="17" fillId="8" borderId="32" xfId="6" applyFont="1" applyFill="1" applyBorder="1" applyAlignment="1">
      <alignment vertical="center" wrapText="1"/>
    </xf>
    <xf numFmtId="0" fontId="17" fillId="8" borderId="14" xfId="6" applyFont="1" applyFill="1" applyBorder="1" applyAlignment="1">
      <alignment vertical="center" wrapText="1"/>
    </xf>
    <xf numFmtId="3" fontId="10" fillId="8" borderId="37" xfId="6" applyNumberFormat="1" applyFont="1" applyFill="1" applyBorder="1" applyAlignment="1">
      <alignment horizontal="center" vertical="center" wrapText="1"/>
    </xf>
    <xf numFmtId="3" fontId="10" fillId="8" borderId="32" xfId="6" applyNumberFormat="1" applyFont="1" applyFill="1" applyBorder="1" applyAlignment="1">
      <alignment horizontal="center" vertical="center" wrapText="1"/>
    </xf>
    <xf numFmtId="0" fontId="17" fillId="8" borderId="15" xfId="6" applyFont="1" applyFill="1" applyBorder="1" applyAlignment="1">
      <alignment vertical="center" wrapText="1"/>
    </xf>
    <xf numFmtId="0" fontId="17" fillId="8" borderId="59" xfId="6" applyFont="1" applyFill="1" applyBorder="1" applyAlignment="1">
      <alignment vertical="center" wrapText="1"/>
    </xf>
    <xf numFmtId="0" fontId="17" fillId="8" borderId="57" xfId="6" applyFont="1" applyFill="1" applyBorder="1" applyAlignment="1">
      <alignment vertical="center" wrapText="1"/>
    </xf>
    <xf numFmtId="0" fontId="10" fillId="8" borderId="63" xfId="6" applyFont="1" applyFill="1" applyBorder="1" applyAlignment="1">
      <alignment horizontal="right" vertical="center" wrapText="1"/>
    </xf>
    <xf numFmtId="0" fontId="10" fillId="8" borderId="59" xfId="6" applyFont="1" applyFill="1" applyBorder="1" applyAlignment="1">
      <alignment horizontal="right" vertical="center" wrapText="1"/>
    </xf>
    <xf numFmtId="0" fontId="17" fillId="0" borderId="15" xfId="0" applyFont="1" applyBorder="1" applyAlignment="1">
      <alignment vertical="center" wrapText="1"/>
    </xf>
    <xf numFmtId="0" fontId="17" fillId="0" borderId="59" xfId="0" applyFont="1" applyBorder="1" applyAlignment="1">
      <alignment vertical="center" wrapText="1"/>
    </xf>
    <xf numFmtId="0" fontId="17" fillId="0" borderId="57" xfId="0" applyFont="1" applyBorder="1" applyAlignment="1">
      <alignment vertical="center" wrapText="1"/>
    </xf>
    <xf numFmtId="3" fontId="10" fillId="8" borderId="63" xfId="6" applyNumberFormat="1" applyFont="1" applyFill="1" applyBorder="1" applyAlignment="1">
      <alignment horizontal="right" vertical="center" wrapText="1"/>
    </xf>
    <xf numFmtId="3" fontId="10" fillId="8" borderId="59" xfId="6" applyNumberFormat="1" applyFont="1" applyFill="1" applyBorder="1" applyAlignment="1">
      <alignment horizontal="right" vertical="center" wrapText="1"/>
    </xf>
    <xf numFmtId="3" fontId="22" fillId="8" borderId="63" xfId="6" applyNumberFormat="1" applyFont="1" applyFill="1" applyBorder="1" applyAlignment="1">
      <alignment horizontal="right" vertical="center"/>
    </xf>
    <xf numFmtId="3" fontId="22" fillId="8" borderId="59" xfId="6" applyNumberFormat="1" applyFont="1" applyFill="1" applyBorder="1" applyAlignment="1">
      <alignment horizontal="right" vertical="center"/>
    </xf>
    <xf numFmtId="167" fontId="0" fillId="0" borderId="0" xfId="0" applyNumberFormat="1" applyAlignment="1">
      <alignment horizontal="center"/>
    </xf>
    <xf numFmtId="169" fontId="3" fillId="6" borderId="25" xfId="0" applyNumberFormat="1" applyFont="1" applyFill="1" applyBorder="1" applyAlignment="1">
      <alignment horizontal="center"/>
    </xf>
    <xf numFmtId="169" fontId="3" fillId="6" borderId="26" xfId="0" applyNumberFormat="1" applyFont="1" applyFill="1" applyBorder="1" applyAlignment="1">
      <alignment horizontal="center"/>
    </xf>
    <xf numFmtId="9" fontId="3" fillId="0" borderId="57" xfId="3" applyFont="1" applyFill="1" applyBorder="1" applyAlignment="1" applyProtection="1">
      <alignment horizontal="center" vertical="center"/>
    </xf>
    <xf numFmtId="166" fontId="3" fillId="0" borderId="64" xfId="2" applyFont="1" applyFill="1" applyBorder="1" applyAlignment="1" applyProtection="1">
      <alignment horizontal="center" vertical="center"/>
      <protection locked="0"/>
    </xf>
    <xf numFmtId="166" fontId="3" fillId="0" borderId="74" xfId="2" applyFont="1" applyFill="1" applyBorder="1" applyAlignment="1" applyProtection="1">
      <alignment horizontal="center" vertical="center"/>
      <protection locked="0"/>
    </xf>
    <xf numFmtId="166" fontId="3" fillId="0" borderId="63" xfId="2" applyFont="1" applyFill="1" applyBorder="1" applyAlignment="1" applyProtection="1">
      <alignment horizontal="center" wrapText="1"/>
    </xf>
    <xf numFmtId="166" fontId="3" fillId="0" borderId="73" xfId="2" applyFont="1" applyFill="1" applyBorder="1" applyAlignment="1" applyProtection="1">
      <alignment horizontal="center" wrapText="1"/>
    </xf>
    <xf numFmtId="10" fontId="3" fillId="0" borderId="63" xfId="0" applyNumberFormat="1" applyFont="1" applyBorder="1" applyAlignment="1">
      <alignment horizontal="center"/>
    </xf>
    <xf numFmtId="10" fontId="3" fillId="0" borderId="58" xfId="0" applyNumberFormat="1" applyFont="1" applyBorder="1" applyAlignment="1">
      <alignment horizontal="center"/>
    </xf>
    <xf numFmtId="10" fontId="3" fillId="0" borderId="59" xfId="0" applyNumberFormat="1" applyFont="1" applyBorder="1" applyAlignment="1">
      <alignment horizontal="center"/>
    </xf>
    <xf numFmtId="166" fontId="3" fillId="0" borderId="63" xfId="2" applyFont="1" applyFill="1" applyBorder="1" applyAlignment="1" applyProtection="1">
      <alignment horizontal="center"/>
    </xf>
    <xf numFmtId="166" fontId="3" fillId="0" borderId="73" xfId="2" applyFont="1" applyFill="1" applyBorder="1" applyAlignment="1" applyProtection="1">
      <alignment horizontal="center"/>
    </xf>
    <xf numFmtId="10" fontId="3" fillId="0" borderId="17" xfId="3" applyNumberFormat="1" applyFont="1" applyFill="1" applyBorder="1" applyAlignment="1" applyProtection="1">
      <alignment horizontal="center" vertical="center"/>
    </xf>
    <xf numFmtId="9" fontId="3" fillId="0" borderId="17" xfId="3" applyFont="1" applyFill="1" applyBorder="1" applyAlignment="1" applyProtection="1">
      <alignment horizontal="center" vertical="center"/>
    </xf>
    <xf numFmtId="166" fontId="3" fillId="0" borderId="57" xfId="2" applyFont="1" applyFill="1" applyBorder="1" applyAlignment="1" applyProtection="1">
      <alignment horizontal="center" vertical="center"/>
      <protection locked="0"/>
    </xf>
    <xf numFmtId="0" fontId="3" fillId="0" borderId="35" xfId="0" applyFont="1" applyBorder="1" applyAlignment="1">
      <alignment horizontal="center" wrapText="1"/>
    </xf>
    <xf numFmtId="0" fontId="3" fillId="0" borderId="24" xfId="0" applyFont="1" applyBorder="1" applyAlignment="1">
      <alignment horizontal="center" wrapText="1"/>
    </xf>
    <xf numFmtId="0" fontId="2" fillId="5" borderId="25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3" fillId="0" borderId="63" xfId="0" applyFont="1" applyBorder="1" applyAlignment="1">
      <alignment horizontal="center" wrapText="1"/>
    </xf>
    <xf numFmtId="0" fontId="3" fillId="0" borderId="59" xfId="0" applyFont="1" applyBorder="1" applyAlignment="1">
      <alignment horizontal="center" wrapText="1"/>
    </xf>
    <xf numFmtId="166" fontId="3" fillId="0" borderId="21" xfId="2" applyFont="1" applyFill="1" applyBorder="1" applyAlignment="1" applyProtection="1">
      <alignment horizontal="center" vertical="center"/>
      <protection locked="0"/>
    </xf>
    <xf numFmtId="166" fontId="3" fillId="0" borderId="44" xfId="2" applyFont="1" applyFill="1" applyBorder="1" applyAlignment="1" applyProtection="1">
      <alignment horizontal="center" vertical="center"/>
      <protection locked="0"/>
    </xf>
    <xf numFmtId="0" fontId="3" fillId="0" borderId="27" xfId="0" applyFont="1" applyBorder="1" applyAlignment="1">
      <alignment horizontal="center"/>
    </xf>
    <xf numFmtId="0" fontId="3" fillId="4" borderId="13" xfId="0" applyFont="1" applyFill="1" applyBorder="1" applyAlignment="1">
      <alignment horizontal="center" vertical="center" textRotation="90"/>
    </xf>
    <xf numFmtId="0" fontId="3" fillId="4" borderId="33" xfId="0" applyFont="1" applyFill="1" applyBorder="1" applyAlignment="1">
      <alignment horizontal="center" vertical="center" textRotation="90"/>
    </xf>
    <xf numFmtId="0" fontId="3" fillId="4" borderId="43" xfId="0" applyFont="1" applyFill="1" applyBorder="1" applyAlignment="1">
      <alignment horizontal="center" vertical="center" textRotation="90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0" fontId="3" fillId="0" borderId="22" xfId="3" applyNumberFormat="1" applyFont="1" applyFill="1" applyBorder="1" applyAlignment="1" applyProtection="1">
      <alignment horizontal="center" vertical="center"/>
    </xf>
    <xf numFmtId="9" fontId="3" fillId="0" borderId="14" xfId="3" applyFont="1" applyFill="1" applyBorder="1" applyAlignment="1" applyProtection="1">
      <alignment horizontal="center" vertical="center"/>
    </xf>
    <xf numFmtId="10" fontId="3" fillId="0" borderId="57" xfId="3" applyNumberFormat="1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>
      <alignment horizontal="center" vertical="center" textRotation="90"/>
    </xf>
    <xf numFmtId="0" fontId="4" fillId="2" borderId="5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 textRotation="90"/>
    </xf>
    <xf numFmtId="0" fontId="3" fillId="4" borderId="12" xfId="0" applyFont="1" applyFill="1" applyBorder="1" applyAlignment="1">
      <alignment horizontal="center" vertical="center" textRotation="90" wrapText="1"/>
    </xf>
    <xf numFmtId="0" fontId="4" fillId="0" borderId="45" xfId="0" applyFont="1" applyBorder="1" applyAlignment="1">
      <alignment horizontal="right"/>
    </xf>
    <xf numFmtId="0" fontId="4" fillId="0" borderId="46" xfId="0" applyFont="1" applyBorder="1" applyAlignment="1">
      <alignment horizontal="right"/>
    </xf>
    <xf numFmtId="0" fontId="4" fillId="0" borderId="47" xfId="0" applyFont="1" applyBorder="1" applyAlignment="1">
      <alignment horizontal="right"/>
    </xf>
    <xf numFmtId="0" fontId="3" fillId="4" borderId="18" xfId="0" applyFont="1" applyFill="1" applyBorder="1" applyAlignment="1">
      <alignment horizontal="center" vertical="center" textRotation="90" wrapText="1"/>
    </xf>
    <xf numFmtId="0" fontId="3" fillId="4" borderId="19" xfId="0" applyFont="1" applyFill="1" applyBorder="1" applyAlignment="1">
      <alignment horizontal="center" vertical="center" textRotation="90" wrapText="1"/>
    </xf>
    <xf numFmtId="0" fontId="3" fillId="4" borderId="23" xfId="0" applyFont="1" applyFill="1" applyBorder="1" applyAlignment="1">
      <alignment horizontal="center" vertical="center" textRotation="90" wrapText="1"/>
    </xf>
    <xf numFmtId="0" fontId="3" fillId="4" borderId="20" xfId="0" applyFont="1" applyFill="1" applyBorder="1" applyAlignment="1">
      <alignment horizontal="center" vertical="center" textRotation="90" wrapText="1"/>
    </xf>
    <xf numFmtId="0" fontId="4" fillId="0" borderId="31" xfId="0" applyFont="1" applyBorder="1" applyAlignment="1">
      <alignment horizontal="right"/>
    </xf>
    <xf numFmtId="0" fontId="4" fillId="0" borderId="35" xfId="0" applyFont="1" applyBorder="1" applyAlignment="1">
      <alignment horizontal="right"/>
    </xf>
    <xf numFmtId="0" fontId="4" fillId="0" borderId="49" xfId="0" applyFont="1" applyBorder="1" applyAlignment="1">
      <alignment horizontal="right"/>
    </xf>
    <xf numFmtId="0" fontId="5" fillId="4" borderId="18" xfId="0" applyFont="1" applyFill="1" applyBorder="1" applyAlignment="1">
      <alignment horizontal="center" vertical="center" textRotation="90"/>
    </xf>
    <xf numFmtId="0" fontId="5" fillId="4" borderId="41" xfId="0" applyFont="1" applyFill="1" applyBorder="1" applyAlignment="1">
      <alignment horizontal="center" vertical="center" textRotation="90"/>
    </xf>
    <xf numFmtId="0" fontId="5" fillId="4" borderId="20" xfId="0" applyFont="1" applyFill="1" applyBorder="1" applyAlignment="1">
      <alignment horizontal="center" vertical="center" textRotation="90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 vertical="justify"/>
    </xf>
    <xf numFmtId="0" fontId="2" fillId="0" borderId="8" xfId="0" applyFont="1" applyBorder="1" applyAlignment="1">
      <alignment horizontal="center"/>
    </xf>
    <xf numFmtId="0" fontId="0" fillId="4" borderId="13" xfId="0" applyFill="1" applyBorder="1" applyAlignment="1">
      <alignment horizontal="center" textRotation="90"/>
    </xf>
    <xf numFmtId="0" fontId="0" fillId="4" borderId="33" xfId="0" applyFill="1" applyBorder="1" applyAlignment="1">
      <alignment horizontal="center" textRotation="90"/>
    </xf>
    <xf numFmtId="0" fontId="0" fillId="4" borderId="43" xfId="0" applyFill="1" applyBorder="1" applyAlignment="1">
      <alignment horizontal="center" textRotation="90"/>
    </xf>
    <xf numFmtId="10" fontId="0" fillId="0" borderId="48" xfId="0" applyNumberFormat="1" applyBorder="1" applyAlignment="1">
      <alignment horizontal="center"/>
    </xf>
    <xf numFmtId="10" fontId="0" fillId="0" borderId="40" xfId="0" applyNumberFormat="1" applyBorder="1" applyAlignment="1">
      <alignment horizontal="center"/>
    </xf>
    <xf numFmtId="9" fontId="3" fillId="0" borderId="37" xfId="0" applyNumberFormat="1" applyFont="1" applyBorder="1" applyAlignment="1">
      <alignment horizontal="center"/>
    </xf>
    <xf numFmtId="9" fontId="3" fillId="0" borderId="40" xfId="0" applyNumberFormat="1" applyFont="1" applyBorder="1" applyAlignment="1">
      <alignment horizontal="center"/>
    </xf>
    <xf numFmtId="9" fontId="3" fillId="0" borderId="32" xfId="0" applyNumberFormat="1" applyFont="1" applyBorder="1" applyAlignment="1">
      <alignment horizontal="center"/>
    </xf>
    <xf numFmtId="166" fontId="3" fillId="0" borderId="37" xfId="2" applyFont="1" applyFill="1" applyBorder="1" applyAlignment="1" applyProtection="1">
      <alignment horizontal="center"/>
    </xf>
    <xf numFmtId="166" fontId="3" fillId="0" borderId="38" xfId="2" applyFont="1" applyFill="1" applyBorder="1" applyAlignment="1" applyProtection="1">
      <alignment horizontal="center"/>
    </xf>
    <xf numFmtId="170" fontId="3" fillId="0" borderId="63" xfId="0" applyNumberFormat="1" applyFont="1" applyBorder="1" applyAlignment="1">
      <alignment horizontal="center"/>
    </xf>
    <xf numFmtId="170" fontId="3" fillId="0" borderId="58" xfId="0" applyNumberFormat="1" applyFont="1" applyBorder="1" applyAlignment="1">
      <alignment horizontal="center"/>
    </xf>
    <xf numFmtId="170" fontId="3" fillId="0" borderId="59" xfId="0" applyNumberFormat="1" applyFont="1" applyBorder="1" applyAlignment="1">
      <alignment horizontal="center"/>
    </xf>
    <xf numFmtId="10" fontId="0" fillId="0" borderId="42" xfId="0" applyNumberFormat="1" applyBorder="1" applyAlignment="1">
      <alignment horizontal="center"/>
    </xf>
    <xf numFmtId="10" fontId="0" fillId="0" borderId="58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0" fontId="2" fillId="5" borderId="2" xfId="0" applyFont="1" applyFill="1" applyBorder="1" applyAlignment="1">
      <alignment horizontal="center" vertical="justify"/>
    </xf>
    <xf numFmtId="0" fontId="2" fillId="5" borderId="3" xfId="0" applyFont="1" applyFill="1" applyBorder="1" applyAlignment="1">
      <alignment horizontal="center" vertical="justify"/>
    </xf>
    <xf numFmtId="0" fontId="2" fillId="5" borderId="4" xfId="0" applyFont="1" applyFill="1" applyBorder="1" applyAlignment="1">
      <alignment horizontal="center" vertical="justify"/>
    </xf>
    <xf numFmtId="166" fontId="3" fillId="0" borderId="57" xfId="2" applyFont="1" applyFill="1" applyBorder="1" applyAlignment="1" applyProtection="1">
      <alignment horizontal="center" vertical="center"/>
    </xf>
    <xf numFmtId="0" fontId="3" fillId="4" borderId="57" xfId="0" applyFont="1" applyFill="1" applyBorder="1" applyAlignment="1">
      <alignment horizontal="center" vertical="center" textRotation="90"/>
    </xf>
    <xf numFmtId="10" fontId="0" fillId="0" borderId="51" xfId="0" applyNumberFormat="1" applyBorder="1" applyAlignment="1">
      <alignment horizontal="center"/>
    </xf>
    <xf numFmtId="10" fontId="0" fillId="0" borderId="39" xfId="0" applyNumberFormat="1" applyBorder="1" applyAlignment="1">
      <alignment horizontal="center"/>
    </xf>
    <xf numFmtId="0" fontId="0" fillId="0" borderId="39" xfId="0" applyBorder="1" applyAlignment="1">
      <alignment horizontal="center"/>
    </xf>
    <xf numFmtId="0" fontId="23" fillId="0" borderId="15" xfId="6" applyFont="1" applyBorder="1" applyAlignment="1">
      <alignment vertical="center" wrapText="1"/>
    </xf>
    <xf numFmtId="0" fontId="23" fillId="0" borderId="59" xfId="6" applyFont="1" applyBorder="1" applyAlignment="1">
      <alignment vertical="center" wrapText="1"/>
    </xf>
    <xf numFmtId="0" fontId="23" fillId="0" borderId="57" xfId="6" applyFont="1" applyBorder="1" applyAlignment="1">
      <alignment vertical="center" wrapText="1"/>
    </xf>
  </cellXfs>
  <cellStyles count="12">
    <cellStyle name="Millares" xfId="4" builtinId="3"/>
    <cellStyle name="Millares_FORMULARIO 4 - M-OFERENTE PPTA ECONOMICA 2" xfId="10" xr:uid="{00000000-0005-0000-0000-000001000000}"/>
    <cellStyle name="Moneda" xfId="1" builtinId="4"/>
    <cellStyle name="Moneda [0]" xfId="2" builtinId="7"/>
    <cellStyle name="Normal" xfId="0" builtinId="0"/>
    <cellStyle name="Normal 2 2" xfId="7" xr:uid="{00000000-0005-0000-0000-000005000000}"/>
    <cellStyle name="Normal 2 3" xfId="8" xr:uid="{00000000-0005-0000-0000-000006000000}"/>
    <cellStyle name="Normal 3" xfId="5" xr:uid="{00000000-0005-0000-0000-000007000000}"/>
    <cellStyle name="Normal 3 11 3" xfId="6" xr:uid="{00000000-0005-0000-0000-000008000000}"/>
    <cellStyle name="Normal 5" xfId="9" xr:uid="{00000000-0005-0000-0000-000009000000}"/>
    <cellStyle name="Porcentaje" xfId="3" builtinId="5"/>
    <cellStyle name="Porcentaje 2" xfId="11" xr:uid="{00000000-0005-0000-0000-00000B000000}"/>
  </cellStyles>
  <dxfs count="0"/>
  <tableStyles count="0" defaultTableStyle="TableStyleMedium2" defaultPivotStyle="PivotStyleLight16"/>
  <colors>
    <mruColors>
      <color rgb="FFEC3C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</xdr:colOff>
      <xdr:row>2</xdr:row>
      <xdr:rowOff>47625</xdr:rowOff>
    </xdr:from>
    <xdr:to>
      <xdr:col>7</xdr:col>
      <xdr:colOff>1019175</xdr:colOff>
      <xdr:row>5</xdr:row>
      <xdr:rowOff>133350</xdr:rowOff>
    </xdr:to>
    <xdr:pic>
      <xdr:nvPicPr>
        <xdr:cNvPr id="12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7700" y="438150"/>
          <a:ext cx="1895475" cy="657225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</xdr:row>
      <xdr:rowOff>41910</xdr:rowOff>
    </xdr:from>
    <xdr:to>
      <xdr:col>2</xdr:col>
      <xdr:colOff>640079</xdr:colOff>
      <xdr:row>6</xdr:row>
      <xdr:rowOff>120014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00000000-0008-0000-0000-000004000000}"/>
            </a:ext>
            <a:ext uri="{147F2762-F138-4A5C-976F-8EAC2B608ADB}">
              <a16:predDERef xmlns:a16="http://schemas.microsoft.com/office/drawing/2014/main" pre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rcRect l="38844" r="39305" b="87407"/>
        <a:stretch>
          <a:fillRect/>
        </a:stretch>
      </xdr:blipFill>
      <xdr:spPr bwMode="auto">
        <a:xfrm>
          <a:off x="876300" y="232410"/>
          <a:ext cx="1287779" cy="10401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6E0B4"/>
  </sheetPr>
  <dimension ref="B2:L106"/>
  <sheetViews>
    <sheetView tabSelected="1" topLeftCell="A84" zoomScale="80" zoomScaleNormal="80" workbookViewId="0">
      <selection activeCell="H91" sqref="H91"/>
    </sheetView>
  </sheetViews>
  <sheetFormatPr baseColWidth="10" defaultColWidth="11.42578125" defaultRowHeight="15" x14ac:dyDescent="0.25"/>
  <cols>
    <col min="4" max="4" width="58.7109375" customWidth="1"/>
    <col min="6" max="6" width="20.85546875" customWidth="1"/>
    <col min="7" max="7" width="14.140625" customWidth="1"/>
    <col min="8" max="8" width="17.140625" customWidth="1"/>
    <col min="9" max="9" width="17.85546875" bestFit="1" customWidth="1"/>
    <col min="10" max="10" width="16.28515625" bestFit="1" customWidth="1"/>
    <col min="12" max="12" width="15.140625" bestFit="1" customWidth="1"/>
  </cols>
  <sheetData>
    <row r="2" spans="2:8" ht="15.75" customHeight="1" x14ac:dyDescent="0.25">
      <c r="B2" s="299"/>
      <c r="C2" s="300"/>
      <c r="D2" s="303" t="s">
        <v>0</v>
      </c>
      <c r="E2" s="304"/>
      <c r="F2" s="305"/>
      <c r="G2" s="288"/>
      <c r="H2" s="288"/>
    </row>
    <row r="3" spans="2:8" x14ac:dyDescent="0.25">
      <c r="B3" s="301"/>
      <c r="C3" s="302"/>
      <c r="D3" s="306" t="s">
        <v>1</v>
      </c>
      <c r="E3" s="307"/>
      <c r="F3" s="308"/>
      <c r="G3" s="288"/>
      <c r="H3" s="288"/>
    </row>
    <row r="4" spans="2:8" x14ac:dyDescent="0.25">
      <c r="B4" s="301"/>
      <c r="C4" s="302"/>
      <c r="D4" s="309"/>
      <c r="E4" s="310"/>
      <c r="F4" s="311"/>
      <c r="G4" s="288"/>
      <c r="H4" s="288"/>
    </row>
    <row r="5" spans="2:8" x14ac:dyDescent="0.25">
      <c r="B5" s="301"/>
      <c r="C5" s="302"/>
      <c r="D5" s="309" t="s">
        <v>2</v>
      </c>
      <c r="E5" s="310"/>
      <c r="F5" s="312"/>
      <c r="G5" s="289"/>
      <c r="H5" s="288"/>
    </row>
    <row r="6" spans="2:8" x14ac:dyDescent="0.25">
      <c r="B6" s="301"/>
      <c r="C6" s="302"/>
      <c r="D6" s="309"/>
      <c r="E6" s="310"/>
      <c r="F6" s="312"/>
      <c r="G6" s="289"/>
      <c r="H6" s="288"/>
    </row>
    <row r="7" spans="2:8" x14ac:dyDescent="0.25">
      <c r="B7" s="301"/>
      <c r="C7" s="302"/>
      <c r="D7" s="313"/>
      <c r="E7" s="314"/>
      <c r="F7" s="315"/>
      <c r="G7" s="290"/>
      <c r="H7" s="291"/>
    </row>
    <row r="8" spans="2:8" x14ac:dyDescent="0.25">
      <c r="B8" s="292" t="s">
        <v>3</v>
      </c>
      <c r="C8" s="293"/>
      <c r="D8" s="293"/>
      <c r="E8" s="293"/>
      <c r="F8" s="293"/>
      <c r="G8" s="293"/>
      <c r="H8" s="294"/>
    </row>
    <row r="9" spans="2:8" ht="31.5" x14ac:dyDescent="0.25">
      <c r="B9" s="193" t="s">
        <v>4</v>
      </c>
      <c r="C9" s="193" t="s">
        <v>5</v>
      </c>
      <c r="D9" s="193" t="s">
        <v>6</v>
      </c>
      <c r="E9" s="193" t="s">
        <v>7</v>
      </c>
      <c r="F9" s="193" t="s">
        <v>230</v>
      </c>
      <c r="G9" s="193" t="s">
        <v>8</v>
      </c>
      <c r="H9" s="194" t="s">
        <v>9</v>
      </c>
    </row>
    <row r="10" spans="2:8" x14ac:dyDescent="0.25">
      <c r="B10" s="129"/>
      <c r="C10" s="295" t="s">
        <v>10</v>
      </c>
      <c r="D10" s="296"/>
      <c r="E10" s="129"/>
      <c r="F10" s="129"/>
      <c r="G10" s="129"/>
      <c r="H10" s="129"/>
    </row>
    <row r="11" spans="2:8" ht="15.75" x14ac:dyDescent="0.25">
      <c r="B11" s="130">
        <v>10526</v>
      </c>
      <c r="C11" s="130">
        <v>1.1000000000000001</v>
      </c>
      <c r="D11" s="131" t="s">
        <v>11</v>
      </c>
      <c r="E11" s="132" t="s">
        <v>12</v>
      </c>
      <c r="F11" s="133">
        <v>28382.831499999997</v>
      </c>
      <c r="G11" s="134">
        <v>1</v>
      </c>
      <c r="H11" s="135">
        <f>ROUND(G11*F11,2)</f>
        <v>28382.83</v>
      </c>
    </row>
    <row r="12" spans="2:8" ht="15.75" x14ac:dyDescent="0.25">
      <c r="B12" s="136">
        <v>15963</v>
      </c>
      <c r="C12" s="136">
        <v>1.2</v>
      </c>
      <c r="D12" s="137" t="s">
        <v>13</v>
      </c>
      <c r="E12" s="138" t="s">
        <v>14</v>
      </c>
      <c r="F12" s="133">
        <v>206334.09019999998</v>
      </c>
      <c r="G12" s="139">
        <v>1</v>
      </c>
      <c r="H12" s="135">
        <f t="shared" ref="H12:H46" si="0">ROUND(G12*F12,2)</f>
        <v>206334.09</v>
      </c>
    </row>
    <row r="13" spans="2:8" ht="15.75" x14ac:dyDescent="0.25">
      <c r="B13" s="136">
        <v>10002</v>
      </c>
      <c r="C13" s="136">
        <v>1.3</v>
      </c>
      <c r="D13" s="137" t="s">
        <v>15</v>
      </c>
      <c r="E13" s="138" t="s">
        <v>12</v>
      </c>
      <c r="F13" s="133">
        <v>18033.172799999997</v>
      </c>
      <c r="G13" s="139">
        <v>1</v>
      </c>
      <c r="H13" s="135">
        <f t="shared" si="0"/>
        <v>18033.169999999998</v>
      </c>
    </row>
    <row r="14" spans="2:8" ht="15.75" x14ac:dyDescent="0.25">
      <c r="B14" s="136">
        <v>10918</v>
      </c>
      <c r="C14" s="136">
        <v>1.4</v>
      </c>
      <c r="D14" s="137" t="s">
        <v>16</v>
      </c>
      <c r="E14" s="138" t="s">
        <v>12</v>
      </c>
      <c r="F14" s="133">
        <v>19227.887900000002</v>
      </c>
      <c r="G14" s="139">
        <v>1</v>
      </c>
      <c r="H14" s="135">
        <f t="shared" si="0"/>
        <v>19227.89</v>
      </c>
    </row>
    <row r="15" spans="2:8" ht="15.75" x14ac:dyDescent="0.25">
      <c r="B15" s="136">
        <v>12408</v>
      </c>
      <c r="C15" s="136">
        <v>1.5</v>
      </c>
      <c r="D15" s="137" t="s">
        <v>17</v>
      </c>
      <c r="E15" s="138" t="s">
        <v>7</v>
      </c>
      <c r="F15" s="133">
        <v>493790.77869999997</v>
      </c>
      <c r="G15" s="139">
        <v>1</v>
      </c>
      <c r="H15" s="135">
        <f t="shared" si="0"/>
        <v>493790.78</v>
      </c>
    </row>
    <row r="16" spans="2:8" ht="15.75" x14ac:dyDescent="0.25">
      <c r="B16" s="136">
        <v>15807</v>
      </c>
      <c r="C16" s="136">
        <v>1.6</v>
      </c>
      <c r="D16" s="137" t="s">
        <v>18</v>
      </c>
      <c r="E16" s="138" t="s">
        <v>7</v>
      </c>
      <c r="F16" s="133">
        <v>140958.234</v>
      </c>
      <c r="G16" s="139">
        <v>1</v>
      </c>
      <c r="H16" s="135">
        <f t="shared" si="0"/>
        <v>140958.23000000001</v>
      </c>
    </row>
    <row r="17" spans="2:8" ht="15.75" x14ac:dyDescent="0.25">
      <c r="B17" s="136">
        <v>13526</v>
      </c>
      <c r="C17" s="136">
        <v>1.7</v>
      </c>
      <c r="D17" s="137" t="s">
        <v>19</v>
      </c>
      <c r="E17" s="138" t="s">
        <v>7</v>
      </c>
      <c r="F17" s="133">
        <v>40709.549500000001</v>
      </c>
      <c r="G17" s="139">
        <v>1</v>
      </c>
      <c r="H17" s="135">
        <f t="shared" si="0"/>
        <v>40709.550000000003</v>
      </c>
    </row>
    <row r="18" spans="2:8" ht="15.75" x14ac:dyDescent="0.25">
      <c r="B18" s="136">
        <v>12837</v>
      </c>
      <c r="C18" s="136">
        <v>1.8</v>
      </c>
      <c r="D18" s="137" t="s">
        <v>20</v>
      </c>
      <c r="E18" s="138" t="s">
        <v>7</v>
      </c>
      <c r="F18" s="133">
        <v>40990.218899999993</v>
      </c>
      <c r="G18" s="139">
        <v>1</v>
      </c>
      <c r="H18" s="135">
        <f t="shared" si="0"/>
        <v>40990.22</v>
      </c>
    </row>
    <row r="19" spans="2:8" ht="15.75" x14ac:dyDescent="0.25">
      <c r="B19" s="136">
        <v>12834</v>
      </c>
      <c r="C19" s="136">
        <v>1.9</v>
      </c>
      <c r="D19" s="137" t="s">
        <v>21</v>
      </c>
      <c r="E19" s="138" t="s">
        <v>7</v>
      </c>
      <c r="F19" s="133">
        <v>22606.576599999997</v>
      </c>
      <c r="G19" s="139">
        <v>1</v>
      </c>
      <c r="H19" s="135">
        <f t="shared" si="0"/>
        <v>22606.58</v>
      </c>
    </row>
    <row r="20" spans="2:8" ht="15.75" x14ac:dyDescent="0.25">
      <c r="B20" s="141" t="s">
        <v>228</v>
      </c>
      <c r="C20" s="142">
        <v>1.1000000000000001</v>
      </c>
      <c r="D20" s="137" t="s">
        <v>22</v>
      </c>
      <c r="E20" s="138" t="s">
        <v>7</v>
      </c>
      <c r="F20" s="133">
        <v>40842.064599999991</v>
      </c>
      <c r="G20" s="139">
        <v>1</v>
      </c>
      <c r="H20" s="135">
        <f t="shared" si="0"/>
        <v>40842.06</v>
      </c>
    </row>
    <row r="21" spans="2:8" ht="15.75" x14ac:dyDescent="0.25">
      <c r="B21" s="143" t="s">
        <v>229</v>
      </c>
      <c r="C21" s="144">
        <v>1.1100000000000001</v>
      </c>
      <c r="D21" s="145" t="s">
        <v>23</v>
      </c>
      <c r="E21" s="146" t="s">
        <v>14</v>
      </c>
      <c r="F21" s="133">
        <v>74407.392499999987</v>
      </c>
      <c r="G21" s="147">
        <v>1</v>
      </c>
      <c r="H21" s="135">
        <f t="shared" si="0"/>
        <v>74407.39</v>
      </c>
    </row>
    <row r="22" spans="2:8" ht="15.75" x14ac:dyDescent="0.25">
      <c r="B22" s="148" t="s">
        <v>24</v>
      </c>
      <c r="C22" s="149">
        <v>1.1200000000000001</v>
      </c>
      <c r="D22" s="137" t="s">
        <v>25</v>
      </c>
      <c r="E22" s="138" t="s">
        <v>26</v>
      </c>
      <c r="F22" s="133">
        <v>7657.4901999999993</v>
      </c>
      <c r="G22" s="139">
        <v>1</v>
      </c>
      <c r="H22" s="135">
        <f t="shared" si="0"/>
        <v>7657.49</v>
      </c>
    </row>
    <row r="23" spans="2:8" ht="15.75" x14ac:dyDescent="0.25">
      <c r="B23" s="148" t="s">
        <v>27</v>
      </c>
      <c r="C23" s="149">
        <v>1.1299999999999999</v>
      </c>
      <c r="D23" s="137" t="s">
        <v>28</v>
      </c>
      <c r="E23" s="138" t="s">
        <v>26</v>
      </c>
      <c r="F23" s="133">
        <v>25416.920499999997</v>
      </c>
      <c r="G23" s="139">
        <v>1</v>
      </c>
      <c r="H23" s="135">
        <f t="shared" si="0"/>
        <v>25416.92</v>
      </c>
    </row>
    <row r="24" spans="2:8" ht="15.75" x14ac:dyDescent="0.25">
      <c r="B24" s="148" t="s">
        <v>29</v>
      </c>
      <c r="C24" s="149">
        <v>1.1399999999999999</v>
      </c>
      <c r="D24" s="137" t="s">
        <v>30</v>
      </c>
      <c r="E24" s="138" t="s">
        <v>26</v>
      </c>
      <c r="F24" s="133">
        <v>14882.789299999999</v>
      </c>
      <c r="G24" s="139">
        <v>1</v>
      </c>
      <c r="H24" s="135">
        <f t="shared" si="0"/>
        <v>14882.79</v>
      </c>
    </row>
    <row r="25" spans="2:8" ht="15.75" x14ac:dyDescent="0.25">
      <c r="B25" s="143" t="s">
        <v>31</v>
      </c>
      <c r="C25" s="144">
        <v>1.1499999999999999</v>
      </c>
      <c r="D25" s="137" t="s">
        <v>32</v>
      </c>
      <c r="E25" s="138" t="s">
        <v>12</v>
      </c>
      <c r="F25" s="133">
        <v>18463.691499999997</v>
      </c>
      <c r="G25" s="139">
        <v>1</v>
      </c>
      <c r="H25" s="135">
        <f t="shared" si="0"/>
        <v>18463.689999999999</v>
      </c>
    </row>
    <row r="26" spans="2:8" ht="15.75" x14ac:dyDescent="0.25">
      <c r="B26" s="148" t="s">
        <v>33</v>
      </c>
      <c r="C26" s="149">
        <v>1.1599999999999999</v>
      </c>
      <c r="D26" s="137" t="s">
        <v>34</v>
      </c>
      <c r="E26" s="138" t="s">
        <v>12</v>
      </c>
      <c r="F26" s="133">
        <v>13250.266999999998</v>
      </c>
      <c r="G26" s="139">
        <v>1</v>
      </c>
      <c r="H26" s="135">
        <f t="shared" si="0"/>
        <v>13250.27</v>
      </c>
    </row>
    <row r="27" spans="2:8" ht="15.75" x14ac:dyDescent="0.25">
      <c r="B27" s="148" t="s">
        <v>35</v>
      </c>
      <c r="C27" s="149">
        <v>1.17</v>
      </c>
      <c r="D27" s="137" t="s">
        <v>36</v>
      </c>
      <c r="E27" s="138" t="s">
        <v>12</v>
      </c>
      <c r="F27" s="133">
        <v>62386.836699999993</v>
      </c>
      <c r="G27" s="139">
        <v>1</v>
      </c>
      <c r="H27" s="135">
        <f t="shared" si="0"/>
        <v>62386.84</v>
      </c>
    </row>
    <row r="28" spans="2:8" ht="15.75" x14ac:dyDescent="0.25">
      <c r="B28" s="148" t="s">
        <v>37</v>
      </c>
      <c r="C28" s="149">
        <v>1.18</v>
      </c>
      <c r="D28" s="137" t="s">
        <v>38</v>
      </c>
      <c r="E28" s="138" t="s">
        <v>39</v>
      </c>
      <c r="F28" s="133">
        <v>148494.94979999997</v>
      </c>
      <c r="G28" s="139">
        <v>1</v>
      </c>
      <c r="H28" s="135">
        <f t="shared" si="0"/>
        <v>148494.95000000001</v>
      </c>
    </row>
    <row r="29" spans="2:8" ht="15.75" x14ac:dyDescent="0.25">
      <c r="B29" s="143" t="s">
        <v>40</v>
      </c>
      <c r="C29" s="144">
        <v>1.19</v>
      </c>
      <c r="D29" s="137" t="s">
        <v>41</v>
      </c>
      <c r="E29" s="138" t="s">
        <v>39</v>
      </c>
      <c r="F29" s="133">
        <v>578593.76439999999</v>
      </c>
      <c r="G29" s="139">
        <v>1</v>
      </c>
      <c r="H29" s="135">
        <f t="shared" si="0"/>
        <v>578593.76</v>
      </c>
    </row>
    <row r="30" spans="2:8" ht="15.75" x14ac:dyDescent="0.25">
      <c r="B30" s="148" t="s">
        <v>42</v>
      </c>
      <c r="C30" s="149">
        <v>1.2</v>
      </c>
      <c r="D30" s="137" t="s">
        <v>43</v>
      </c>
      <c r="E30" s="138" t="s">
        <v>26</v>
      </c>
      <c r="F30" s="133">
        <v>22165.322899999999</v>
      </c>
      <c r="G30" s="139">
        <v>1</v>
      </c>
      <c r="H30" s="135">
        <f t="shared" si="0"/>
        <v>22165.32</v>
      </c>
    </row>
    <row r="31" spans="2:8" ht="14.45" customHeight="1" x14ac:dyDescent="0.25">
      <c r="B31" s="297" t="s">
        <v>44</v>
      </c>
      <c r="C31" s="297"/>
      <c r="D31" s="297"/>
      <c r="E31" s="297"/>
      <c r="F31" s="297"/>
      <c r="G31" s="297"/>
      <c r="H31" s="298"/>
    </row>
    <row r="32" spans="2:8" ht="15.75" x14ac:dyDescent="0.25">
      <c r="B32" s="136">
        <v>10724</v>
      </c>
      <c r="C32" s="136">
        <v>2.1</v>
      </c>
      <c r="D32" s="137" t="s">
        <v>45</v>
      </c>
      <c r="E32" s="138" t="s">
        <v>14</v>
      </c>
      <c r="F32" s="150">
        <v>158868.98259999996</v>
      </c>
      <c r="G32" s="151">
        <v>1</v>
      </c>
      <c r="H32" s="135">
        <f t="shared" si="0"/>
        <v>158868.98000000001</v>
      </c>
    </row>
    <row r="33" spans="2:8" ht="15.75" x14ac:dyDescent="0.25">
      <c r="B33" s="136">
        <v>12501</v>
      </c>
      <c r="C33" s="136">
        <v>2.2000000000000002</v>
      </c>
      <c r="D33" s="137" t="s">
        <v>46</v>
      </c>
      <c r="E33" s="138" t="s">
        <v>14</v>
      </c>
      <c r="F33" s="150">
        <v>122161.66709999999</v>
      </c>
      <c r="G33" s="151">
        <v>1</v>
      </c>
      <c r="H33" s="135">
        <f t="shared" si="0"/>
        <v>122161.67</v>
      </c>
    </row>
    <row r="34" spans="2:8" ht="15.75" x14ac:dyDescent="0.25">
      <c r="B34" s="136">
        <v>16675</v>
      </c>
      <c r="C34" s="136">
        <v>2.2999999999999998</v>
      </c>
      <c r="D34" s="137" t="s">
        <v>47</v>
      </c>
      <c r="E34" s="138" t="s">
        <v>26</v>
      </c>
      <c r="F34" s="150">
        <v>565755.97</v>
      </c>
      <c r="G34" s="151">
        <v>1</v>
      </c>
      <c r="H34" s="135">
        <f t="shared" si="0"/>
        <v>565755.97</v>
      </c>
    </row>
    <row r="35" spans="2:8" ht="15.75" x14ac:dyDescent="0.25">
      <c r="B35" s="136">
        <v>16670</v>
      </c>
      <c r="C35" s="136">
        <v>2.4</v>
      </c>
      <c r="D35" s="137" t="s">
        <v>48</v>
      </c>
      <c r="E35" s="138" t="s">
        <v>26</v>
      </c>
      <c r="F35" s="150">
        <v>1005109.0099999999</v>
      </c>
      <c r="G35" s="151">
        <v>1</v>
      </c>
      <c r="H35" s="135">
        <f t="shared" si="0"/>
        <v>1005109.01</v>
      </c>
    </row>
    <row r="36" spans="2:8" ht="15.75" x14ac:dyDescent="0.25">
      <c r="B36" s="152">
        <v>10707</v>
      </c>
      <c r="C36" s="152">
        <v>2.5</v>
      </c>
      <c r="D36" s="145" t="s">
        <v>49</v>
      </c>
      <c r="E36" s="146" t="s">
        <v>26</v>
      </c>
      <c r="F36" s="150">
        <v>8367.7065000000002</v>
      </c>
      <c r="G36" s="153">
        <v>1</v>
      </c>
      <c r="H36" s="135">
        <f t="shared" si="0"/>
        <v>8367.7099999999991</v>
      </c>
    </row>
    <row r="37" spans="2:8" ht="15.75" x14ac:dyDescent="0.25">
      <c r="B37" s="154">
        <v>12065</v>
      </c>
      <c r="C37" s="154">
        <v>2.6</v>
      </c>
      <c r="D37" s="137" t="s">
        <v>50</v>
      </c>
      <c r="E37" s="138" t="s">
        <v>12</v>
      </c>
      <c r="F37" s="150">
        <v>90288.58199999998</v>
      </c>
      <c r="G37" s="151">
        <v>1</v>
      </c>
      <c r="H37" s="135">
        <f t="shared" si="0"/>
        <v>90288.58</v>
      </c>
    </row>
    <row r="38" spans="2:8" ht="15.75" x14ac:dyDescent="0.25">
      <c r="B38" s="154">
        <v>10256</v>
      </c>
      <c r="C38" s="154">
        <v>2.7</v>
      </c>
      <c r="D38" s="137" t="s">
        <v>51</v>
      </c>
      <c r="E38" s="138" t="s">
        <v>26</v>
      </c>
      <c r="F38" s="150">
        <v>8949.3739999999998</v>
      </c>
      <c r="G38" s="151">
        <v>1</v>
      </c>
      <c r="H38" s="135">
        <f t="shared" si="0"/>
        <v>8949.3700000000008</v>
      </c>
    </row>
    <row r="39" spans="2:8" ht="15.75" x14ac:dyDescent="0.25">
      <c r="B39" s="154">
        <v>10298</v>
      </c>
      <c r="C39" s="154">
        <v>2.8</v>
      </c>
      <c r="D39" s="137" t="s">
        <v>52</v>
      </c>
      <c r="E39" s="138" t="s">
        <v>12</v>
      </c>
      <c r="F39" s="150">
        <v>299164.81059999997</v>
      </c>
      <c r="G39" s="153">
        <v>1</v>
      </c>
      <c r="H39" s="135">
        <f t="shared" si="0"/>
        <v>299164.81</v>
      </c>
    </row>
    <row r="40" spans="2:8" ht="15.75" x14ac:dyDescent="0.25">
      <c r="B40" s="154">
        <v>12026</v>
      </c>
      <c r="C40" s="154">
        <v>2.9</v>
      </c>
      <c r="D40" s="137" t="s">
        <v>53</v>
      </c>
      <c r="E40" s="138" t="s">
        <v>26</v>
      </c>
      <c r="F40" s="150">
        <v>182388.88169999997</v>
      </c>
      <c r="G40" s="151">
        <v>1</v>
      </c>
      <c r="H40" s="135">
        <f t="shared" si="0"/>
        <v>182388.88</v>
      </c>
    </row>
    <row r="41" spans="2:8" x14ac:dyDescent="0.25">
      <c r="B41" s="297" t="s">
        <v>54</v>
      </c>
      <c r="C41" s="297"/>
      <c r="D41" s="297"/>
      <c r="E41" s="297"/>
      <c r="F41" s="297"/>
      <c r="G41" s="297"/>
      <c r="H41" s="298"/>
    </row>
    <row r="42" spans="2:8" ht="15.75" x14ac:dyDescent="0.25">
      <c r="B42" s="136">
        <v>10494</v>
      </c>
      <c r="C42" s="136">
        <v>3.1</v>
      </c>
      <c r="D42" s="137" t="s">
        <v>55</v>
      </c>
      <c r="E42" s="138" t="s">
        <v>12</v>
      </c>
      <c r="F42" s="150">
        <v>120957.36959999999</v>
      </c>
      <c r="G42" s="151">
        <v>1</v>
      </c>
      <c r="H42" s="135">
        <f t="shared" si="0"/>
        <v>120957.37</v>
      </c>
    </row>
    <row r="43" spans="2:8" ht="15.75" x14ac:dyDescent="0.25">
      <c r="B43" s="136">
        <v>11647</v>
      </c>
      <c r="C43" s="136">
        <v>3.2</v>
      </c>
      <c r="D43" s="137" t="s">
        <v>56</v>
      </c>
      <c r="E43" s="138" t="s">
        <v>26</v>
      </c>
      <c r="F43" s="150">
        <v>87292.330499999996</v>
      </c>
      <c r="G43" s="151">
        <v>1</v>
      </c>
      <c r="H43" s="135">
        <f t="shared" si="0"/>
        <v>87292.33</v>
      </c>
    </row>
    <row r="44" spans="2:8" ht="25.5" x14ac:dyDescent="0.25">
      <c r="B44" s="136" t="s">
        <v>57</v>
      </c>
      <c r="C44" s="136">
        <v>3.3</v>
      </c>
      <c r="D44" s="137" t="s">
        <v>58</v>
      </c>
      <c r="E44" s="138" t="s">
        <v>59</v>
      </c>
      <c r="F44" s="150">
        <v>84320.385299999994</v>
      </c>
      <c r="G44" s="151">
        <v>1</v>
      </c>
      <c r="H44" s="135">
        <f t="shared" si="0"/>
        <v>84320.39</v>
      </c>
    </row>
    <row r="45" spans="2:8" x14ac:dyDescent="0.25">
      <c r="B45" s="297" t="s">
        <v>60</v>
      </c>
      <c r="C45" s="297"/>
      <c r="D45" s="297"/>
      <c r="E45" s="297"/>
      <c r="F45" s="297"/>
      <c r="G45" s="297"/>
      <c r="H45" s="298"/>
    </row>
    <row r="46" spans="2:8" ht="15.75" x14ac:dyDescent="0.25">
      <c r="B46" s="136">
        <v>12085</v>
      </c>
      <c r="C46" s="136">
        <v>4.0999999999999996</v>
      </c>
      <c r="D46" s="137" t="s">
        <v>61</v>
      </c>
      <c r="E46" s="138" t="s">
        <v>26</v>
      </c>
      <c r="F46" s="150">
        <v>49639.521399999991</v>
      </c>
      <c r="G46" s="151">
        <v>1</v>
      </c>
      <c r="H46" s="135">
        <f>ROUND(G46*F46,2)</f>
        <v>49639.519999999997</v>
      </c>
    </row>
    <row r="47" spans="2:8" x14ac:dyDescent="0.25">
      <c r="B47" s="297" t="s">
        <v>62</v>
      </c>
      <c r="C47" s="297"/>
      <c r="D47" s="297"/>
      <c r="E47" s="297"/>
      <c r="F47" s="297"/>
      <c r="G47" s="297"/>
      <c r="H47" s="298"/>
    </row>
    <row r="48" spans="2:8" ht="15.75" x14ac:dyDescent="0.25">
      <c r="B48" s="136">
        <v>14642</v>
      </c>
      <c r="C48" s="136">
        <v>5.0999999999999996</v>
      </c>
      <c r="D48" s="137" t="s">
        <v>63</v>
      </c>
      <c r="E48" s="138" t="s">
        <v>12</v>
      </c>
      <c r="F48" s="150">
        <v>373803.98869999993</v>
      </c>
      <c r="G48" s="139">
        <v>1</v>
      </c>
      <c r="H48" s="135">
        <f>ROUND(G48*F48,2)</f>
        <v>373803.99</v>
      </c>
    </row>
    <row r="49" spans="2:8" ht="15.75" x14ac:dyDescent="0.25">
      <c r="B49" s="136">
        <v>13845</v>
      </c>
      <c r="C49" s="136">
        <v>5.2</v>
      </c>
      <c r="D49" s="137" t="s">
        <v>64</v>
      </c>
      <c r="E49" s="138" t="s">
        <v>65</v>
      </c>
      <c r="F49" s="150">
        <v>2512692.2159000002</v>
      </c>
      <c r="G49" s="139">
        <v>1</v>
      </c>
      <c r="H49" s="135">
        <f t="shared" ref="H49:H78" si="1">ROUND(G49*F49,2)</f>
        <v>2512692.2200000002</v>
      </c>
    </row>
    <row r="50" spans="2:8" ht="15.75" x14ac:dyDescent="0.25">
      <c r="B50" s="136">
        <v>13841</v>
      </c>
      <c r="C50" s="136">
        <v>5.3</v>
      </c>
      <c r="D50" s="137" t="s">
        <v>66</v>
      </c>
      <c r="E50" s="138" t="s">
        <v>59</v>
      </c>
      <c r="F50" s="150">
        <v>2985660.3376999996</v>
      </c>
      <c r="G50" s="139">
        <v>1</v>
      </c>
      <c r="H50" s="135">
        <f t="shared" si="1"/>
        <v>2985660.34</v>
      </c>
    </row>
    <row r="51" spans="2:8" ht="15.75" x14ac:dyDescent="0.25">
      <c r="B51" s="136">
        <v>13844</v>
      </c>
      <c r="C51" s="136">
        <v>5.4</v>
      </c>
      <c r="D51" s="137" t="s">
        <v>67</v>
      </c>
      <c r="E51" s="138" t="s">
        <v>59</v>
      </c>
      <c r="F51" s="150">
        <v>2701844.5882999999</v>
      </c>
      <c r="G51" s="139">
        <v>1</v>
      </c>
      <c r="H51" s="135">
        <f t="shared" si="1"/>
        <v>2701844.59</v>
      </c>
    </row>
    <row r="52" spans="2:8" ht="15.75" x14ac:dyDescent="0.25">
      <c r="B52" s="136">
        <v>15814</v>
      </c>
      <c r="C52" s="136">
        <v>5.5</v>
      </c>
      <c r="D52" s="137" t="s">
        <v>68</v>
      </c>
      <c r="E52" s="138" t="s">
        <v>59</v>
      </c>
      <c r="F52" s="150">
        <v>2358809.0079999999</v>
      </c>
      <c r="G52" s="139">
        <v>1</v>
      </c>
      <c r="H52" s="135">
        <f t="shared" si="1"/>
        <v>2358809.0099999998</v>
      </c>
    </row>
    <row r="53" spans="2:8" ht="15.75" x14ac:dyDescent="0.25">
      <c r="B53" s="136">
        <v>15820</v>
      </c>
      <c r="C53" s="136">
        <v>5.6</v>
      </c>
      <c r="D53" s="137" t="s">
        <v>69</v>
      </c>
      <c r="E53" s="138" t="s">
        <v>59</v>
      </c>
      <c r="F53" s="150">
        <v>3804792.0492999996</v>
      </c>
      <c r="G53" s="139">
        <v>1</v>
      </c>
      <c r="H53" s="135">
        <f t="shared" si="1"/>
        <v>3804792.05</v>
      </c>
    </row>
    <row r="54" spans="2:8" ht="15.75" x14ac:dyDescent="0.25">
      <c r="B54" s="136">
        <v>15813</v>
      </c>
      <c r="C54" s="136">
        <v>5.7</v>
      </c>
      <c r="D54" s="137" t="s">
        <v>70</v>
      </c>
      <c r="E54" s="138" t="s">
        <v>59</v>
      </c>
      <c r="F54" s="150">
        <v>2886505.4818999995</v>
      </c>
      <c r="G54" s="139">
        <v>1</v>
      </c>
      <c r="H54" s="135">
        <f t="shared" si="1"/>
        <v>2886505.48</v>
      </c>
    </row>
    <row r="55" spans="2:8" ht="15.75" x14ac:dyDescent="0.25">
      <c r="B55" s="136">
        <v>16064</v>
      </c>
      <c r="C55" s="136">
        <v>5.8</v>
      </c>
      <c r="D55" s="137" t="s">
        <v>71</v>
      </c>
      <c r="E55" s="138" t="s">
        <v>59</v>
      </c>
      <c r="F55" s="150">
        <v>5198533.5746999998</v>
      </c>
      <c r="G55" s="139">
        <v>1</v>
      </c>
      <c r="H55" s="135">
        <f t="shared" si="1"/>
        <v>5198533.57</v>
      </c>
    </row>
    <row r="56" spans="2:8" ht="15.75" x14ac:dyDescent="0.25">
      <c r="B56" s="136">
        <v>100607</v>
      </c>
      <c r="C56" s="136">
        <v>5.9</v>
      </c>
      <c r="D56" s="137" t="s">
        <v>72</v>
      </c>
      <c r="E56" s="138" t="s">
        <v>59</v>
      </c>
      <c r="F56" s="150">
        <v>31642669.059999999</v>
      </c>
      <c r="G56" s="139">
        <v>1</v>
      </c>
      <c r="H56" s="135">
        <f t="shared" si="1"/>
        <v>31642669.059999999</v>
      </c>
    </row>
    <row r="57" spans="2:8" ht="15.75" x14ac:dyDescent="0.25">
      <c r="B57" s="141">
        <v>15650</v>
      </c>
      <c r="C57" s="142">
        <v>5.0999999999999996</v>
      </c>
      <c r="D57" s="137" t="s">
        <v>73</v>
      </c>
      <c r="E57" s="138" t="s">
        <v>59</v>
      </c>
      <c r="F57" s="150">
        <v>581980.78119999997</v>
      </c>
      <c r="G57" s="139">
        <v>1</v>
      </c>
      <c r="H57" s="135">
        <f t="shared" si="1"/>
        <v>581980.78</v>
      </c>
    </row>
    <row r="58" spans="2:8" ht="25.5" x14ac:dyDescent="0.25">
      <c r="B58" s="141" t="s">
        <v>74</v>
      </c>
      <c r="C58" s="136">
        <v>5.1100000000000003</v>
      </c>
      <c r="D58" s="137" t="s">
        <v>75</v>
      </c>
      <c r="E58" s="138" t="s">
        <v>59</v>
      </c>
      <c r="F58" s="150">
        <v>577698.30719999992</v>
      </c>
      <c r="G58" s="139">
        <v>1</v>
      </c>
      <c r="H58" s="135">
        <f t="shared" si="1"/>
        <v>577698.31000000006</v>
      </c>
    </row>
    <row r="59" spans="2:8" ht="15.75" x14ac:dyDescent="0.25">
      <c r="B59" s="141" t="s">
        <v>76</v>
      </c>
      <c r="C59" s="142">
        <v>5.12</v>
      </c>
      <c r="D59" s="137" t="s">
        <v>77</v>
      </c>
      <c r="E59" s="138" t="s">
        <v>59</v>
      </c>
      <c r="F59" s="150">
        <v>259703.68509999997</v>
      </c>
      <c r="G59" s="139">
        <v>1</v>
      </c>
      <c r="H59" s="135">
        <f t="shared" si="1"/>
        <v>259703.69</v>
      </c>
    </row>
    <row r="60" spans="2:8" ht="15.75" x14ac:dyDescent="0.25">
      <c r="B60" s="155" t="s">
        <v>78</v>
      </c>
      <c r="C60" s="156">
        <v>5.13</v>
      </c>
      <c r="D60" s="137" t="s">
        <v>79</v>
      </c>
      <c r="E60" s="138" t="s">
        <v>59</v>
      </c>
      <c r="F60" s="150">
        <v>2880129.6150999996</v>
      </c>
      <c r="G60" s="139">
        <v>1</v>
      </c>
      <c r="H60" s="135">
        <f t="shared" si="1"/>
        <v>2880129.62</v>
      </c>
    </row>
    <row r="61" spans="2:8" ht="15.75" x14ac:dyDescent="0.25">
      <c r="B61" s="155" t="s">
        <v>80</v>
      </c>
      <c r="C61" s="157">
        <v>5.14</v>
      </c>
      <c r="D61" s="137" t="s">
        <v>81</v>
      </c>
      <c r="E61" s="138" t="s">
        <v>12</v>
      </c>
      <c r="F61" s="150">
        <v>359852.96349999995</v>
      </c>
      <c r="G61" s="139">
        <v>1</v>
      </c>
      <c r="H61" s="135">
        <f t="shared" si="1"/>
        <v>359852.96</v>
      </c>
    </row>
    <row r="62" spans="2:8" ht="15.75" x14ac:dyDescent="0.25">
      <c r="B62" s="155" t="s">
        <v>82</v>
      </c>
      <c r="C62" s="157">
        <v>5.15</v>
      </c>
      <c r="D62" s="137" t="s">
        <v>83</v>
      </c>
      <c r="E62" s="138" t="s">
        <v>59</v>
      </c>
      <c r="F62" s="150">
        <v>37936.337399999997</v>
      </c>
      <c r="G62" s="139">
        <v>1</v>
      </c>
      <c r="H62" s="135">
        <f t="shared" si="1"/>
        <v>37936.339999999997</v>
      </c>
    </row>
    <row r="63" spans="2:8" ht="15.75" x14ac:dyDescent="0.25">
      <c r="B63" s="155" t="s">
        <v>84</v>
      </c>
      <c r="C63" s="156">
        <v>5.16</v>
      </c>
      <c r="D63" s="137" t="s">
        <v>85</v>
      </c>
      <c r="E63" s="138" t="s">
        <v>12</v>
      </c>
      <c r="F63" s="150">
        <v>57981.701199999989</v>
      </c>
      <c r="G63" s="139">
        <v>1</v>
      </c>
      <c r="H63" s="135">
        <f t="shared" si="1"/>
        <v>57981.7</v>
      </c>
    </row>
    <row r="64" spans="2:8" ht="15.75" x14ac:dyDescent="0.25">
      <c r="B64" s="155" t="s">
        <v>86</v>
      </c>
      <c r="C64" s="157">
        <v>5.17</v>
      </c>
      <c r="D64" s="137" t="s">
        <v>87</v>
      </c>
      <c r="E64" s="138" t="s">
        <v>12</v>
      </c>
      <c r="F64" s="150">
        <v>1555135.4025999999</v>
      </c>
      <c r="G64" s="139">
        <v>1</v>
      </c>
      <c r="H64" s="135">
        <f t="shared" si="1"/>
        <v>1555135.4</v>
      </c>
    </row>
    <row r="65" spans="2:8" ht="15.75" x14ac:dyDescent="0.25">
      <c r="B65" s="155" t="s">
        <v>88</v>
      </c>
      <c r="C65" s="157">
        <v>5.18</v>
      </c>
      <c r="D65" s="137" t="s">
        <v>89</v>
      </c>
      <c r="E65" s="138" t="s">
        <v>39</v>
      </c>
      <c r="F65" s="150">
        <v>6633397.9131999994</v>
      </c>
      <c r="G65" s="139">
        <v>1</v>
      </c>
      <c r="H65" s="135">
        <f t="shared" si="1"/>
        <v>6633397.9100000001</v>
      </c>
    </row>
    <row r="66" spans="2:8" ht="15.75" x14ac:dyDescent="0.25">
      <c r="B66" s="155" t="s">
        <v>90</v>
      </c>
      <c r="C66" s="156">
        <v>5.19</v>
      </c>
      <c r="D66" s="137" t="s">
        <v>91</v>
      </c>
      <c r="E66" s="138" t="s">
        <v>39</v>
      </c>
      <c r="F66" s="150">
        <v>4073118.6626999998</v>
      </c>
      <c r="G66" s="139">
        <v>1</v>
      </c>
      <c r="H66" s="135">
        <f t="shared" si="1"/>
        <v>4073118.66</v>
      </c>
    </row>
    <row r="67" spans="2:8" ht="15.75" x14ac:dyDescent="0.25">
      <c r="B67" s="155" t="s">
        <v>92</v>
      </c>
      <c r="C67" s="157">
        <v>5.2</v>
      </c>
      <c r="D67" s="137" t="s">
        <v>93</v>
      </c>
      <c r="E67" s="138" t="s">
        <v>39</v>
      </c>
      <c r="F67" s="150">
        <v>33723.324499999995</v>
      </c>
      <c r="G67" s="139">
        <v>1</v>
      </c>
      <c r="H67" s="135">
        <f t="shared" si="1"/>
        <v>33723.32</v>
      </c>
    </row>
    <row r="68" spans="2:8" ht="15.75" x14ac:dyDescent="0.25">
      <c r="B68" s="155" t="s">
        <v>94</v>
      </c>
      <c r="C68" s="157">
        <v>5.21</v>
      </c>
      <c r="D68" s="137" t="s">
        <v>95</v>
      </c>
      <c r="E68" s="138" t="s">
        <v>39</v>
      </c>
      <c r="F68" s="150">
        <v>334068.34099999996</v>
      </c>
      <c r="G68" s="139">
        <v>1</v>
      </c>
      <c r="H68" s="135">
        <f t="shared" si="1"/>
        <v>334068.34000000003</v>
      </c>
    </row>
    <row r="69" spans="2:8" x14ac:dyDescent="0.25">
      <c r="B69" s="286" t="s">
        <v>96</v>
      </c>
      <c r="C69" s="286"/>
      <c r="D69" s="286"/>
      <c r="E69" s="286"/>
      <c r="F69" s="286"/>
      <c r="G69" s="286"/>
      <c r="H69" s="287"/>
    </row>
    <row r="70" spans="2:8" ht="15.75" x14ac:dyDescent="0.25">
      <c r="B70" s="158">
        <v>16620</v>
      </c>
      <c r="C70" s="158">
        <v>6.1</v>
      </c>
      <c r="D70" s="159" t="s">
        <v>97</v>
      </c>
      <c r="E70" s="158" t="s">
        <v>26</v>
      </c>
      <c r="F70" s="150">
        <v>27436.897199999996</v>
      </c>
      <c r="G70" s="139">
        <v>1</v>
      </c>
      <c r="H70" s="135">
        <f t="shared" si="1"/>
        <v>27436.9</v>
      </c>
    </row>
    <row r="71" spans="2:8" x14ac:dyDescent="0.25">
      <c r="B71" s="286" t="s">
        <v>98</v>
      </c>
      <c r="C71" s="286"/>
      <c r="D71" s="286"/>
      <c r="E71" s="286"/>
      <c r="F71" s="286"/>
      <c r="G71" s="286"/>
      <c r="H71" s="287"/>
    </row>
    <row r="72" spans="2:8" ht="15.75" x14ac:dyDescent="0.25">
      <c r="B72" s="158">
        <v>11213</v>
      </c>
      <c r="C72" s="158">
        <v>7.1</v>
      </c>
      <c r="D72" s="159" t="s">
        <v>99</v>
      </c>
      <c r="E72" s="158" t="s">
        <v>12</v>
      </c>
      <c r="F72" s="150">
        <v>77607.134399999995</v>
      </c>
      <c r="G72" s="139">
        <v>1</v>
      </c>
      <c r="H72" s="135">
        <f t="shared" si="1"/>
        <v>77607.13</v>
      </c>
    </row>
    <row r="73" spans="2:8" x14ac:dyDescent="0.25">
      <c r="B73" s="297" t="s">
        <v>100</v>
      </c>
      <c r="C73" s="297"/>
      <c r="D73" s="297"/>
      <c r="E73" s="297"/>
      <c r="F73" s="297"/>
      <c r="G73" s="297"/>
      <c r="H73" s="298"/>
    </row>
    <row r="74" spans="2:8" ht="15.75" x14ac:dyDescent="0.25">
      <c r="B74" s="136">
        <v>10249</v>
      </c>
      <c r="C74" s="136">
        <v>8.1</v>
      </c>
      <c r="D74" s="137" t="s">
        <v>101</v>
      </c>
      <c r="E74" s="138" t="s">
        <v>59</v>
      </c>
      <c r="F74" s="150">
        <v>2801069.1989999996</v>
      </c>
      <c r="G74" s="139">
        <v>1</v>
      </c>
      <c r="H74" s="135">
        <f t="shared" si="1"/>
        <v>2801069.2</v>
      </c>
    </row>
    <row r="75" spans="2:8" ht="15.75" x14ac:dyDescent="0.25">
      <c r="B75" s="136">
        <v>10143</v>
      </c>
      <c r="C75" s="136">
        <v>8.1999999999999993</v>
      </c>
      <c r="D75" s="137" t="s">
        <v>102</v>
      </c>
      <c r="E75" s="138" t="s">
        <v>59</v>
      </c>
      <c r="F75" s="150">
        <v>87778.433899999989</v>
      </c>
      <c r="G75" s="139">
        <v>1</v>
      </c>
      <c r="H75" s="135">
        <f t="shared" si="1"/>
        <v>87778.43</v>
      </c>
    </row>
    <row r="76" spans="2:8" x14ac:dyDescent="0.25">
      <c r="B76" s="297" t="s">
        <v>103</v>
      </c>
      <c r="C76" s="297"/>
      <c r="D76" s="297"/>
      <c r="E76" s="297"/>
      <c r="F76" s="297"/>
      <c r="G76" s="297"/>
      <c r="H76" s="298"/>
    </row>
    <row r="77" spans="2:8" ht="15.75" x14ac:dyDescent="0.25">
      <c r="B77" s="136">
        <v>10851</v>
      </c>
      <c r="C77" s="136">
        <v>9.1</v>
      </c>
      <c r="D77" s="137" t="s">
        <v>104</v>
      </c>
      <c r="E77" s="138" t="s">
        <v>39</v>
      </c>
      <c r="F77" s="150">
        <v>625717.87189999991</v>
      </c>
      <c r="G77" s="139">
        <v>1</v>
      </c>
      <c r="H77" s="135">
        <f>ROUND(G77*F77,2)</f>
        <v>625717.87</v>
      </c>
    </row>
    <row r="78" spans="2:8" ht="15.75" x14ac:dyDescent="0.25">
      <c r="B78" s="136">
        <v>10855</v>
      </c>
      <c r="C78" s="136">
        <v>9.1999999999999993</v>
      </c>
      <c r="D78" s="137" t="s">
        <v>105</v>
      </c>
      <c r="E78" s="138" t="s">
        <v>39</v>
      </c>
      <c r="F78" s="150">
        <v>265661.98300000001</v>
      </c>
      <c r="G78" s="139">
        <v>1</v>
      </c>
      <c r="H78" s="135">
        <f t="shared" si="1"/>
        <v>265661.98</v>
      </c>
    </row>
    <row r="79" spans="2:8" ht="16.5" thickBot="1" x14ac:dyDescent="0.3">
      <c r="B79" s="160"/>
      <c r="C79" s="160"/>
      <c r="D79" s="161"/>
      <c r="E79" s="162"/>
      <c r="F79" s="163"/>
      <c r="G79" s="164"/>
      <c r="H79" s="165"/>
    </row>
    <row r="80" spans="2:8" ht="16.5" thickBot="1" x14ac:dyDescent="0.3">
      <c r="B80" s="319" t="s">
        <v>106</v>
      </c>
      <c r="C80" s="319"/>
      <c r="D80" s="319"/>
      <c r="E80" s="319"/>
      <c r="F80" s="320"/>
      <c r="G80" s="321"/>
      <c r="H80" s="166">
        <f>SUM(H11:H79)</f>
        <v>80536168.26000002</v>
      </c>
    </row>
    <row r="81" spans="2:12" ht="16.5" thickBot="1" x14ac:dyDescent="0.3">
      <c r="B81" s="167"/>
      <c r="C81" s="167"/>
      <c r="D81" s="167"/>
      <c r="E81" s="167"/>
      <c r="F81" s="167"/>
      <c r="G81" s="167"/>
      <c r="H81" s="168"/>
    </row>
    <row r="82" spans="2:12" ht="16.5" thickBot="1" x14ac:dyDescent="0.3">
      <c r="B82" s="322" t="s">
        <v>107</v>
      </c>
      <c r="C82" s="323"/>
      <c r="D82" s="323"/>
      <c r="E82" s="323"/>
      <c r="F82" s="323"/>
      <c r="G82" s="324"/>
      <c r="H82" s="166">
        <v>332501324.94648302</v>
      </c>
      <c r="J82" s="282"/>
    </row>
    <row r="83" spans="2:12" ht="15.75" x14ac:dyDescent="0.25">
      <c r="B83" s="325"/>
      <c r="C83" s="325"/>
      <c r="D83" s="325"/>
      <c r="E83" s="325"/>
      <c r="F83" s="325"/>
      <c r="G83" s="325"/>
      <c r="H83" s="325"/>
      <c r="J83" s="285"/>
    </row>
    <row r="84" spans="2:12" ht="15.75" x14ac:dyDescent="0.25">
      <c r="B84" s="170"/>
      <c r="C84" s="170"/>
      <c r="D84" s="171" t="s">
        <v>108</v>
      </c>
      <c r="E84" s="172">
        <v>0.03</v>
      </c>
      <c r="F84" s="274">
        <f>'Analisis AIU'!N60</f>
        <v>8005146.4515073383</v>
      </c>
      <c r="G84" s="326" t="s">
        <v>109</v>
      </c>
      <c r="H84" s="327"/>
      <c r="J84" s="282"/>
    </row>
    <row r="85" spans="2:12" ht="15.75" x14ac:dyDescent="0.25">
      <c r="B85" s="170"/>
      <c r="C85" s="170"/>
      <c r="D85" s="171" t="s">
        <v>110</v>
      </c>
      <c r="E85" s="172">
        <v>0.02</v>
      </c>
      <c r="F85" s="274">
        <f>'Analisis AIU'!N59</f>
        <v>5336764.3010048931</v>
      </c>
      <c r="G85" s="326" t="s">
        <v>109</v>
      </c>
      <c r="H85" s="327"/>
    </row>
    <row r="86" spans="2:12" ht="15.75" x14ac:dyDescent="0.25">
      <c r="B86" s="170"/>
      <c r="C86" s="170"/>
      <c r="D86" s="171" t="s">
        <v>111</v>
      </c>
      <c r="E86" s="172">
        <v>0.02</v>
      </c>
      <c r="F86" s="274">
        <f>'Analisis AIU'!N61</f>
        <v>5336764.3010048931</v>
      </c>
      <c r="G86" s="326" t="s">
        <v>109</v>
      </c>
      <c r="H86" s="327"/>
    </row>
    <row r="87" spans="2:12" ht="16.5" thickBot="1" x14ac:dyDescent="0.3">
      <c r="B87" s="173"/>
      <c r="C87" s="173"/>
      <c r="D87" s="174"/>
      <c r="E87" s="175"/>
      <c r="F87" s="176"/>
      <c r="G87" s="177"/>
      <c r="H87" s="177"/>
    </row>
    <row r="88" spans="2:12" ht="16.5" thickBot="1" x14ac:dyDescent="0.3">
      <c r="B88" s="316" t="s">
        <v>112</v>
      </c>
      <c r="C88" s="317"/>
      <c r="D88" s="317"/>
      <c r="E88" s="318"/>
      <c r="F88" s="258">
        <f>F86+F85+F84</f>
        <v>18678675.053517126</v>
      </c>
      <c r="G88" s="177"/>
      <c r="H88" s="177"/>
    </row>
    <row r="89" spans="2:12" ht="16.5" thickBot="1" x14ac:dyDescent="0.3">
      <c r="B89" s="178"/>
      <c r="C89" s="178"/>
      <c r="D89" s="178"/>
      <c r="E89" s="178"/>
      <c r="F89" s="179"/>
      <c r="G89" s="177"/>
      <c r="H89" s="177"/>
    </row>
    <row r="90" spans="2:12" ht="16.5" thickBot="1" x14ac:dyDescent="0.3">
      <c r="B90" s="316" t="s">
        <v>113</v>
      </c>
      <c r="C90" s="317"/>
      <c r="D90" s="317"/>
      <c r="E90" s="318"/>
      <c r="F90" s="278">
        <f>H82+F88</f>
        <v>351180000.00000012</v>
      </c>
      <c r="G90" s="177"/>
      <c r="H90" s="177"/>
      <c r="I90" s="39"/>
      <c r="L90" s="282"/>
    </row>
    <row r="91" spans="2:12" ht="16.5" thickBot="1" x14ac:dyDescent="0.3">
      <c r="B91" s="180"/>
      <c r="C91" s="180"/>
      <c r="D91" s="180"/>
      <c r="E91" s="169"/>
      <c r="F91" s="164"/>
      <c r="G91" s="164"/>
      <c r="H91" s="181"/>
    </row>
    <row r="92" spans="2:12" ht="15.75" x14ac:dyDescent="0.25">
      <c r="B92" s="335"/>
      <c r="C92" s="336"/>
      <c r="D92" s="337"/>
      <c r="E92" s="338" t="s">
        <v>114</v>
      </c>
      <c r="F92" s="339"/>
      <c r="G92" s="182" t="s">
        <v>115</v>
      </c>
      <c r="H92" s="183"/>
    </row>
    <row r="93" spans="2:12" ht="15.75" x14ac:dyDescent="0.25">
      <c r="B93" s="340"/>
      <c r="C93" s="341"/>
      <c r="D93" s="342"/>
      <c r="E93" s="350" t="s">
        <v>116</v>
      </c>
      <c r="F93" s="351"/>
      <c r="G93" s="184">
        <f>+'Analisis AIU'!F66</f>
        <v>0.25607835814346697</v>
      </c>
      <c r="H93" s="183"/>
    </row>
    <row r="94" spans="2:12" ht="15.75" customHeight="1" x14ac:dyDescent="0.25">
      <c r="B94" s="431" t="s">
        <v>232</v>
      </c>
      <c r="C94" s="432"/>
      <c r="D94" s="433"/>
      <c r="E94" s="343" t="s">
        <v>117</v>
      </c>
      <c r="F94" s="344"/>
      <c r="G94" s="185">
        <f>+'Analisis AIU'!F67</f>
        <v>0.01</v>
      </c>
      <c r="H94" s="183"/>
    </row>
    <row r="95" spans="2:12" ht="31.5" customHeight="1" x14ac:dyDescent="0.25">
      <c r="B95" s="345"/>
      <c r="C95" s="346"/>
      <c r="D95" s="347"/>
      <c r="E95" s="348" t="s">
        <v>118</v>
      </c>
      <c r="F95" s="349"/>
      <c r="G95" s="185">
        <f>+'Analisis AIU'!F68</f>
        <v>0.05</v>
      </c>
      <c r="H95" s="183"/>
    </row>
    <row r="96" spans="2:12" ht="27.75" customHeight="1" thickBot="1" x14ac:dyDescent="0.3">
      <c r="B96" s="330"/>
      <c r="C96" s="331"/>
      <c r="D96" s="332"/>
      <c r="E96" s="333" t="s">
        <v>119</v>
      </c>
      <c r="F96" s="334"/>
      <c r="G96" s="186">
        <f>SUM(G93:G95)</f>
        <v>0.31607835814346696</v>
      </c>
      <c r="H96" s="183"/>
    </row>
    <row r="98" spans="2:4" ht="15" customHeight="1" x14ac:dyDescent="0.25">
      <c r="B98" s="329" t="s">
        <v>227</v>
      </c>
      <c r="C98" s="328" t="s">
        <v>231</v>
      </c>
      <c r="D98" s="328"/>
    </row>
    <row r="99" spans="2:4" x14ac:dyDescent="0.25">
      <c r="B99" s="329"/>
      <c r="C99" s="328"/>
      <c r="D99" s="328"/>
    </row>
    <row r="100" spans="2:4" x14ac:dyDescent="0.25">
      <c r="B100" s="329"/>
      <c r="C100" s="328"/>
      <c r="D100" s="328"/>
    </row>
    <row r="101" spans="2:4" x14ac:dyDescent="0.25">
      <c r="B101" s="329"/>
      <c r="C101" s="328"/>
      <c r="D101" s="328"/>
    </row>
    <row r="102" spans="2:4" x14ac:dyDescent="0.25">
      <c r="B102" s="329"/>
      <c r="C102" s="328"/>
      <c r="D102" s="328"/>
    </row>
    <row r="103" spans="2:4" ht="38.25" customHeight="1" x14ac:dyDescent="0.25">
      <c r="B103" s="329"/>
      <c r="C103" s="328"/>
      <c r="D103" s="328"/>
    </row>
    <row r="104" spans="2:4" x14ac:dyDescent="0.25">
      <c r="B104" s="329"/>
      <c r="C104" s="328"/>
      <c r="D104" s="328"/>
    </row>
    <row r="105" spans="2:4" x14ac:dyDescent="0.25">
      <c r="B105" s="329"/>
      <c r="C105" s="328"/>
      <c r="D105" s="328"/>
    </row>
    <row r="106" spans="2:4" x14ac:dyDescent="0.25">
      <c r="B106" s="329"/>
      <c r="C106" s="328"/>
      <c r="D106" s="328"/>
    </row>
  </sheetData>
  <mergeCells count="35">
    <mergeCell ref="C98:D106"/>
    <mergeCell ref="B98:B106"/>
    <mergeCell ref="B96:D96"/>
    <mergeCell ref="E96:F96"/>
    <mergeCell ref="B92:D92"/>
    <mergeCell ref="E92:F92"/>
    <mergeCell ref="B93:D93"/>
    <mergeCell ref="B94:D94"/>
    <mergeCell ref="E94:F94"/>
    <mergeCell ref="B95:D95"/>
    <mergeCell ref="E95:F95"/>
    <mergeCell ref="E93:F93"/>
    <mergeCell ref="B90:E90"/>
    <mergeCell ref="B71:H71"/>
    <mergeCell ref="B73:H73"/>
    <mergeCell ref="B76:H76"/>
    <mergeCell ref="B80:G80"/>
    <mergeCell ref="B82:G82"/>
    <mergeCell ref="B83:H83"/>
    <mergeCell ref="G84:H84"/>
    <mergeCell ref="G85:H85"/>
    <mergeCell ref="G86:H86"/>
    <mergeCell ref="B88:E88"/>
    <mergeCell ref="B69:H69"/>
    <mergeCell ref="G2:H7"/>
    <mergeCell ref="B8:H8"/>
    <mergeCell ref="C10:D10"/>
    <mergeCell ref="B31:H31"/>
    <mergeCell ref="B41:H41"/>
    <mergeCell ref="B45:H45"/>
    <mergeCell ref="B47:H47"/>
    <mergeCell ref="B2:C7"/>
    <mergeCell ref="D2:F2"/>
    <mergeCell ref="D3:F4"/>
    <mergeCell ref="D5:F7"/>
  </mergeCells>
  <dataValidations disablePrompts="1" count="5">
    <dataValidation allowBlank="1" showInputMessage="1" showErrorMessage="1" promptTitle="Descripción" prompt="Escriba la descripción de la condición contractual" sqref="D9" xr:uid="{00000000-0002-0000-0000-000000000000}"/>
    <dataValidation allowBlank="1" showInputMessage="1" showErrorMessage="1" promptTitle="Unidad" prompt="Escriba la unidad de medida de las condiciones contractuales relacionadas" sqref="E9" xr:uid="{00000000-0002-0000-0000-000001000000}"/>
    <dataValidation allowBlank="1" showInputMessage="1" showErrorMessage="1" prompt="Escriba la unidad que maneja  el elemento relacionado" sqref="E48:E50" xr:uid="{00000000-0002-0000-0000-000002000000}">
      <formula1>0</formula1>
      <formula2>0</formula2>
    </dataValidation>
    <dataValidation allowBlank="1" showInputMessage="1" showErrorMessage="1" prompt="Haga una  descripción clara y concisa  del item al que se le fije  el respectivo precio" sqref="D35 B76:C76 B73:C73" xr:uid="{00000000-0002-0000-0000-000003000000}">
      <formula1>0</formula1>
      <formula2>0</formula2>
    </dataValidation>
    <dataValidation allowBlank="1" showInputMessage="1" showErrorMessage="1" promptTitle="Item" prompt="Escriba el item relacionado en la propuesta" sqref="B9:C9" xr:uid="{00000000-0002-0000-0000-000004000000}"/>
  </dataValidations>
  <pageMargins left="0.7" right="0.7" top="0.75" bottom="0.75" header="0.3" footer="0.3"/>
  <pageSetup orientation="portrait" horizont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E699"/>
    <pageSetUpPr fitToPage="1"/>
  </sheetPr>
  <dimension ref="A1:T80"/>
  <sheetViews>
    <sheetView view="pageBreakPreview" topLeftCell="B52" zoomScale="60" zoomScaleNormal="64" workbookViewId="0">
      <selection activeCell="L77" sqref="L77"/>
    </sheetView>
  </sheetViews>
  <sheetFormatPr baseColWidth="10" defaultColWidth="9.140625" defaultRowHeight="15" x14ac:dyDescent="0.25"/>
  <cols>
    <col min="2" max="2" width="16.85546875" customWidth="1"/>
    <col min="3" max="3" width="45.5703125" customWidth="1"/>
    <col min="4" max="4" width="19" customWidth="1"/>
    <col min="5" max="5" width="17.28515625" customWidth="1"/>
    <col min="6" max="6" width="19.5703125" bestFit="1" customWidth="1"/>
    <col min="7" max="7" width="14.5703125" customWidth="1"/>
    <col min="8" max="9" width="20.140625" bestFit="1" customWidth="1"/>
    <col min="10" max="10" width="16.7109375" bestFit="1" customWidth="1"/>
    <col min="11" max="11" width="20.28515625" bestFit="1" customWidth="1"/>
    <col min="12" max="12" width="21.85546875" customWidth="1"/>
    <col min="13" max="13" width="22.42578125" customWidth="1"/>
    <col min="14" max="14" width="24.85546875" customWidth="1"/>
    <col min="15" max="15" width="19.140625" bestFit="1" customWidth="1"/>
    <col min="16" max="16" width="7" customWidth="1"/>
    <col min="17" max="17" width="18.7109375" hidden="1" customWidth="1"/>
    <col min="18" max="18" width="5" hidden="1" customWidth="1"/>
    <col min="19" max="19" width="31.85546875" hidden="1" customWidth="1"/>
    <col min="20" max="20" width="27" hidden="1" customWidth="1"/>
    <col min="21" max="24" width="0" hidden="1" customWidth="1"/>
  </cols>
  <sheetData>
    <row r="1" spans="1:20" ht="15.75" customHeight="1" x14ac:dyDescent="0.25">
      <c r="A1" s="1"/>
      <c r="B1" s="404" t="s">
        <v>120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54"/>
      <c r="S1" s="200"/>
      <c r="T1" s="200"/>
    </row>
    <row r="2" spans="1:20" ht="30.75" customHeight="1" x14ac:dyDescent="0.25">
      <c r="A2" s="6"/>
      <c r="B2" s="405">
        <v>5</v>
      </c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14"/>
      <c r="S2" s="200"/>
      <c r="T2" s="200"/>
    </row>
    <row r="3" spans="1:20" x14ac:dyDescent="0.25">
      <c r="A3" s="2"/>
      <c r="B3" s="406" t="s">
        <v>121</v>
      </c>
      <c r="C3" s="406"/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  <c r="O3" s="55"/>
      <c r="S3" s="200"/>
      <c r="T3" s="200"/>
    </row>
    <row r="4" spans="1:20" x14ac:dyDescent="0.25">
      <c r="S4" s="200"/>
      <c r="T4" s="200"/>
    </row>
    <row r="5" spans="1:20" ht="15.75" thickBot="1" x14ac:dyDescent="0.3">
      <c r="C5" s="57" t="s">
        <v>122</v>
      </c>
      <c r="D5" s="58">
        <v>351180000</v>
      </c>
      <c r="E5" s="237"/>
    </row>
    <row r="6" spans="1:20" ht="15.75" thickBot="1" x14ac:dyDescent="0.3">
      <c r="C6" s="3" t="s">
        <v>123</v>
      </c>
      <c r="D6" s="281">
        <v>4</v>
      </c>
      <c r="E6" t="s">
        <v>124</v>
      </c>
      <c r="J6" s="109"/>
    </row>
    <row r="7" spans="1:20" x14ac:dyDescent="0.25">
      <c r="C7" s="64"/>
      <c r="G7" s="352"/>
      <c r="H7" s="352"/>
    </row>
    <row r="8" spans="1:20" x14ac:dyDescent="0.25">
      <c r="A8" s="64" t="s">
        <v>125</v>
      </c>
      <c r="C8" s="64"/>
    </row>
    <row r="9" spans="1:20" x14ac:dyDescent="0.25">
      <c r="A9" s="64"/>
      <c r="C9" s="64"/>
    </row>
    <row r="10" spans="1:20" x14ac:dyDescent="0.25">
      <c r="A10" t="s">
        <v>126</v>
      </c>
      <c r="M10" s="140"/>
    </row>
    <row r="11" spans="1:20" ht="30.75" thickBot="1" x14ac:dyDescent="0.3">
      <c r="A11" s="387" t="s">
        <v>127</v>
      </c>
      <c r="B11" s="60" t="s">
        <v>128</v>
      </c>
      <c r="C11" s="26" t="s">
        <v>129</v>
      </c>
      <c r="D11" s="26" t="s">
        <v>8</v>
      </c>
      <c r="E11" s="26" t="s">
        <v>130</v>
      </c>
      <c r="F11" s="26" t="s">
        <v>131</v>
      </c>
      <c r="G11" s="26" t="s">
        <v>132</v>
      </c>
      <c r="H11" s="26" t="s">
        <v>133</v>
      </c>
      <c r="I11" s="26" t="s">
        <v>134</v>
      </c>
      <c r="J11" s="26" t="s">
        <v>135</v>
      </c>
      <c r="K11" s="26" t="s">
        <v>136</v>
      </c>
      <c r="L11" s="65" t="s">
        <v>137</v>
      </c>
      <c r="M11" s="65" t="s">
        <v>138</v>
      </c>
      <c r="N11" s="26" t="s">
        <v>139</v>
      </c>
      <c r="O11" s="61" t="s">
        <v>140</v>
      </c>
      <c r="S11" s="259" t="s">
        <v>141</v>
      </c>
      <c r="T11" s="260" t="s">
        <v>142</v>
      </c>
    </row>
    <row r="12" spans="1:20" ht="17.25" thickBot="1" x14ac:dyDescent="0.35">
      <c r="A12" s="388"/>
      <c r="B12" s="390" t="s">
        <v>143</v>
      </c>
      <c r="C12" s="279" t="s">
        <v>144</v>
      </c>
      <c r="D12" s="13">
        <v>1</v>
      </c>
      <c r="E12" s="13">
        <v>9111</v>
      </c>
      <c r="F12" s="23">
        <v>7108000</v>
      </c>
      <c r="G12" s="12">
        <v>0.15</v>
      </c>
      <c r="H12" s="12">
        <v>0.15</v>
      </c>
      <c r="I12" s="12">
        <v>0.15</v>
      </c>
      <c r="J12" s="12">
        <v>0.15</v>
      </c>
      <c r="K12" s="12">
        <v>0.15</v>
      </c>
      <c r="L12" s="62">
        <f>(((G12+H12)/2)+I12+J12+K12)/4</f>
        <v>0.15</v>
      </c>
      <c r="M12" s="199">
        <v>1.69</v>
      </c>
      <c r="N12" s="24">
        <f>+(F12*L12/4)*M12</f>
        <v>450469.5</v>
      </c>
      <c r="O12" s="25">
        <f>+N12*4</f>
        <v>1801878</v>
      </c>
      <c r="Q12" s="89"/>
      <c r="S12" s="261">
        <f>(+F12*L12)/4</f>
        <v>266550</v>
      </c>
      <c r="T12" s="262">
        <f>+S12*4</f>
        <v>1066200</v>
      </c>
    </row>
    <row r="13" spans="1:20" ht="17.25" thickBot="1" x14ac:dyDescent="0.35">
      <c r="A13" s="388"/>
      <c r="B13" s="390"/>
      <c r="C13" s="280" t="s">
        <v>145</v>
      </c>
      <c r="D13" s="103">
        <v>1</v>
      </c>
      <c r="E13" s="103">
        <v>9112</v>
      </c>
      <c r="F13" s="110">
        <v>6339000</v>
      </c>
      <c r="G13" s="104">
        <v>1</v>
      </c>
      <c r="H13" s="104">
        <v>1</v>
      </c>
      <c r="I13" s="104">
        <v>1</v>
      </c>
      <c r="J13" s="104">
        <v>1</v>
      </c>
      <c r="K13" s="104">
        <v>1</v>
      </c>
      <c r="L13" s="62">
        <f>(((G13+H13)/2)+I13+J13+K13)/4</f>
        <v>1</v>
      </c>
      <c r="M13" s="199">
        <v>1.69</v>
      </c>
      <c r="N13" s="24">
        <f>+F13*L13/4*M13</f>
        <v>2678227.5</v>
      </c>
      <c r="O13" s="25">
        <f>+N13*4</f>
        <v>10712910</v>
      </c>
      <c r="Q13" s="89"/>
      <c r="S13" s="261">
        <f>(+F13*L13)/4</f>
        <v>1584750</v>
      </c>
      <c r="T13" s="262">
        <f>+S13*4</f>
        <v>6339000</v>
      </c>
    </row>
    <row r="14" spans="1:20" ht="17.25" thickBot="1" x14ac:dyDescent="0.35">
      <c r="A14" s="388"/>
      <c r="B14" s="390"/>
      <c r="C14" s="5" t="s">
        <v>146</v>
      </c>
      <c r="D14" s="103">
        <v>1</v>
      </c>
      <c r="E14" s="13">
        <v>9111</v>
      </c>
      <c r="F14" s="23">
        <v>7108000</v>
      </c>
      <c r="G14" s="104">
        <v>0.1</v>
      </c>
      <c r="H14" s="104">
        <v>0</v>
      </c>
      <c r="I14" s="104">
        <v>0</v>
      </c>
      <c r="J14" s="104">
        <v>0</v>
      </c>
      <c r="K14" s="104">
        <v>0</v>
      </c>
      <c r="L14" s="62">
        <f t="shared" ref="L14:L18" si="0">(((G14+H14)/2)+I14+J14+K14)/4</f>
        <v>1.2500000000000001E-2</v>
      </c>
      <c r="M14" s="199">
        <v>1.69</v>
      </c>
      <c r="N14" s="24">
        <f>+F14*L14/1*M14</f>
        <v>150156.5</v>
      </c>
      <c r="O14" s="25">
        <f t="shared" ref="O14:O18" si="1">+N14*4</f>
        <v>600626</v>
      </c>
      <c r="Q14" s="81"/>
      <c r="S14" s="261">
        <f t="shared" ref="S14:S17" si="2">(+F14*L14)/4</f>
        <v>22212.5</v>
      </c>
      <c r="T14" s="262">
        <f t="shared" ref="T14:T18" si="3">+S14*4</f>
        <v>88850</v>
      </c>
    </row>
    <row r="15" spans="1:20" ht="17.25" thickBot="1" x14ac:dyDescent="0.35">
      <c r="A15" s="388"/>
      <c r="B15" s="390"/>
      <c r="C15" s="5" t="s">
        <v>147</v>
      </c>
      <c r="D15" s="103">
        <v>1</v>
      </c>
      <c r="E15" s="13">
        <v>9111</v>
      </c>
      <c r="F15" s="23">
        <v>7108000</v>
      </c>
      <c r="G15" s="104">
        <v>0.1</v>
      </c>
      <c r="H15" s="104">
        <v>0</v>
      </c>
      <c r="I15" s="104">
        <v>0</v>
      </c>
      <c r="J15" s="104">
        <v>0</v>
      </c>
      <c r="K15" s="104">
        <v>0</v>
      </c>
      <c r="L15" s="62">
        <f t="shared" si="0"/>
        <v>1.2500000000000001E-2</v>
      </c>
      <c r="M15" s="199">
        <v>1.69</v>
      </c>
      <c r="N15" s="24">
        <f>+F15*L15/1*M15</f>
        <v>150156.5</v>
      </c>
      <c r="O15" s="25">
        <f t="shared" si="1"/>
        <v>600626</v>
      </c>
      <c r="Q15" s="47"/>
      <c r="S15" s="261">
        <f>(+F15*L15)/4</f>
        <v>22212.5</v>
      </c>
      <c r="T15" s="262">
        <f t="shared" si="3"/>
        <v>88850</v>
      </c>
    </row>
    <row r="16" spans="1:20" ht="17.25" thickBot="1" x14ac:dyDescent="0.35">
      <c r="A16" s="388"/>
      <c r="B16" s="390"/>
      <c r="C16" s="5" t="s">
        <v>148</v>
      </c>
      <c r="D16" s="103">
        <v>1</v>
      </c>
      <c r="E16" s="103">
        <v>9113</v>
      </c>
      <c r="F16" s="110">
        <v>4793000</v>
      </c>
      <c r="G16" s="104">
        <v>0</v>
      </c>
      <c r="H16" s="104">
        <v>0.1</v>
      </c>
      <c r="I16" s="104">
        <v>0.1</v>
      </c>
      <c r="J16" s="104">
        <v>0.1</v>
      </c>
      <c r="K16" s="104">
        <v>0.1</v>
      </c>
      <c r="L16" s="62">
        <f t="shared" si="0"/>
        <v>8.7499999999999994E-2</v>
      </c>
      <c r="M16" s="199">
        <v>1.69</v>
      </c>
      <c r="N16" s="24">
        <f>+F16*L16/4*M16</f>
        <v>177191.21875</v>
      </c>
      <c r="O16" s="25">
        <f t="shared" si="1"/>
        <v>708764.875</v>
      </c>
      <c r="S16" s="261">
        <f t="shared" si="2"/>
        <v>104846.875</v>
      </c>
      <c r="T16" s="262">
        <f t="shared" si="3"/>
        <v>419387.5</v>
      </c>
    </row>
    <row r="17" spans="1:20" ht="17.25" thickBot="1" x14ac:dyDescent="0.35">
      <c r="A17" s="388"/>
      <c r="B17" s="390"/>
      <c r="C17" s="5" t="s">
        <v>149</v>
      </c>
      <c r="D17" s="103">
        <v>1</v>
      </c>
      <c r="E17" s="103">
        <v>9113</v>
      </c>
      <c r="F17" s="110">
        <v>4793000</v>
      </c>
      <c r="G17" s="104">
        <v>0</v>
      </c>
      <c r="H17" s="104">
        <v>0.2</v>
      </c>
      <c r="I17" s="104">
        <v>0.2</v>
      </c>
      <c r="J17" s="104">
        <v>0.2</v>
      </c>
      <c r="K17" s="104">
        <v>0.2</v>
      </c>
      <c r="L17" s="62">
        <f t="shared" si="0"/>
        <v>0.17499999999999999</v>
      </c>
      <c r="M17" s="199">
        <v>1.69</v>
      </c>
      <c r="N17" s="24">
        <f>+F17*L17/4*M17</f>
        <v>354382.4375</v>
      </c>
      <c r="O17" s="25">
        <f t="shared" si="1"/>
        <v>1417529.75</v>
      </c>
      <c r="S17" s="261">
        <f t="shared" si="2"/>
        <v>209693.75</v>
      </c>
      <c r="T17" s="262">
        <f t="shared" si="3"/>
        <v>838775</v>
      </c>
    </row>
    <row r="18" spans="1:20" ht="16.5" x14ac:dyDescent="0.3">
      <c r="A18" s="388"/>
      <c r="B18" s="390"/>
      <c r="C18" s="5" t="s">
        <v>150</v>
      </c>
      <c r="D18" s="103">
        <v>1</v>
      </c>
      <c r="E18" s="103">
        <v>9113</v>
      </c>
      <c r="F18" s="110">
        <v>4793000</v>
      </c>
      <c r="G18" s="105">
        <v>0</v>
      </c>
      <c r="H18" s="105">
        <v>0.2</v>
      </c>
      <c r="I18" s="105">
        <v>0.2</v>
      </c>
      <c r="J18" s="105">
        <v>0.2</v>
      </c>
      <c r="K18" s="105">
        <v>0.2</v>
      </c>
      <c r="L18" s="62">
        <f t="shared" si="0"/>
        <v>0.17499999999999999</v>
      </c>
      <c r="M18" s="199">
        <v>1.69</v>
      </c>
      <c r="N18" s="24">
        <f>+F18*L18/4*M18</f>
        <v>354382.4375</v>
      </c>
      <c r="O18" s="25">
        <f t="shared" si="1"/>
        <v>1417529.75</v>
      </c>
      <c r="S18" s="263">
        <f>(+F18*L18)/4</f>
        <v>209693.75</v>
      </c>
      <c r="T18" s="264">
        <f t="shared" si="3"/>
        <v>838775</v>
      </c>
    </row>
    <row r="19" spans="1:20" ht="16.5" x14ac:dyDescent="0.3">
      <c r="A19" s="388"/>
      <c r="B19" s="390"/>
      <c r="C19" s="391" t="s">
        <v>151</v>
      </c>
      <c r="D19" s="392"/>
      <c r="E19" s="392"/>
      <c r="F19" s="392"/>
      <c r="G19" s="392"/>
      <c r="H19" s="392"/>
      <c r="I19" s="392"/>
      <c r="J19" s="392"/>
      <c r="K19" s="392"/>
      <c r="L19" s="392"/>
      <c r="M19" s="393"/>
      <c r="N19" s="15">
        <f>SUM(N12:N18)</f>
        <v>4314966.09375</v>
      </c>
      <c r="O19" s="22">
        <f>SUM(O12:O18)</f>
        <v>17259864.375</v>
      </c>
      <c r="S19" s="265">
        <f>SUM(S12:S18)</f>
        <v>2419959.375</v>
      </c>
      <c r="T19" s="266">
        <f>SUM(T12:T18)</f>
        <v>9679837.5</v>
      </c>
    </row>
    <row r="20" spans="1:20" ht="15.75" thickBot="1" x14ac:dyDescent="0.3">
      <c r="A20" s="388"/>
      <c r="O20" s="14"/>
      <c r="T20" s="14"/>
    </row>
    <row r="21" spans="1:20" ht="17.25" thickBot="1" x14ac:dyDescent="0.35">
      <c r="A21" s="388"/>
      <c r="B21" s="394" t="s">
        <v>152</v>
      </c>
      <c r="C21" s="204" t="s">
        <v>153</v>
      </c>
      <c r="D21" s="205">
        <v>1</v>
      </c>
      <c r="E21" s="205">
        <v>9089</v>
      </c>
      <c r="F21" s="206">
        <v>2739000</v>
      </c>
      <c r="G21" s="207">
        <v>0</v>
      </c>
      <c r="H21" s="207">
        <v>0.1</v>
      </c>
      <c r="I21" s="207">
        <v>0.1</v>
      </c>
      <c r="J21" s="207">
        <v>0.1</v>
      </c>
      <c r="K21" s="207">
        <v>0.1</v>
      </c>
      <c r="L21" s="208">
        <f>(((G21+H21)/2)+I21+J21+K21)/4</f>
        <v>8.7499999999999994E-2</v>
      </c>
      <c r="M21" s="209">
        <v>1.69</v>
      </c>
      <c r="N21" s="210">
        <f>+F21*L21/4*M21</f>
        <v>101257.40624999999</v>
      </c>
      <c r="O21" s="211">
        <f>+N21*4</f>
        <v>405029.62499999994</v>
      </c>
      <c r="S21" s="267">
        <f>(+F21*L21)/4</f>
        <v>59915.624999999993</v>
      </c>
      <c r="T21" s="268">
        <f>+S21*4</f>
        <v>239662.49999999997</v>
      </c>
    </row>
    <row r="22" spans="1:20" ht="17.25" thickBot="1" x14ac:dyDescent="0.35">
      <c r="A22" s="388"/>
      <c r="B22" s="395"/>
      <c r="C22" s="212" t="s">
        <v>154</v>
      </c>
      <c r="D22" s="103">
        <v>1</v>
      </c>
      <c r="E22" s="103">
        <v>9088</v>
      </c>
      <c r="F22" s="110">
        <v>3092000</v>
      </c>
      <c r="G22" s="104">
        <v>0</v>
      </c>
      <c r="H22" s="11">
        <v>0.1</v>
      </c>
      <c r="I22" s="11">
        <v>0.1</v>
      </c>
      <c r="J22" s="11">
        <v>0.1</v>
      </c>
      <c r="K22" s="11">
        <v>0.1</v>
      </c>
      <c r="L22" s="62">
        <f>(((G22+H22)/2)+I22+J22+K22)/4</f>
        <v>8.7499999999999994E-2</v>
      </c>
      <c r="M22" s="209">
        <v>1.69</v>
      </c>
      <c r="N22" s="203">
        <f>+F22*L22/1*M22</f>
        <v>457229.5</v>
      </c>
      <c r="O22" s="213">
        <f>+N22*4</f>
        <v>1828918</v>
      </c>
      <c r="Q22" s="47"/>
      <c r="S22" s="261">
        <f t="shared" ref="S22:S23" si="4">(+F22*L22)/4</f>
        <v>67637.5</v>
      </c>
      <c r="T22" s="262">
        <f>+S22*4</f>
        <v>270550</v>
      </c>
    </row>
    <row r="23" spans="1:20" ht="17.25" thickBot="1" x14ac:dyDescent="0.35">
      <c r="A23" s="388"/>
      <c r="B23" s="396"/>
      <c r="C23" s="214" t="s">
        <v>155</v>
      </c>
      <c r="D23" s="215">
        <v>1</v>
      </c>
      <c r="E23" s="215">
        <v>9098</v>
      </c>
      <c r="F23" s="216">
        <v>1917000</v>
      </c>
      <c r="G23" s="217">
        <v>0</v>
      </c>
      <c r="H23" s="218">
        <v>0.1</v>
      </c>
      <c r="I23" s="218">
        <v>0.1</v>
      </c>
      <c r="J23" s="218">
        <v>0.1</v>
      </c>
      <c r="K23" s="218">
        <v>0.1</v>
      </c>
      <c r="L23" s="219">
        <f>(((G23+H23)/2)+I23+J23+K23)/4</f>
        <v>8.7499999999999994E-2</v>
      </c>
      <c r="M23" s="209">
        <v>1.69</v>
      </c>
      <c r="N23" s="220">
        <f>+F23*D23*L23/1*M23</f>
        <v>283476.375</v>
      </c>
      <c r="O23" s="221">
        <f>+N23*4</f>
        <v>1133905.5</v>
      </c>
      <c r="Q23" s="47"/>
      <c r="S23" s="269">
        <f t="shared" si="4"/>
        <v>41934.375</v>
      </c>
      <c r="T23" s="270">
        <f>+S23*4</f>
        <v>167737.5</v>
      </c>
    </row>
    <row r="24" spans="1:20" ht="17.25" thickBot="1" x14ac:dyDescent="0.35">
      <c r="A24" s="388"/>
      <c r="B24" s="397"/>
      <c r="C24" s="398" t="s">
        <v>151</v>
      </c>
      <c r="D24" s="399"/>
      <c r="E24" s="399"/>
      <c r="F24" s="399"/>
      <c r="G24" s="399"/>
      <c r="H24" s="399"/>
      <c r="I24" s="399"/>
      <c r="J24" s="399"/>
      <c r="K24" s="399"/>
      <c r="L24" s="399"/>
      <c r="M24" s="400"/>
      <c r="N24" s="222">
        <f>SUM(N21:N23)</f>
        <v>841963.28125</v>
      </c>
      <c r="O24" s="223">
        <f>SUM(O21:O23)</f>
        <v>3367853.125</v>
      </c>
      <c r="Q24" s="47"/>
      <c r="S24" s="238">
        <f>SUM(S21:S23)</f>
        <v>169487.5</v>
      </c>
      <c r="T24" s="239">
        <f>SUM(T21:T23)</f>
        <v>677950</v>
      </c>
    </row>
    <row r="25" spans="1:20" ht="16.5" x14ac:dyDescent="0.3">
      <c r="A25" s="388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20"/>
      <c r="S25" s="4"/>
      <c r="T25" s="20"/>
    </row>
    <row r="26" spans="1:20" ht="17.25" thickBot="1" x14ac:dyDescent="0.35">
      <c r="A26" s="388"/>
      <c r="B26" s="401" t="s">
        <v>156</v>
      </c>
      <c r="C26" s="204" t="s">
        <v>157</v>
      </c>
      <c r="D26" s="205">
        <v>1</v>
      </c>
      <c r="E26" s="205">
        <v>9104</v>
      </c>
      <c r="F26" s="225">
        <v>1670000</v>
      </c>
      <c r="G26" s="208">
        <v>0.2</v>
      </c>
      <c r="H26" s="208">
        <v>0.2</v>
      </c>
      <c r="I26" s="208">
        <v>0.2</v>
      </c>
      <c r="J26" s="208">
        <v>0.2</v>
      </c>
      <c r="K26" s="208">
        <v>0.2</v>
      </c>
      <c r="L26" s="208">
        <f t="shared" ref="L26:L27" si="5">(((G26+H26)/2)+I26+J26+K26)/4</f>
        <v>0.2</v>
      </c>
      <c r="M26" s="226">
        <v>1.69</v>
      </c>
      <c r="N26" s="227">
        <f>+F26*L26/4*M26</f>
        <v>141115</v>
      </c>
      <c r="O26" s="211">
        <f>+N26*4</f>
        <v>564460</v>
      </c>
      <c r="Q26" s="47"/>
      <c r="S26" s="267">
        <f>(+F26*L26)/4</f>
        <v>83500</v>
      </c>
      <c r="T26" s="268">
        <f>+S26*4</f>
        <v>334000</v>
      </c>
    </row>
    <row r="27" spans="1:20" ht="17.25" thickBot="1" x14ac:dyDescent="0.35">
      <c r="A27" s="388"/>
      <c r="B27" s="402"/>
      <c r="C27" s="228" t="s">
        <v>158</v>
      </c>
      <c r="D27" s="229">
        <v>1</v>
      </c>
      <c r="E27" s="229">
        <v>9100</v>
      </c>
      <c r="F27" s="230">
        <v>1389000</v>
      </c>
      <c r="G27" s="231">
        <v>0.2</v>
      </c>
      <c r="H27" s="231">
        <v>0.2</v>
      </c>
      <c r="I27" s="231">
        <v>0.2</v>
      </c>
      <c r="J27" s="231">
        <v>0.2</v>
      </c>
      <c r="K27" s="231">
        <v>0.2</v>
      </c>
      <c r="L27" s="219">
        <f t="shared" si="5"/>
        <v>0.2</v>
      </c>
      <c r="M27" s="226">
        <v>1.69</v>
      </c>
      <c r="N27" s="232">
        <f>+F27*L27/4*M27</f>
        <v>117370.5</v>
      </c>
      <c r="O27" s="233">
        <f>+N27*4</f>
        <v>469482</v>
      </c>
      <c r="Q27" s="47"/>
      <c r="S27" s="269">
        <f t="shared" ref="S27" si="6">(+F27*L27)/4</f>
        <v>69450</v>
      </c>
      <c r="T27" s="271">
        <f>+S27*4</f>
        <v>277800</v>
      </c>
    </row>
    <row r="28" spans="1:20" ht="26.25" customHeight="1" thickBot="1" x14ac:dyDescent="0.35">
      <c r="A28" s="388"/>
      <c r="B28" s="403"/>
      <c r="C28" s="398" t="s">
        <v>151</v>
      </c>
      <c r="D28" s="399"/>
      <c r="E28" s="399"/>
      <c r="F28" s="399"/>
      <c r="G28" s="399"/>
      <c r="H28" s="399"/>
      <c r="I28" s="399"/>
      <c r="J28" s="399"/>
      <c r="K28" s="399"/>
      <c r="L28" s="399"/>
      <c r="M28" s="400"/>
      <c r="N28" s="234">
        <f>SUM(N26:N27)</f>
        <v>258485.5</v>
      </c>
      <c r="O28" s="235">
        <f>SUM(O26:O27)</f>
        <v>1033942</v>
      </c>
      <c r="S28" s="240">
        <f>SUM(S26:S27)</f>
        <v>152950</v>
      </c>
      <c r="T28" s="241">
        <f>SUM(T26:T27)</f>
        <v>611800</v>
      </c>
    </row>
    <row r="29" spans="1:20" ht="16.5" x14ac:dyDescent="0.3">
      <c r="A29" s="388"/>
      <c r="B29" s="7"/>
      <c r="C29" s="7"/>
      <c r="D29" s="4"/>
      <c r="E29" s="4"/>
      <c r="F29" s="7"/>
      <c r="G29" s="7"/>
      <c r="H29" s="7"/>
      <c r="I29" s="7"/>
      <c r="J29" s="7"/>
      <c r="K29" s="7"/>
      <c r="L29" s="7"/>
      <c r="M29" s="7"/>
      <c r="N29" s="21"/>
      <c r="O29" s="20"/>
      <c r="S29" s="21"/>
      <c r="T29" s="20"/>
    </row>
    <row r="30" spans="1:20" ht="16.5" x14ac:dyDescent="0.3">
      <c r="A30" s="389"/>
      <c r="B30" s="18"/>
      <c r="C30" s="18"/>
      <c r="D30" s="19"/>
      <c r="E30" s="19"/>
      <c r="F30" s="18"/>
      <c r="G30" s="377" t="s">
        <v>159</v>
      </c>
      <c r="H30" s="377"/>
      <c r="I30" s="377"/>
      <c r="J30" s="377"/>
      <c r="K30" s="377"/>
      <c r="L30" s="377"/>
      <c r="M30" s="377"/>
      <c r="N30" s="27">
        <f>+N28+N24+N19</f>
        <v>5415414.875</v>
      </c>
      <c r="O30" s="28">
        <f>(+O28+O24+O19)</f>
        <v>21661659.5</v>
      </c>
      <c r="P30" s="8" t="s">
        <v>160</v>
      </c>
      <c r="Q30" s="22">
        <f>O30</f>
        <v>21661659.5</v>
      </c>
      <c r="S30" s="27"/>
      <c r="T30" s="242">
        <f>(+T28+T24+T19)</f>
        <v>10969587.5</v>
      </c>
    </row>
    <row r="32" spans="1:20" ht="30" x14ac:dyDescent="0.25">
      <c r="A32" s="387" t="s">
        <v>161</v>
      </c>
      <c r="B32" s="33" t="s">
        <v>162</v>
      </c>
      <c r="C32" s="381" t="s">
        <v>163</v>
      </c>
      <c r="D32" s="382"/>
      <c r="E32" s="382"/>
      <c r="F32" s="383"/>
      <c r="G32" s="44" t="s">
        <v>164</v>
      </c>
      <c r="H32" s="44" t="s">
        <v>59</v>
      </c>
      <c r="I32" s="423" t="s">
        <v>165</v>
      </c>
      <c r="J32" s="424"/>
      <c r="K32" s="425"/>
      <c r="L32" s="33" t="s">
        <v>166</v>
      </c>
      <c r="M32" s="33" t="s">
        <v>123</v>
      </c>
      <c r="N32" s="91" t="s">
        <v>139</v>
      </c>
      <c r="O32" s="33" t="s">
        <v>140</v>
      </c>
      <c r="P32" s="9"/>
      <c r="S32" s="195"/>
      <c r="T32" s="195"/>
    </row>
    <row r="33" spans="1:20" ht="42.75" customHeight="1" x14ac:dyDescent="0.3">
      <c r="A33" s="388"/>
      <c r="B33" s="102" t="s">
        <v>167</v>
      </c>
      <c r="C33" s="373" t="s">
        <v>168</v>
      </c>
      <c r="D33" s="374"/>
      <c r="E33" s="112">
        <v>9576</v>
      </c>
      <c r="F33" s="111"/>
      <c r="G33" s="95">
        <v>1</v>
      </c>
      <c r="H33" s="95" t="s">
        <v>169</v>
      </c>
      <c r="I33" s="426">
        <v>1350000</v>
      </c>
      <c r="J33" s="426"/>
      <c r="K33" s="426"/>
      <c r="L33" s="96"/>
      <c r="M33" s="97">
        <v>4</v>
      </c>
      <c r="N33" s="98">
        <f>I33*G33</f>
        <v>1350000</v>
      </c>
      <c r="O33" s="42">
        <f>N33*M33</f>
        <v>5400000</v>
      </c>
      <c r="P33" s="7"/>
      <c r="Q33" s="52"/>
      <c r="S33" s="128"/>
      <c r="T33" s="128"/>
    </row>
    <row r="34" spans="1:20" ht="27" customHeight="1" x14ac:dyDescent="0.3">
      <c r="A34" s="388"/>
      <c r="B34" s="427" t="s">
        <v>170</v>
      </c>
      <c r="C34" s="373" t="s">
        <v>171</v>
      </c>
      <c r="D34" s="374"/>
      <c r="E34" s="112">
        <v>9456</v>
      </c>
      <c r="F34" s="111"/>
      <c r="G34" s="95">
        <v>1</v>
      </c>
      <c r="H34" s="95" t="s">
        <v>169</v>
      </c>
      <c r="I34" s="367">
        <v>5448750</v>
      </c>
      <c r="J34" s="367"/>
      <c r="K34" s="367"/>
      <c r="L34" s="99">
        <v>0.3</v>
      </c>
      <c r="M34" s="236">
        <v>3.5</v>
      </c>
      <c r="N34" s="98">
        <f>I34*G34*L34</f>
        <v>1634625</v>
      </c>
      <c r="O34" s="42">
        <f>N34*M34</f>
        <v>5721187.5</v>
      </c>
      <c r="P34" s="7"/>
      <c r="Q34" s="72"/>
      <c r="S34" s="128"/>
      <c r="T34" s="128"/>
    </row>
    <row r="35" spans="1:20" ht="18.75" customHeight="1" x14ac:dyDescent="0.3">
      <c r="A35" s="388"/>
      <c r="B35" s="427"/>
      <c r="C35" s="373" t="s">
        <v>172</v>
      </c>
      <c r="D35" s="374"/>
      <c r="E35" s="112">
        <v>9115</v>
      </c>
      <c r="F35" s="111"/>
      <c r="G35" s="95">
        <v>1</v>
      </c>
      <c r="H35" s="95" t="s">
        <v>169</v>
      </c>
      <c r="I35" s="367">
        <v>4103000</v>
      </c>
      <c r="J35" s="367"/>
      <c r="K35" s="367"/>
      <c r="L35" s="99">
        <v>0.1</v>
      </c>
      <c r="M35" s="224">
        <v>3.5</v>
      </c>
      <c r="N35" s="98">
        <f>I35*G35*L35</f>
        <v>410300</v>
      </c>
      <c r="O35" s="42">
        <f t="shared" ref="O35" si="7">N35*M35</f>
        <v>1436050</v>
      </c>
      <c r="P35" s="7"/>
      <c r="Q35" s="72"/>
      <c r="S35" s="128"/>
      <c r="T35" s="128"/>
    </row>
    <row r="36" spans="1:20" ht="32.25" customHeight="1" x14ac:dyDescent="0.3">
      <c r="A36" s="388"/>
      <c r="B36" s="427"/>
      <c r="C36" s="373" t="s">
        <v>173</v>
      </c>
      <c r="D36" s="374"/>
      <c r="E36" s="112">
        <v>9578</v>
      </c>
      <c r="F36" s="111"/>
      <c r="G36" s="95">
        <v>1</v>
      </c>
      <c r="H36" s="95" t="s">
        <v>169</v>
      </c>
      <c r="I36" s="367">
        <v>1043625</v>
      </c>
      <c r="J36" s="367"/>
      <c r="K36" s="367"/>
      <c r="L36" s="99"/>
      <c r="M36" s="97">
        <v>4</v>
      </c>
      <c r="N36" s="98">
        <f>I36*G36</f>
        <v>1043625</v>
      </c>
      <c r="O36" s="42">
        <f>N36*M36</f>
        <v>4174500</v>
      </c>
      <c r="P36" s="7"/>
      <c r="Q36" s="72"/>
      <c r="S36" s="128"/>
      <c r="T36" s="128"/>
    </row>
    <row r="37" spans="1:20" ht="16.5" x14ac:dyDescent="0.3">
      <c r="A37" s="389"/>
      <c r="B37" s="29"/>
      <c r="C37" s="31"/>
      <c r="D37" s="32"/>
      <c r="E37" s="32"/>
      <c r="F37" s="31"/>
      <c r="G37" s="368" t="s">
        <v>174</v>
      </c>
      <c r="H37" s="368"/>
      <c r="I37" s="368"/>
      <c r="J37" s="368"/>
      <c r="K37" s="368"/>
      <c r="L37" s="368"/>
      <c r="M37" s="369"/>
      <c r="N37" s="45">
        <f>SUM(N33:N36)</f>
        <v>4438550</v>
      </c>
      <c r="O37" s="94">
        <f>SUM(O33:O36)</f>
        <v>16731737.5</v>
      </c>
      <c r="P37" s="8" t="s">
        <v>175</v>
      </c>
      <c r="Q37" s="71">
        <f>O37</f>
        <v>16731737.5</v>
      </c>
      <c r="S37" s="196"/>
      <c r="T37" s="196"/>
    </row>
    <row r="38" spans="1:20" ht="16.5" x14ac:dyDescent="0.3">
      <c r="A38" s="67"/>
      <c r="B38" s="7"/>
      <c r="C38" s="7"/>
      <c r="D38" s="4"/>
      <c r="E38" s="4"/>
      <c r="F38" s="7"/>
      <c r="G38" s="66"/>
      <c r="H38" s="66"/>
      <c r="I38" s="66"/>
      <c r="J38" s="66"/>
      <c r="K38" s="66"/>
      <c r="L38" s="66"/>
      <c r="M38" s="66"/>
      <c r="N38" s="68"/>
      <c r="O38" s="68"/>
      <c r="P38" s="69"/>
      <c r="S38" s="196"/>
      <c r="T38" s="196"/>
    </row>
    <row r="39" spans="1:20" ht="16.5" x14ac:dyDescent="0.3"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P39" s="7"/>
      <c r="S39" s="197"/>
      <c r="T39" s="198"/>
    </row>
    <row r="40" spans="1:20" ht="17.25" customHeight="1" x14ac:dyDescent="0.3">
      <c r="B40" s="26" t="s">
        <v>162</v>
      </c>
      <c r="C40" s="26" t="s">
        <v>6</v>
      </c>
      <c r="D40" s="370" t="s">
        <v>176</v>
      </c>
      <c r="E40" s="371"/>
      <c r="F40" s="371"/>
      <c r="G40" s="371"/>
      <c r="H40" s="371"/>
      <c r="I40" s="371"/>
      <c r="J40" s="371"/>
      <c r="K40" s="371"/>
      <c r="L40" s="371"/>
      <c r="M40" s="372"/>
      <c r="N40" s="370" t="s">
        <v>177</v>
      </c>
      <c r="O40" s="372"/>
      <c r="P40" s="7"/>
    </row>
    <row r="41" spans="1:20" ht="17.25" customHeight="1" x14ac:dyDescent="0.3">
      <c r="B41" s="378" t="s">
        <v>178</v>
      </c>
      <c r="C41" s="30" t="s">
        <v>179</v>
      </c>
      <c r="D41" s="412">
        <v>0.05</v>
      </c>
      <c r="E41" s="413"/>
      <c r="F41" s="413"/>
      <c r="G41" s="413"/>
      <c r="H41" s="413"/>
      <c r="I41" s="413"/>
      <c r="J41" s="413"/>
      <c r="K41" s="413"/>
      <c r="L41" s="413"/>
      <c r="M41" s="414"/>
      <c r="N41" s="415">
        <f>+Po*D41</f>
        <v>17559000</v>
      </c>
      <c r="O41" s="416"/>
      <c r="P41" s="7"/>
    </row>
    <row r="42" spans="1:20" ht="16.5" x14ac:dyDescent="0.3">
      <c r="B42" s="379"/>
      <c r="C42" s="187" t="s">
        <v>180</v>
      </c>
      <c r="D42" s="417">
        <v>5.0000000000000001E-3</v>
      </c>
      <c r="E42" s="418"/>
      <c r="F42" s="418"/>
      <c r="G42" s="418"/>
      <c r="H42" s="418"/>
      <c r="I42" s="418"/>
      <c r="J42" s="418"/>
      <c r="K42" s="418"/>
      <c r="L42" s="418"/>
      <c r="M42" s="419"/>
      <c r="N42" s="358">
        <f>+Po*D42</f>
        <v>1755900</v>
      </c>
      <c r="O42" s="359"/>
      <c r="P42" s="7"/>
    </row>
    <row r="43" spans="1:20" ht="16.5" x14ac:dyDescent="0.3">
      <c r="B43" s="379"/>
      <c r="C43" s="187" t="s">
        <v>181</v>
      </c>
      <c r="D43" s="360">
        <v>6.8999999999999999E-3</v>
      </c>
      <c r="E43" s="361"/>
      <c r="F43" s="361"/>
      <c r="G43" s="361"/>
      <c r="H43" s="361"/>
      <c r="I43" s="361"/>
      <c r="J43" s="361"/>
      <c r="K43" s="361"/>
      <c r="L43" s="361"/>
      <c r="M43" s="362"/>
      <c r="N43" s="363">
        <f>+Po*D43</f>
        <v>2423142</v>
      </c>
      <c r="O43" s="364"/>
      <c r="P43" s="7"/>
    </row>
    <row r="44" spans="1:20" ht="16.5" x14ac:dyDescent="0.3">
      <c r="B44" s="379"/>
      <c r="C44" s="34" t="s">
        <v>182</v>
      </c>
      <c r="D44" s="360">
        <v>0.02</v>
      </c>
      <c r="E44" s="361"/>
      <c r="F44" s="361"/>
      <c r="G44" s="361"/>
      <c r="H44" s="361"/>
      <c r="I44" s="361"/>
      <c r="J44" s="361"/>
      <c r="K44" s="361"/>
      <c r="L44" s="361"/>
      <c r="M44" s="362"/>
      <c r="N44" s="363">
        <f>+Po*D44</f>
        <v>7023600</v>
      </c>
      <c r="O44" s="364"/>
      <c r="P44" s="7"/>
    </row>
    <row r="45" spans="1:20" ht="36" customHeight="1" x14ac:dyDescent="0.3">
      <c r="B45" s="378" t="s">
        <v>183</v>
      </c>
      <c r="C45" s="33" t="s">
        <v>6</v>
      </c>
      <c r="D45" s="370" t="s">
        <v>184</v>
      </c>
      <c r="E45" s="371"/>
      <c r="F45" s="372"/>
      <c r="G45" s="381" t="s">
        <v>185</v>
      </c>
      <c r="H45" s="382"/>
      <c r="I45" s="382"/>
      <c r="J45" s="382"/>
      <c r="K45" s="382"/>
      <c r="L45" s="90"/>
      <c r="M45" s="70" t="s">
        <v>186</v>
      </c>
      <c r="N45" s="381" t="s">
        <v>177</v>
      </c>
      <c r="O45" s="383"/>
      <c r="P45" s="7"/>
    </row>
    <row r="46" spans="1:20" ht="21.75" customHeight="1" x14ac:dyDescent="0.3">
      <c r="B46" s="379"/>
      <c r="C46" s="40" t="s">
        <v>187</v>
      </c>
      <c r="D46" s="384">
        <v>2E-3</v>
      </c>
      <c r="E46" s="384"/>
      <c r="F46" s="384"/>
      <c r="G46" s="385">
        <v>0.2</v>
      </c>
      <c r="H46" s="385"/>
      <c r="I46" s="385"/>
      <c r="J46" s="385"/>
      <c r="K46" s="385"/>
      <c r="L46" s="92"/>
      <c r="M46" s="43">
        <f>+Po*G46</f>
        <v>70236000</v>
      </c>
      <c r="N46" s="356">
        <f t="shared" ref="N46:N52" si="8">+M46*D46</f>
        <v>140472</v>
      </c>
      <c r="O46" s="357"/>
      <c r="P46" s="7"/>
    </row>
    <row r="47" spans="1:20" ht="27" customHeight="1" x14ac:dyDescent="0.3">
      <c r="B47" s="379"/>
      <c r="C47" s="35" t="s">
        <v>188</v>
      </c>
      <c r="D47" s="386">
        <v>3.0000000000000001E-3</v>
      </c>
      <c r="E47" s="386"/>
      <c r="F47" s="386"/>
      <c r="G47" s="355">
        <v>0.05</v>
      </c>
      <c r="H47" s="355"/>
      <c r="I47" s="355"/>
      <c r="J47" s="355"/>
      <c r="K47" s="355"/>
      <c r="L47" s="188"/>
      <c r="M47" s="98">
        <f t="shared" ref="M47:M52" si="9">+Po*G47</f>
        <v>17559000</v>
      </c>
      <c r="N47" s="356">
        <f t="shared" si="8"/>
        <v>52677</v>
      </c>
      <c r="O47" s="357"/>
      <c r="P47" s="7"/>
    </row>
    <row r="48" spans="1:20" ht="28.5" customHeight="1" x14ac:dyDescent="0.3">
      <c r="B48" s="379"/>
      <c r="C48" s="41" t="s">
        <v>189</v>
      </c>
      <c r="D48" s="386">
        <v>2E-3</v>
      </c>
      <c r="E48" s="386"/>
      <c r="F48" s="386"/>
      <c r="G48" s="355">
        <v>0.2</v>
      </c>
      <c r="H48" s="355"/>
      <c r="I48" s="355"/>
      <c r="J48" s="355"/>
      <c r="K48" s="355"/>
      <c r="L48" s="188"/>
      <c r="M48" s="98">
        <f t="shared" si="9"/>
        <v>70236000</v>
      </c>
      <c r="N48" s="356">
        <f t="shared" si="8"/>
        <v>140472</v>
      </c>
      <c r="O48" s="357"/>
      <c r="P48" s="7"/>
      <c r="S48" s="200"/>
      <c r="T48" s="200"/>
    </row>
    <row r="49" spans="2:20" ht="16.5" x14ac:dyDescent="0.3">
      <c r="B49" s="379"/>
      <c r="C49" s="35" t="s">
        <v>190</v>
      </c>
      <c r="D49" s="386">
        <v>1E-3</v>
      </c>
      <c r="E49" s="386"/>
      <c r="F49" s="386"/>
      <c r="G49" s="355">
        <v>0.1</v>
      </c>
      <c r="H49" s="355"/>
      <c r="I49" s="355"/>
      <c r="J49" s="355"/>
      <c r="K49" s="355"/>
      <c r="L49" s="188"/>
      <c r="M49" s="98">
        <f t="shared" si="9"/>
        <v>35118000</v>
      </c>
      <c r="N49" s="356">
        <f t="shared" si="8"/>
        <v>35118</v>
      </c>
      <c r="O49" s="357"/>
      <c r="P49" s="7"/>
      <c r="S49" s="200"/>
      <c r="T49" s="200"/>
    </row>
    <row r="50" spans="2:20" ht="16.5" customHeight="1" x14ac:dyDescent="0.3">
      <c r="B50" s="379"/>
      <c r="C50" s="277" t="s">
        <v>191</v>
      </c>
      <c r="D50" s="386">
        <v>3.0000000000000001E-3</v>
      </c>
      <c r="E50" s="386"/>
      <c r="F50" s="386"/>
      <c r="G50" s="355">
        <v>0.5</v>
      </c>
      <c r="H50" s="355"/>
      <c r="I50" s="355"/>
      <c r="J50" s="355"/>
      <c r="K50" s="355"/>
      <c r="L50" s="188"/>
      <c r="M50" s="98">
        <f t="shared" si="9"/>
        <v>175590000</v>
      </c>
      <c r="N50" s="356">
        <f t="shared" si="8"/>
        <v>526770</v>
      </c>
      <c r="O50" s="357"/>
      <c r="P50" s="7"/>
      <c r="S50" s="200"/>
      <c r="T50" s="200"/>
    </row>
    <row r="51" spans="2:20" ht="30.75" customHeight="1" x14ac:dyDescent="0.3">
      <c r="B51" s="379"/>
      <c r="C51" s="35" t="s">
        <v>192</v>
      </c>
      <c r="D51" s="386">
        <v>2E-3</v>
      </c>
      <c r="E51" s="386"/>
      <c r="F51" s="386"/>
      <c r="G51" s="355">
        <v>0.2</v>
      </c>
      <c r="H51" s="355"/>
      <c r="I51" s="355"/>
      <c r="J51" s="355"/>
      <c r="K51" s="355"/>
      <c r="L51" s="188"/>
      <c r="M51" s="98">
        <f t="shared" si="9"/>
        <v>70236000</v>
      </c>
      <c r="N51" s="356">
        <f t="shared" si="8"/>
        <v>140472</v>
      </c>
      <c r="O51" s="357"/>
      <c r="P51" s="7"/>
      <c r="S51" s="200"/>
      <c r="T51" s="200"/>
    </row>
    <row r="52" spans="2:20" ht="32.25" customHeight="1" x14ac:dyDescent="0.3">
      <c r="B52" s="380"/>
      <c r="C52" s="50" t="s">
        <v>193</v>
      </c>
      <c r="D52" s="365">
        <v>2E-3</v>
      </c>
      <c r="E52" s="365"/>
      <c r="F52" s="365"/>
      <c r="G52" s="366">
        <v>0.2</v>
      </c>
      <c r="H52" s="366"/>
      <c r="I52" s="366"/>
      <c r="J52" s="366"/>
      <c r="K52" s="366"/>
      <c r="L52" s="93"/>
      <c r="M52" s="51">
        <f t="shared" si="9"/>
        <v>70236000</v>
      </c>
      <c r="N52" s="375">
        <f t="shared" si="8"/>
        <v>140472</v>
      </c>
      <c r="O52" s="376"/>
      <c r="P52" s="7"/>
      <c r="S52" s="200"/>
      <c r="T52" s="200"/>
    </row>
    <row r="53" spans="2:20" ht="16.5" x14ac:dyDescent="0.3">
      <c r="B53" s="16"/>
      <c r="C53" s="7"/>
      <c r="D53" s="4"/>
      <c r="E53" s="4"/>
      <c r="F53" s="7"/>
      <c r="G53" s="7"/>
      <c r="H53" s="7"/>
      <c r="I53" s="7"/>
      <c r="J53" s="7"/>
      <c r="K53" s="7"/>
      <c r="L53" s="7"/>
      <c r="M53" s="7"/>
      <c r="N53" s="48"/>
      <c r="O53" s="49"/>
      <c r="P53" s="7"/>
      <c r="S53" s="201"/>
      <c r="T53" s="201"/>
    </row>
    <row r="54" spans="2:20" ht="16.5" x14ac:dyDescent="0.3">
      <c r="B54" s="17"/>
      <c r="C54" s="18"/>
      <c r="D54" s="19"/>
      <c r="E54" s="19"/>
      <c r="F54" s="18"/>
      <c r="G54" s="377" t="s">
        <v>194</v>
      </c>
      <c r="H54" s="377"/>
      <c r="I54" s="377"/>
      <c r="J54" s="377"/>
      <c r="K54" s="377"/>
      <c r="L54" s="377"/>
      <c r="M54" s="377"/>
      <c r="N54" s="353">
        <f>SUM(N41:O53)</f>
        <v>29938095</v>
      </c>
      <c r="O54" s="354"/>
      <c r="P54" s="8" t="s">
        <v>195</v>
      </c>
      <c r="Q54" s="202">
        <f>N54</f>
        <v>29938095</v>
      </c>
      <c r="S54" s="200"/>
      <c r="T54" s="200"/>
    </row>
    <row r="55" spans="2:20" x14ac:dyDescent="0.25">
      <c r="S55" s="200"/>
      <c r="T55" s="200"/>
    </row>
    <row r="56" spans="2:20" x14ac:dyDescent="0.25">
      <c r="B56" s="64" t="s">
        <v>196</v>
      </c>
      <c r="S56" s="200"/>
      <c r="T56" s="200"/>
    </row>
    <row r="57" spans="2:20" x14ac:dyDescent="0.25">
      <c r="S57" s="200"/>
      <c r="T57" s="200"/>
    </row>
    <row r="58" spans="2:20" ht="15.75" thickBot="1" x14ac:dyDescent="0.3">
      <c r="B58" s="26" t="s">
        <v>162</v>
      </c>
      <c r="C58" s="26" t="s">
        <v>6</v>
      </c>
      <c r="D58" s="370" t="s">
        <v>197</v>
      </c>
      <c r="E58" s="371"/>
      <c r="F58" s="371"/>
      <c r="G58" s="371"/>
      <c r="H58" s="371"/>
      <c r="I58" s="371"/>
      <c r="J58" s="371"/>
      <c r="K58" s="371"/>
      <c r="L58" s="371"/>
      <c r="M58" s="372"/>
      <c r="N58" s="370" t="s">
        <v>177</v>
      </c>
      <c r="O58" s="372"/>
      <c r="S58" s="200"/>
      <c r="T58" s="200"/>
    </row>
    <row r="59" spans="2:20" ht="16.5" x14ac:dyDescent="0.25">
      <c r="B59" s="407" t="s">
        <v>198</v>
      </c>
      <c r="C59" s="74" t="s">
        <v>199</v>
      </c>
      <c r="D59" s="410">
        <v>0.02</v>
      </c>
      <c r="E59" s="411"/>
      <c r="F59" s="411"/>
      <c r="G59" s="411"/>
      <c r="H59" s="411"/>
      <c r="I59" s="411"/>
      <c r="J59" s="411"/>
      <c r="K59" s="411"/>
      <c r="L59" s="411"/>
      <c r="M59" s="411"/>
      <c r="N59" s="275">
        <f>D$64*D59</f>
        <v>5336764.3010048931</v>
      </c>
      <c r="O59" s="276"/>
      <c r="S59" s="200"/>
      <c r="T59" s="200"/>
    </row>
    <row r="60" spans="2:20" ht="16.5" x14ac:dyDescent="0.25">
      <c r="B60" s="408"/>
      <c r="C60" s="75" t="s">
        <v>200</v>
      </c>
      <c r="D60" s="420">
        <v>0.03</v>
      </c>
      <c r="E60" s="421"/>
      <c r="F60" s="421"/>
      <c r="G60" s="421"/>
      <c r="H60" s="421"/>
      <c r="I60" s="421"/>
      <c r="J60" s="421"/>
      <c r="K60" s="421"/>
      <c r="L60" s="421"/>
      <c r="M60" s="421"/>
      <c r="N60" s="275">
        <f>D$64*D60</f>
        <v>8005146.4515073383</v>
      </c>
      <c r="O60" s="276"/>
    </row>
    <row r="61" spans="2:20" ht="17.25" thickBot="1" x14ac:dyDescent="0.3">
      <c r="B61" s="408"/>
      <c r="C61" s="76" t="s">
        <v>201</v>
      </c>
      <c r="D61" s="428">
        <v>0.02</v>
      </c>
      <c r="E61" s="429"/>
      <c r="F61" s="430"/>
      <c r="G61" s="430"/>
      <c r="H61" s="430"/>
      <c r="I61" s="430"/>
      <c r="J61" s="430"/>
      <c r="K61" s="430"/>
      <c r="L61" s="430"/>
      <c r="M61" s="430"/>
      <c r="N61" s="275">
        <f>D$64*D61</f>
        <v>5336764.3010048931</v>
      </c>
      <c r="O61" s="276"/>
    </row>
    <row r="62" spans="2:20" ht="17.25" thickBot="1" x14ac:dyDescent="0.35">
      <c r="B62" s="409"/>
      <c r="C62" s="73"/>
      <c r="D62" s="32"/>
      <c r="E62" s="32"/>
      <c r="F62" s="31"/>
      <c r="G62" s="368" t="s">
        <v>202</v>
      </c>
      <c r="H62" s="368"/>
      <c r="I62" s="368"/>
      <c r="J62" s="368"/>
      <c r="K62" s="368"/>
      <c r="L62" s="368"/>
      <c r="M62" s="369"/>
      <c r="N62" s="353">
        <f>+SUM(N59:O61)</f>
        <v>18678675.053517126</v>
      </c>
      <c r="O62" s="354"/>
      <c r="P62" s="8" t="s">
        <v>203</v>
      </c>
      <c r="Q62" s="202">
        <f>+N62</f>
        <v>18678675.053517126</v>
      </c>
    </row>
    <row r="64" spans="2:20" ht="17.25" thickBot="1" x14ac:dyDescent="0.35">
      <c r="C64" s="82" t="s">
        <v>204</v>
      </c>
      <c r="D64" s="53">
        <v>266838215.05024463</v>
      </c>
      <c r="E64" s="273"/>
      <c r="F64" s="77"/>
      <c r="I64" s="140"/>
      <c r="Q64" s="37">
        <f>+SUM(Q16:Q59)</f>
        <v>68331492</v>
      </c>
    </row>
    <row r="65" spans="3:20" ht="17.25" thickBot="1" x14ac:dyDescent="0.35">
      <c r="C65" s="7"/>
      <c r="D65" s="4"/>
      <c r="E65" s="4"/>
      <c r="F65" s="7"/>
      <c r="L65" s="59"/>
      <c r="M65" s="36"/>
      <c r="O65" s="47"/>
      <c r="Q65" s="37"/>
      <c r="T65" s="47"/>
    </row>
    <row r="66" spans="3:20" ht="16.5" x14ac:dyDescent="0.3">
      <c r="C66" s="83" t="s">
        <v>205</v>
      </c>
      <c r="D66" s="84">
        <f>+O30+O37+N54</f>
        <v>68331492</v>
      </c>
      <c r="E66" s="106"/>
      <c r="F66" s="86">
        <f>+D66/D64</f>
        <v>0.25607835814346697</v>
      </c>
      <c r="G66" s="63"/>
      <c r="H66" s="39"/>
      <c r="I66" s="63"/>
      <c r="J66" s="63"/>
      <c r="K66" s="63"/>
      <c r="M66" s="46"/>
      <c r="Q66" s="37">
        <f>+Q64+Q65</f>
        <v>68331492</v>
      </c>
    </row>
    <row r="67" spans="3:20" ht="16.5" x14ac:dyDescent="0.3">
      <c r="C67" s="189" t="s">
        <v>206</v>
      </c>
      <c r="D67" s="190">
        <f>+D64*0.01</f>
        <v>2668382.1505024466</v>
      </c>
      <c r="E67" s="107"/>
      <c r="F67" s="87">
        <f>+D67/D64</f>
        <v>0.01</v>
      </c>
      <c r="H67" s="39"/>
      <c r="I67" s="283"/>
      <c r="J67" s="109"/>
      <c r="K67" s="39"/>
      <c r="M67" s="59"/>
      <c r="N67" s="59"/>
      <c r="O67" s="47"/>
      <c r="Q67" s="37">
        <f>Po</f>
        <v>351180000</v>
      </c>
      <c r="S67" s="59"/>
      <c r="T67" s="47"/>
    </row>
    <row r="68" spans="3:20" ht="17.25" thickBot="1" x14ac:dyDescent="0.35">
      <c r="C68" s="191" t="s">
        <v>207</v>
      </c>
      <c r="D68" s="192">
        <f>+D64*0.05</f>
        <v>13341910.752512231</v>
      </c>
      <c r="E68" s="108"/>
      <c r="F68" s="88">
        <f>+D68/D64</f>
        <v>0.05</v>
      </c>
      <c r="H68" s="37"/>
      <c r="I68" s="284"/>
      <c r="J68" s="47"/>
      <c r="K68" s="39"/>
      <c r="L68" s="39"/>
      <c r="M68" s="39"/>
      <c r="N68" s="59"/>
      <c r="Q68" s="37">
        <f>+Q67-Q66</f>
        <v>282848508</v>
      </c>
      <c r="S68" s="59"/>
    </row>
    <row r="69" spans="3:20" ht="17.25" thickBot="1" x14ac:dyDescent="0.35">
      <c r="C69" s="38" t="s">
        <v>208</v>
      </c>
      <c r="D69" s="53">
        <f>+SUM(D66:D68)</f>
        <v>84341784.903014675</v>
      </c>
      <c r="E69" s="53"/>
      <c r="F69" s="85">
        <f>+D69/D64</f>
        <v>0.31607835814346696</v>
      </c>
      <c r="H69" s="39"/>
      <c r="I69" s="56"/>
      <c r="L69" s="140"/>
      <c r="N69" s="59"/>
      <c r="Q69" s="37">
        <f>+Q68/1.06</f>
        <v>266838215.09433961</v>
      </c>
      <c r="S69" s="59"/>
    </row>
    <row r="70" spans="3:20" ht="16.5" x14ac:dyDescent="0.3">
      <c r="C70" s="7"/>
      <c r="D70" s="4"/>
      <c r="E70" s="4"/>
      <c r="F70" s="10"/>
      <c r="H70" s="140"/>
      <c r="I70" s="200"/>
      <c r="K70" s="101"/>
      <c r="L70" s="59"/>
      <c r="M70" s="59"/>
      <c r="N70" s="59"/>
      <c r="Q70" s="37"/>
      <c r="R70" s="81"/>
      <c r="S70" s="59"/>
    </row>
    <row r="71" spans="3:20" ht="17.25" thickBot="1" x14ac:dyDescent="0.35">
      <c r="C71" s="7"/>
      <c r="D71" s="7"/>
      <c r="E71" s="7"/>
      <c r="F71" s="7"/>
      <c r="G71" s="37"/>
      <c r="H71" s="37"/>
      <c r="I71" s="37"/>
      <c r="J71" s="37"/>
      <c r="K71" s="101"/>
      <c r="L71" s="59"/>
      <c r="Q71" s="37"/>
      <c r="R71" s="81"/>
    </row>
    <row r="72" spans="3:20" ht="16.5" x14ac:dyDescent="0.3">
      <c r="C72" s="78" t="s">
        <v>209</v>
      </c>
      <c r="D72" s="79">
        <f>D69+D64</f>
        <v>351179999.95325929</v>
      </c>
      <c r="E72" s="272"/>
      <c r="F72" s="100"/>
      <c r="G72" s="422"/>
      <c r="H72" s="422"/>
      <c r="K72" s="101"/>
      <c r="L72" s="59"/>
      <c r="Q72" s="37"/>
    </row>
    <row r="73" spans="3:20" x14ac:dyDescent="0.25">
      <c r="F73" s="37"/>
      <c r="K73" s="101"/>
      <c r="L73" s="59"/>
      <c r="Q73" s="81"/>
    </row>
    <row r="74" spans="3:20" x14ac:dyDescent="0.25">
      <c r="D74" s="56"/>
      <c r="E74" s="56"/>
    </row>
    <row r="75" spans="3:20" x14ac:dyDescent="0.25">
      <c r="F75" s="80"/>
    </row>
    <row r="76" spans="3:20" x14ac:dyDescent="0.25">
      <c r="F76" s="80"/>
    </row>
    <row r="77" spans="3:20" x14ac:dyDescent="0.25">
      <c r="F77" s="80"/>
    </row>
    <row r="78" spans="3:20" x14ac:dyDescent="0.25">
      <c r="D78" s="56"/>
      <c r="E78" s="56"/>
      <c r="F78" s="80"/>
    </row>
    <row r="79" spans="3:20" x14ac:dyDescent="0.25">
      <c r="D79" s="56"/>
      <c r="E79" s="56"/>
      <c r="F79" s="80"/>
    </row>
    <row r="80" spans="3:20" x14ac:dyDescent="0.25">
      <c r="D80" s="56"/>
      <c r="E80" s="56"/>
      <c r="F80" s="80"/>
    </row>
  </sheetData>
  <mergeCells count="72">
    <mergeCell ref="G72:H72"/>
    <mergeCell ref="A32:A37"/>
    <mergeCell ref="C32:F32"/>
    <mergeCell ref="I32:K32"/>
    <mergeCell ref="I33:K33"/>
    <mergeCell ref="B34:B36"/>
    <mergeCell ref="I34:K34"/>
    <mergeCell ref="D61:M61"/>
    <mergeCell ref="C33:D33"/>
    <mergeCell ref="C34:D34"/>
    <mergeCell ref="G51:K51"/>
    <mergeCell ref="B1:N1"/>
    <mergeCell ref="B2:N2"/>
    <mergeCell ref="B3:N3"/>
    <mergeCell ref="N62:O62"/>
    <mergeCell ref="D58:M58"/>
    <mergeCell ref="N58:O58"/>
    <mergeCell ref="G62:M62"/>
    <mergeCell ref="B59:B62"/>
    <mergeCell ref="D59:M59"/>
    <mergeCell ref="B41:B44"/>
    <mergeCell ref="D41:M41"/>
    <mergeCell ref="N41:O41"/>
    <mergeCell ref="D42:M42"/>
    <mergeCell ref="I36:K36"/>
    <mergeCell ref="D60:M60"/>
    <mergeCell ref="C36:D36"/>
    <mergeCell ref="A11:A30"/>
    <mergeCell ref="B12:B19"/>
    <mergeCell ref="C19:M19"/>
    <mergeCell ref="B21:B24"/>
    <mergeCell ref="C24:M24"/>
    <mergeCell ref="B26:B28"/>
    <mergeCell ref="C28:M28"/>
    <mergeCell ref="G30:M30"/>
    <mergeCell ref="N44:O44"/>
    <mergeCell ref="D48:F48"/>
    <mergeCell ref="G48:K48"/>
    <mergeCell ref="N48:O48"/>
    <mergeCell ref="N50:O50"/>
    <mergeCell ref="N52:O52"/>
    <mergeCell ref="G54:M54"/>
    <mergeCell ref="B45:B52"/>
    <mergeCell ref="D45:F45"/>
    <mergeCell ref="G45:K45"/>
    <mergeCell ref="N45:O45"/>
    <mergeCell ref="D46:F46"/>
    <mergeCell ref="G46:K46"/>
    <mergeCell ref="N46:O46"/>
    <mergeCell ref="D47:F47"/>
    <mergeCell ref="D49:F49"/>
    <mergeCell ref="G49:K49"/>
    <mergeCell ref="N49:O49"/>
    <mergeCell ref="D50:F50"/>
    <mergeCell ref="G50:K50"/>
    <mergeCell ref="D51:F51"/>
    <mergeCell ref="G7:H7"/>
    <mergeCell ref="N54:O54"/>
    <mergeCell ref="G47:K47"/>
    <mergeCell ref="N47:O47"/>
    <mergeCell ref="N42:O42"/>
    <mergeCell ref="D43:M43"/>
    <mergeCell ref="N43:O43"/>
    <mergeCell ref="D44:M44"/>
    <mergeCell ref="N51:O51"/>
    <mergeCell ref="D52:F52"/>
    <mergeCell ref="G52:K52"/>
    <mergeCell ref="I35:K35"/>
    <mergeCell ref="G37:M37"/>
    <mergeCell ref="D40:M40"/>
    <mergeCell ref="N40:O40"/>
    <mergeCell ref="C35:D35"/>
  </mergeCells>
  <pageMargins left="0.7" right="0.7" top="0.75" bottom="0.75" header="0.3" footer="0.3"/>
  <pageSetup scale="3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8CBAD"/>
  </sheetPr>
  <dimension ref="B2:H22"/>
  <sheetViews>
    <sheetView topLeftCell="A6" workbookViewId="0">
      <selection activeCell="E3" sqref="E3"/>
    </sheetView>
  </sheetViews>
  <sheetFormatPr baseColWidth="10" defaultColWidth="11.42578125" defaultRowHeight="12.75" x14ac:dyDescent="0.25"/>
  <cols>
    <col min="1" max="1" width="5.42578125" style="113" customWidth="1"/>
    <col min="2" max="2" width="45.140625" style="113" customWidth="1"/>
    <col min="3" max="3" width="11.42578125" style="114"/>
    <col min="4" max="4" width="2.5703125" style="113" customWidth="1"/>
    <col min="5" max="5" width="14.42578125" style="113" customWidth="1"/>
    <col min="6" max="6" width="2.5703125" style="113" customWidth="1"/>
    <col min="7" max="7" width="25.85546875" style="113" customWidth="1"/>
    <col min="8" max="16384" width="11.42578125" style="113"/>
  </cols>
  <sheetData>
    <row r="2" spans="2:8" ht="60" customHeight="1" x14ac:dyDescent="0.25">
      <c r="B2" s="256" t="s">
        <v>210</v>
      </c>
      <c r="C2" s="257" t="s">
        <v>184</v>
      </c>
      <c r="E2" s="115" t="s">
        <v>211</v>
      </c>
    </row>
    <row r="3" spans="2:8" x14ac:dyDescent="0.25">
      <c r="E3" s="243">
        <f>'Analisis AIU'!T30</f>
        <v>10969587.5</v>
      </c>
      <c r="G3" s="116"/>
    </row>
    <row r="4" spans="2:8" x14ac:dyDescent="0.25">
      <c r="B4" s="117" t="s">
        <v>212</v>
      </c>
      <c r="C4" s="118">
        <v>1</v>
      </c>
      <c r="E4" s="119"/>
    </row>
    <row r="5" spans="2:8" x14ac:dyDescent="0.25">
      <c r="B5" s="120" t="s">
        <v>213</v>
      </c>
      <c r="C5" s="121">
        <v>1</v>
      </c>
      <c r="E5" s="122">
        <f>E3</f>
        <v>10969587.5</v>
      </c>
    </row>
    <row r="6" spans="2:8" x14ac:dyDescent="0.25">
      <c r="B6" s="120" t="s">
        <v>214</v>
      </c>
      <c r="C6" s="121">
        <v>8.3299999999999999E-2</v>
      </c>
      <c r="E6" s="122">
        <f>$E$5*C6</f>
        <v>913766.63875000004</v>
      </c>
    </row>
    <row r="7" spans="2:8" x14ac:dyDescent="0.25">
      <c r="B7" s="120" t="s">
        <v>215</v>
      </c>
      <c r="C7" s="121">
        <v>8.3299999999999999E-2</v>
      </c>
      <c r="E7" s="122">
        <f t="shared" ref="E7:E16" si="0">$E$5*C7</f>
        <v>913766.63875000004</v>
      </c>
    </row>
    <row r="8" spans="2:8" x14ac:dyDescent="0.25">
      <c r="B8" s="120" t="s">
        <v>216</v>
      </c>
      <c r="C8" s="121">
        <v>0.01</v>
      </c>
      <c r="E8" s="122">
        <f>$E$5*C8</f>
        <v>109695.875</v>
      </c>
    </row>
    <row r="9" spans="2:8" x14ac:dyDescent="0.25">
      <c r="B9" s="120" t="s">
        <v>217</v>
      </c>
      <c r="C9" s="121">
        <v>4.1700000000000001E-2</v>
      </c>
      <c r="E9" s="122">
        <f t="shared" si="0"/>
        <v>457431.79875000002</v>
      </c>
    </row>
    <row r="10" spans="2:8" x14ac:dyDescent="0.25">
      <c r="B10" s="120" t="s">
        <v>218</v>
      </c>
      <c r="C10" s="121">
        <v>0.20499999999999999</v>
      </c>
      <c r="E10" s="122">
        <f t="shared" si="0"/>
        <v>2248765.4375</v>
      </c>
    </row>
    <row r="11" spans="2:8" x14ac:dyDescent="0.25">
      <c r="B11" s="120" t="s">
        <v>219</v>
      </c>
      <c r="C11" s="121">
        <v>0.04</v>
      </c>
      <c r="E11" s="122">
        <f t="shared" si="0"/>
        <v>438783.5</v>
      </c>
    </row>
    <row r="12" spans="2:8" x14ac:dyDescent="0.25">
      <c r="B12" s="120" t="s">
        <v>220</v>
      </c>
      <c r="C12" s="121">
        <v>6.9599999999999995E-2</v>
      </c>
      <c r="E12" s="122">
        <f t="shared" si="0"/>
        <v>763483.28999999992</v>
      </c>
      <c r="H12" s="254"/>
    </row>
    <row r="13" spans="2:8" x14ac:dyDescent="0.25">
      <c r="B13" s="120" t="s">
        <v>221</v>
      </c>
      <c r="C13" s="121">
        <v>0.02</v>
      </c>
      <c r="E13" s="122">
        <f t="shared" si="0"/>
        <v>219391.75</v>
      </c>
    </row>
    <row r="14" spans="2:8" x14ac:dyDescent="0.25">
      <c r="B14" s="120" t="s">
        <v>222</v>
      </c>
      <c r="C14" s="121">
        <v>0.03</v>
      </c>
      <c r="E14" s="122">
        <f t="shared" si="0"/>
        <v>329087.625</v>
      </c>
      <c r="H14" s="255"/>
    </row>
    <row r="15" spans="2:8" x14ac:dyDescent="0.25">
      <c r="B15" s="124" t="s">
        <v>223</v>
      </c>
      <c r="C15" s="121">
        <v>0.10489999999999999</v>
      </c>
      <c r="E15" s="122">
        <f>$E$5*C15</f>
        <v>1150709.72875</v>
      </c>
    </row>
    <row r="16" spans="2:8" x14ac:dyDescent="0.25">
      <c r="B16" s="244" t="s">
        <v>224</v>
      </c>
      <c r="C16" s="245">
        <v>6.0000000000000001E-3</v>
      </c>
      <c r="E16" s="246">
        <f t="shared" si="0"/>
        <v>65817.524999999994</v>
      </c>
    </row>
    <row r="17" spans="2:5" x14ac:dyDescent="0.2">
      <c r="B17" s="250" t="s">
        <v>212</v>
      </c>
      <c r="C17" s="253">
        <f>SUM(C6:C16)</f>
        <v>0.69379999999999997</v>
      </c>
      <c r="D17" s="251"/>
      <c r="E17" s="252">
        <f>SUM(E3)</f>
        <v>10969587.5</v>
      </c>
    </row>
    <row r="18" spans="2:5" hidden="1" x14ac:dyDescent="0.25">
      <c r="B18" s="247" t="s">
        <v>225</v>
      </c>
      <c r="C18" s="248"/>
      <c r="E18" s="249"/>
    </row>
    <row r="19" spans="2:5" x14ac:dyDescent="0.25">
      <c r="E19" s="119"/>
    </row>
    <row r="20" spans="2:5" x14ac:dyDescent="0.25">
      <c r="E20" s="119"/>
    </row>
    <row r="21" spans="2:5" x14ac:dyDescent="0.25">
      <c r="B21" s="125" t="s">
        <v>226</v>
      </c>
      <c r="C21" s="126">
        <f>C17+C4</f>
        <v>1.6938</v>
      </c>
      <c r="E21" s="123">
        <f>C21*E3</f>
        <v>18580287.307500001</v>
      </c>
    </row>
    <row r="22" spans="2:5" x14ac:dyDescent="0.25">
      <c r="C22" s="127">
        <f>C21</f>
        <v>1.6938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</vt:lpstr>
      <vt:lpstr>Analisis AIU</vt:lpstr>
      <vt:lpstr>Factor Prestacional</vt:lpstr>
      <vt:lpstr>'Analisis AIU'!Área_de_impresión</vt:lpstr>
      <vt:lpstr>'Analisis AIU'!Po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Alejandra Moreno Molina</dc:creator>
  <cp:keywords/>
  <dc:description/>
  <cp:lastModifiedBy>diego andres perez cubides</cp:lastModifiedBy>
  <cp:revision/>
  <dcterms:created xsi:type="dcterms:W3CDTF">2017-08-28T09:42:55Z</dcterms:created>
  <dcterms:modified xsi:type="dcterms:W3CDTF">2023-02-24T14:41:40Z</dcterms:modified>
  <cp:category/>
  <cp:contentStatus/>
</cp:coreProperties>
</file>