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ec.obraspublicas\Downloads\"/>
    </mc:Choice>
  </mc:AlternateContent>
  <bookViews>
    <workbookView xWindow="0" yWindow="0" windowWidth="20490" windowHeight="7320" tabRatio="682" firstSheet="1" activeTab="1"/>
  </bookViews>
  <sheets>
    <sheet name="AU 4 meses" sheetId="3" r:id="rId1"/>
    <sheet name="PRESUPUESTO CALLE 58 SUR" sheetId="2" r:id="rId2"/>
    <sheet name="APU" sheetId="7" r:id="rId3"/>
    <sheet name="PMT" sheetId="5" r:id="rId4"/>
    <sheet name="CUADRILLAS" sheetId="6" r:id="rId5"/>
    <sheet name="INSUMOS" sheetId="8" r:id="rId6"/>
    <sheet name="SUBANALISIS" sheetId="4" r:id="rId7"/>
    <sheet name="CUADRO OFICIO" sheetId="11"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s>
  <definedNames>
    <definedName name="_________key2" localSheetId="0" hidden="1">[1]INST!#REF!</definedName>
    <definedName name="_________key2" localSheetId="3" hidden="1">[1]INST!#REF!</definedName>
    <definedName name="_________key2" localSheetId="1" hidden="1">[1]INST!#REF!</definedName>
    <definedName name="_________key2" hidden="1">[1]INST!#REF!</definedName>
    <definedName name="________key2" localSheetId="0" hidden="1">[2]INST!#REF!</definedName>
    <definedName name="________key2" localSheetId="3" hidden="1">[2]INST!#REF!</definedName>
    <definedName name="________key2" localSheetId="1" hidden="1">[2]INST!#REF!</definedName>
    <definedName name="________key2" hidden="1">[2]INST!#REF!</definedName>
    <definedName name="________key3" localSheetId="0" hidden="1">#REF!</definedName>
    <definedName name="________key3" localSheetId="3" hidden="1">#REF!</definedName>
    <definedName name="________key3" localSheetId="1" hidden="1">#REF!</definedName>
    <definedName name="________key3" hidden="1">#REF!</definedName>
    <definedName name="_______AFC1">[3]INV!$A$25:$D$28</definedName>
    <definedName name="_______AFC3">[3]INV!$F$25:$I$28</definedName>
    <definedName name="_______AFC5">[3]INV!$K$25:$N$28</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SBC1">[3]INV!$A$12:$D$15</definedName>
    <definedName name="_______SBC3">[3]INV!$F$12:$I$15</definedName>
    <definedName name="_______SBC5">[3]INV!$K$12:$N$15</definedName>
    <definedName name="______AFC1">[3]INV!$A$25:$D$28</definedName>
    <definedName name="______AFC3">[3]INV!$F$25:$I$28</definedName>
    <definedName name="______AFC5">[3]INV!$K$25:$N$28</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SBC1">[3]INV!$A$12:$D$15</definedName>
    <definedName name="______SBC3">[3]INV!$F$12:$I$15</definedName>
    <definedName name="______SBC5">[3]INV!$K$12:$N$15</definedName>
    <definedName name="_____AFC1">[3]INV!$A$25:$D$28</definedName>
    <definedName name="_____AFC3">[3]INV!$F$25:$I$28</definedName>
    <definedName name="_____AFC5">[3]INV!$K$25:$N$28</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SBC1">[3]INV!$A$12:$D$15</definedName>
    <definedName name="_____SBC3">[3]INV!$F$12:$I$15</definedName>
    <definedName name="_____SBC5">[3]INV!$K$12:$N$15</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SBC1">[3]INV!$A$12:$D$15</definedName>
    <definedName name="____SBC3">[3]INV!$F$12:$I$15</definedName>
    <definedName name="____SBC5">[3]INV!$K$12:$N$15</definedName>
    <definedName name="___ACT1" localSheetId="0">#REF!</definedName>
    <definedName name="___ACT1" localSheetId="1">#REF!</definedName>
    <definedName name="___ACT1">#REF!</definedName>
    <definedName name="___ACT2" localSheetId="0">#REF!</definedName>
    <definedName name="___ACT2" localSheetId="1">#REF!</definedName>
    <definedName name="___ACT2">#REF!</definedName>
    <definedName name="___AFC1">[3]INV!$A$25:$D$28</definedName>
    <definedName name="___AFC3">[3]INV!$F$25:$I$28</definedName>
    <definedName name="___AFC5">[3]INV!$K$25:$N$28</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key2" localSheetId="0" hidden="1">[2]INST!#REF!</definedName>
    <definedName name="___key2" localSheetId="3" hidden="1">[2]INST!#REF!</definedName>
    <definedName name="___key2" localSheetId="1" hidden="1">[2]INST!#REF!</definedName>
    <definedName name="___key2" hidden="1">[2]INST!#REF!</definedName>
    <definedName name="___key3" localSheetId="0" hidden="1">#REF!</definedName>
    <definedName name="___key3" localSheetId="3"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SBC1">[3]INV!$A$12:$D$15</definedName>
    <definedName name="___SBC3">[3]INV!$F$12:$I$15</definedName>
    <definedName name="___SBC5">[3]INV!$K$12:$N$15</definedName>
    <definedName name="___VLR1" localSheetId="0">(#REF!)</definedName>
    <definedName name="___VLR1" localSheetId="1">(#REF!)</definedName>
    <definedName name="___VLR1">(#REF!)</definedName>
    <definedName name="__123Graph_A" localSheetId="0" hidden="1">[4]AIU!$D$338:$D$357</definedName>
    <definedName name="__123Graph_A" localSheetId="3" hidden="1">#REF!</definedName>
    <definedName name="__123Graph_A" localSheetId="1" hidden="1">#REF!</definedName>
    <definedName name="__123Graph_A" hidden="1">#REF!</definedName>
    <definedName name="__123Graph_Acaja" hidden="1">[4]EVA!$D$39:$AD$39</definedName>
    <definedName name="__123Graph_ACart_AnticAdic" hidden="1">[4]EVA!$F$95:$I$95</definedName>
    <definedName name="__123Graph_AFACTURAC" hidden="1">[4]Program!$B$120:$Y$120</definedName>
    <definedName name="__123Graph_AGraph2" hidden="1">[4]AIU!$D$338:$D$357</definedName>
    <definedName name="__123Graph_B" localSheetId="0" hidden="1">#REF!</definedName>
    <definedName name="__123Graph_B" localSheetId="3" hidden="1">#REF!</definedName>
    <definedName name="__123Graph_B" localSheetId="1" hidden="1">#REF!</definedName>
    <definedName name="__123Graph_B" hidden="1">#REF!</definedName>
    <definedName name="__123Graph_Bcaja" hidden="1">[4]EVA!$D$56:$AD$56</definedName>
    <definedName name="__123Graph_BCart_AnticAdic" hidden="1">[4]EVA!$F$96:$I$96</definedName>
    <definedName name="__123Graph_Ccaja" hidden="1">[4]EVA!$D$58:$AD$58</definedName>
    <definedName name="__123Graph_CCart_AnticAdic" hidden="1">[4]EVA!$F$97:$I$97</definedName>
    <definedName name="__123Graph_Dcaja" hidden="1">[4]EVA!$D$61:$AD$61</definedName>
    <definedName name="__123Graph_DCart_AnticAdic" hidden="1">[4]EVA!$F$99:$I$99</definedName>
    <definedName name="__123Graph_ECart_AnticAdic" hidden="1">[4]EVA!$F$99:$I$99</definedName>
    <definedName name="__123Graph_LBL_ACart_AnticAdic" hidden="1">[4]EVA!$J$95:$K$95</definedName>
    <definedName name="__123Graph_LBL_Ccaja" hidden="1">[4]EVA!$D$58:$AD$58</definedName>
    <definedName name="__123Graph_LBL_DCart_AnticAdic" hidden="1">[4]EVA!$F$98:$I$98</definedName>
    <definedName name="__123Graph_X" hidden="1">[4]AIU!$C$338:$C$357</definedName>
    <definedName name="__123Graph_Xcaja" hidden="1">[4]EVA!$D$6:$AD$6</definedName>
    <definedName name="__1Excel_BuiltIn_Print_Area_1_1">'[5]ACTA OBRA No 1'!$A$1:$L$46</definedName>
    <definedName name="__2Excel_BuiltIn_Print_Area_2_1">'[5]ACTA MOD No 1'!$A$1:$O$55</definedName>
    <definedName name="__3Excel_BuiltIn_Print_Area_4_1" localSheetId="0">#REF!</definedName>
    <definedName name="__3Excel_BuiltIn_Print_Area_4_1" localSheetId="1">#REF!</definedName>
    <definedName name="__3Excel_BuiltIn_Print_Area_4_1">#REF!</definedName>
    <definedName name="__4Excel_BuiltIn_Print_Area_4_1_1" localSheetId="0">#REF!</definedName>
    <definedName name="__4Excel_BuiltIn_Print_Area_4_1_1" localSheetId="1">#REF!</definedName>
    <definedName name="__4Excel_BuiltIn_Print_Area_4_1_1">#REF!</definedName>
    <definedName name="__5Excel_BuiltIn_Print_Area_5_1" localSheetId="0">#REF!</definedName>
    <definedName name="__5Excel_BuiltIn_Print_Area_5_1" localSheetId="1">#REF!</definedName>
    <definedName name="__5Excel_BuiltIn_Print_Area_5_1">#REF!</definedName>
    <definedName name="__6Excel_BuiltIn_Print_Area_5_1_1">'[6]ACTA MOD No 1'!$A$1:$O$55</definedName>
    <definedName name="__a1" localSheetId="0" hidden="1">{"TAB1",#N/A,TRUE,"GENERAL";"TAB2",#N/A,TRUE,"GENERAL";"TAB3",#N/A,TRUE,"GENERAL";"TAB4",#N/A,TRUE,"GENERAL";"TAB5",#N/A,TRUE,"GENERAL"}</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CT1" localSheetId="0">#REF!</definedName>
    <definedName name="__ACT1" localSheetId="1">#REF!</definedName>
    <definedName name="__ACT1">#REF!</definedName>
    <definedName name="__ACT2" localSheetId="0">#REF!</definedName>
    <definedName name="__ACT2" localSheetId="1">#REF!</definedName>
    <definedName name="__ACT2">#REF!</definedName>
    <definedName name="__AFC1">[3]INV!$A$25:$D$28</definedName>
    <definedName name="__AFC3">[3]INV!$F$25:$I$28</definedName>
    <definedName name="__AFC5">[3]INV!$K$25:$N$28</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ey2" localSheetId="0" hidden="1">[7]INST!#REF!</definedName>
    <definedName name="__key2" localSheetId="1" hidden="1">[7]INST!#REF!</definedName>
    <definedName name="__key2" hidden="1">[7]INST!#REF!</definedName>
    <definedName name="__key21" localSheetId="0" hidden="1">[2]INST!#REF!</definedName>
    <definedName name="__key21" localSheetId="1" hidden="1">[2]INST!#REF!</definedName>
    <definedName name="__key21" hidden="1">[2]INST!#REF!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hidden="1">{"via1",#N/A,TRUE,"general";"via2",#N/A,TRUE,"general";"via3",#N/A,TRUE,"general"}</definedName>
    <definedName name="__SBC1">[3]INV!$A$12:$D$15</definedName>
    <definedName name="__SBC3">[3]INV!$F$12:$I$15</definedName>
    <definedName name="__SBC5">[3]INV!$K$12:$N$15</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3"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3"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hidden="1">{"via1",#N/A,TRUE,"general";"via2",#N/A,TRUE,"general";"via3",#N/A,TRUE,"general"}</definedName>
    <definedName name="__VLR1" localSheetId="0">(#REF!)</definedName>
    <definedName name="__VLR1" localSheetId="1">(#REF!)</definedName>
    <definedName name="__VLR1">(#REF!)</definedName>
    <definedName name="__x1" localSheetId="0" hidden="1">{"TAB1",#N/A,TRUE,"GENERAL";"TAB2",#N/A,TRUE,"GENERAL";"TAB3",#N/A,TRUE,"GENERAL";"TAB4",#N/A,TRUE,"GENERAL";"TAB5",#N/A,TRUE,"GENERAL"}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3"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3"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3"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3"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3"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3"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Excel_BuiltIn_Print_Area_1_1">'[5]ACTA OBRA No 1'!$A$1:$L$46</definedName>
    <definedName name="_1Sin_nombre" localSheetId="0">#REF!</definedName>
    <definedName name="_1Sin_nombre" localSheetId="1">#REF!</definedName>
    <definedName name="_1Sin_nombre">#REF!</definedName>
    <definedName name="_2Excel_BuiltIn_Print_Area_2_1">'[5]ACTA MOD No 1'!$A$1:$O$55</definedName>
    <definedName name="_2Sin_nombre" localSheetId="0">#REF!</definedName>
    <definedName name="_2Sin_nombre" localSheetId="1">#REF!</definedName>
    <definedName name="_2Sin_nombre">#REF!</definedName>
    <definedName name="_3" localSheetId="0">'[8]FOR2-CONSOR'!#REF!</definedName>
    <definedName name="_3" localSheetId="3">'[8]FOR2-CONSOR'!#REF!</definedName>
    <definedName name="_3" localSheetId="1">'[8]FOR2-CONSOR'!#REF!</definedName>
    <definedName name="_3">'[8]FOR2-CONSOR'!#REF!</definedName>
    <definedName name="_3Excel_BuiltIn_Print_Area_4_1" localSheetId="0">#REF!</definedName>
    <definedName name="_3Excel_BuiltIn_Print_Area_4_1" localSheetId="1">#REF!</definedName>
    <definedName name="_3Excel_BuiltIn_Print_Area_4_1">#REF!</definedName>
    <definedName name="_4" localSheetId="0">'[8]FOR2-CONSOR'!#REF!</definedName>
    <definedName name="_4" localSheetId="3">'[8]FOR2-CONSOR'!#REF!</definedName>
    <definedName name="_4" localSheetId="1">'[8]FOR2-CONSOR'!#REF!</definedName>
    <definedName name="_4">'[8]FOR2-CONSOR'!#REF!</definedName>
    <definedName name="_42C" localSheetId="0">#REF!</definedName>
    <definedName name="_42C" localSheetId="1">#REF!</definedName>
    <definedName name="_42C">#REF!</definedName>
    <definedName name="_42D" localSheetId="0">#REF!</definedName>
    <definedName name="_42D" localSheetId="1">#REF!</definedName>
    <definedName name="_42D">#REF!</definedName>
    <definedName name="_42E" localSheetId="0">#REF!</definedName>
    <definedName name="_42E" localSheetId="1">#REF!</definedName>
    <definedName name="_42E">#REF!</definedName>
    <definedName name="_44" localSheetId="0">#REF!</definedName>
    <definedName name="_44" localSheetId="1">#REF!</definedName>
    <definedName name="_44">#REF!</definedName>
    <definedName name="_4Excel_BuiltIn_Print_Area_4_1_1" localSheetId="0">#REF!</definedName>
    <definedName name="_4Excel_BuiltIn_Print_Area_4_1_1" localSheetId="1">#REF!</definedName>
    <definedName name="_4Excel_BuiltIn_Print_Area_4_1_1">#REF!</definedName>
    <definedName name="_5Excel_BuiltIn_Print_Area_5_1" localSheetId="0">#REF!</definedName>
    <definedName name="_5Excel_BuiltIn_Print_Area_5_1" localSheetId="1">#REF!</definedName>
    <definedName name="_5Excel_BuiltIn_Print_Area_5_1">#REF!</definedName>
    <definedName name="_6" localSheetId="0">#REF!</definedName>
    <definedName name="_6" localSheetId="1">#REF!</definedName>
    <definedName name="_6">#REF!</definedName>
    <definedName name="_6Excel_BuiltIn_Print_Area_5_1_1">'[6]ACTA MOD No 1'!$A$1:$O$55</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3" hidden="1">{#N/A,#N/A,TRUE,"1842CWN0"}</definedName>
    <definedName name="_ABC1" hidden="1">{#N/A,#N/A,TRUE,"1842CWN0"}</definedName>
    <definedName name="_abc2" localSheetId="0" hidden="1">{#N/A,#N/A,TRUE,"1842CWN0"}</definedName>
    <definedName name="_abc2" localSheetId="3" hidden="1">{#N/A,#N/A,TRUE,"1842CWN0"}</definedName>
    <definedName name="_abc2" hidden="1">{#N/A,#N/A,TRUE,"1842CWN0"}</definedName>
    <definedName name="_ACT1" localSheetId="0">#REF!</definedName>
    <definedName name="_ACT1" localSheetId="1">#REF!</definedName>
    <definedName name="_ACT1">#REF!</definedName>
    <definedName name="_ACT2" localSheetId="0">#REF!</definedName>
    <definedName name="_ACT2" localSheetId="1">#REF!</definedName>
    <definedName name="_ACT2">#REF!</definedName>
    <definedName name="_AFC1">[3]INV!$A$25:$D$28</definedName>
    <definedName name="_AFC3">[3]INV!$F$25:$I$28</definedName>
    <definedName name="_AFC5">[3]INV!$K$25:$N$28</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229177" localSheetId="0">'[9]ANALISIS PU'!#REF!</definedName>
    <definedName name="_B229177" localSheetId="1">'[9]ANALISIS PU'!#REF!</definedName>
    <definedName name="_B229177">'[9]ANALISIS PU'!#REF!</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111172" localSheetId="0">'[9]ANALISIS PU'!#REF!</definedName>
    <definedName name="_c111172" localSheetId="3">'[9]ANALISIS PU'!#REF!</definedName>
    <definedName name="_c111172" localSheetId="1">'[9]ANALISIS PU'!#REF!</definedName>
    <definedName name="_c111172">'[9]ANALISIS PU'!#REF!</definedName>
    <definedName name="_CAC1">[3]INV!$A$19:$D$22</definedName>
    <definedName name="_CAC3">[3]INV!$F$19:$I$22</definedName>
    <definedName name="_CAC5">[3]INV!$K$19:$N$22</definedName>
    <definedName name="_Cod1" localSheetId="0">#REF!</definedName>
    <definedName name="_Cod1" localSheetId="1">#REF!</definedName>
    <definedName name="_Cod1">#REF!</definedName>
    <definedName name="_Cos1" localSheetId="0">#REF!</definedName>
    <definedName name="_Cos1" localSheetId="1">#REF!</definedName>
    <definedName name="_Cos1">#REF!</definedName>
    <definedName name="_Dist_Bin" hidden="1">[10]MPC3I4!$A$2040:$DD$3161</definedName>
    <definedName name="_Dist_Values" hidden="1">[10]MPC3I4!$A$2552:$IV$3906</definedName>
    <definedName name="_EST1" localSheetId="0">#REF!</definedName>
    <definedName name="_EST1" localSheetId="1">#REF!</definedName>
    <definedName name="_EST1">#REF!</definedName>
    <definedName name="_EST10" localSheetId="0">#REF!</definedName>
    <definedName name="_EST10" localSheetId="1">#REF!</definedName>
    <definedName name="_EST10">#REF!</definedName>
    <definedName name="_EST11" localSheetId="0">#REF!</definedName>
    <definedName name="_EST11" localSheetId="1">#REF!</definedName>
    <definedName name="_EST11">#REF!</definedName>
    <definedName name="_EST12" localSheetId="0">#REF!</definedName>
    <definedName name="_EST12" localSheetId="1">#REF!</definedName>
    <definedName name="_EST12">#REF!</definedName>
    <definedName name="_EST13" localSheetId="0">#REF!</definedName>
    <definedName name="_EST13" localSheetId="1">#REF!</definedName>
    <definedName name="_EST13">#REF!</definedName>
    <definedName name="_EST14" localSheetId="0">#REF!</definedName>
    <definedName name="_EST14" localSheetId="1">#REF!</definedName>
    <definedName name="_EST14">#REF!</definedName>
    <definedName name="_EST15" localSheetId="0">#REF!</definedName>
    <definedName name="_EST15" localSheetId="1">#REF!</definedName>
    <definedName name="_EST15">#REF!</definedName>
    <definedName name="_EST16" localSheetId="0">#REF!</definedName>
    <definedName name="_EST16" localSheetId="1">#REF!</definedName>
    <definedName name="_EST16">#REF!</definedName>
    <definedName name="_EST17" localSheetId="0">#REF!</definedName>
    <definedName name="_EST17" localSheetId="1">#REF!</definedName>
    <definedName name="_EST17">#REF!</definedName>
    <definedName name="_EST18" localSheetId="0">#REF!</definedName>
    <definedName name="_EST18" localSheetId="1">#REF!</definedName>
    <definedName name="_EST18">#REF!</definedName>
    <definedName name="_EST19" localSheetId="0">#REF!</definedName>
    <definedName name="_EST19" localSheetId="1">#REF!</definedName>
    <definedName name="_EST19">#REF!</definedName>
    <definedName name="_EST2" localSheetId="0">#REF!</definedName>
    <definedName name="_EST2" localSheetId="1">#REF!</definedName>
    <definedName name="_EST2">#REF!</definedName>
    <definedName name="_EST3" localSheetId="0">#REF!</definedName>
    <definedName name="_EST3" localSheetId="1">#REF!</definedName>
    <definedName name="_EST3">#REF!</definedName>
    <definedName name="_EST4" localSheetId="0">#REF!</definedName>
    <definedName name="_EST4" localSheetId="1">#REF!</definedName>
    <definedName name="_EST4">#REF!</definedName>
    <definedName name="_EST5" localSheetId="0">#REF!</definedName>
    <definedName name="_EST5" localSheetId="1">#REF!</definedName>
    <definedName name="_EST5">#REF!</definedName>
    <definedName name="_EST6" localSheetId="0">#REF!</definedName>
    <definedName name="_EST6" localSheetId="1">#REF!</definedName>
    <definedName name="_EST6">#REF!</definedName>
    <definedName name="_EST7" localSheetId="0">#REF!</definedName>
    <definedName name="_EST7" localSheetId="1">#REF!</definedName>
    <definedName name="_EST7">#REF!</definedName>
    <definedName name="_EST8" localSheetId="0">#REF!</definedName>
    <definedName name="_EST8" localSheetId="1">#REF!</definedName>
    <definedName name="_EST8">#REF!</definedName>
    <definedName name="_EST9" localSheetId="0">#REF!</definedName>
    <definedName name="_EST9" localSheetId="1">#REF!</definedName>
    <definedName name="_EST9">#REF!</definedName>
    <definedName name="_EXC1" localSheetId="0">#REF!</definedName>
    <definedName name="_EXC1" localSheetId="1">#REF!</definedName>
    <definedName name="_EXC1">#REF!</definedName>
    <definedName name="_EXC10" localSheetId="0">#REF!</definedName>
    <definedName name="_EXC10" localSheetId="1">#REF!</definedName>
    <definedName name="_EXC10">#REF!</definedName>
    <definedName name="_EXC11" localSheetId="0">#REF!</definedName>
    <definedName name="_EXC11" localSheetId="1">#REF!</definedName>
    <definedName name="_EXC11">#REF!</definedName>
    <definedName name="_EXC12" localSheetId="0">#REF!</definedName>
    <definedName name="_EXC12" localSheetId="1">#REF!</definedName>
    <definedName name="_EXC12">#REF!</definedName>
    <definedName name="_EXC2" localSheetId="0">#REF!</definedName>
    <definedName name="_EXC2" localSheetId="1">#REF!</definedName>
    <definedName name="_EXC2">#REF!</definedName>
    <definedName name="_EXC3" localSheetId="0">#REF!</definedName>
    <definedName name="_EXC3" localSheetId="1">#REF!</definedName>
    <definedName name="_EXC3">#REF!</definedName>
    <definedName name="_EXC4" localSheetId="0">#REF!</definedName>
    <definedName name="_EXC4" localSheetId="1">#REF!</definedName>
    <definedName name="_EXC4">#REF!</definedName>
    <definedName name="_EXC5" localSheetId="0">#REF!</definedName>
    <definedName name="_EXC5" localSheetId="1">#REF!</definedName>
    <definedName name="_EXC5">#REF!</definedName>
    <definedName name="_EXC6" localSheetId="0">#REF!</definedName>
    <definedName name="_EXC6" localSheetId="1">#REF!</definedName>
    <definedName name="_EXC6">#REF!</definedName>
    <definedName name="_EXC7" localSheetId="0">#REF!</definedName>
    <definedName name="_EXC7" localSheetId="1">#REF!</definedName>
    <definedName name="_EXC7">#REF!</definedName>
    <definedName name="_EXC8" localSheetId="0">#REF!</definedName>
    <definedName name="_EXC8" localSheetId="1">#REF!</definedName>
    <definedName name="_EXC8">#REF!</definedName>
    <definedName name="_EXC9" localSheetId="0">#REF!</definedName>
    <definedName name="_EXC9" localSheetId="1">#REF!</definedName>
    <definedName name="_EXC9">#REF!</definedName>
    <definedName name="_FC">#N/A</definedName>
    <definedName name="_FEC5">[11]datos!$N$2,[11]datos!$N$2:$N$500</definedName>
    <definedName name="_Fill" localSheetId="0" hidden="1">#REF!</definedName>
    <definedName name="_Fill" localSheetId="3" hidden="1">#REF!</definedName>
    <definedName name="_Fill" localSheetId="1" hidden="1">#REF!</definedName>
    <definedName name="_Fill" hidden="1">#REF!</definedName>
    <definedName name="_xlnm._FilterDatabase" localSheetId="0" hidden="1">[12]Presupuesto_Via_distribuidora!$A$9:$H$344</definedName>
    <definedName name="_xlnm._FilterDatabase" localSheetId="3" hidden="1">[12]Presupuesto_Via_distribuidora!$A$9:$H$344</definedName>
    <definedName name="_xlnm._FilterDatabase" hidden="1">[13]Presupuesto_Via_distribuidora!$A$9:$H$344</definedName>
    <definedName name="_FOR1" localSheetId="0">#REF!</definedName>
    <definedName name="_FOR1" localSheetId="1">#REF!</definedName>
    <definedName name="_FOR1">#REF!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0" hidden="1">{#N/A,#N/A,TRUE,"1842CWN0"}</definedName>
    <definedName name="_hhg1" localSheetId="3" hidden="1">{#N/A,#N/A,TRUE,"1842CWN0"}</definedName>
    <definedName name="_hhg1" hidden="1">{#N/A,#N/A,TRUE,"1842CWN0"}</definedName>
    <definedName name="_HUM1">[14]DATBAND!$I$3:$I$469</definedName>
    <definedName name="_HUM2">[14]DATBAND!$J$3:$J$453</definedName>
    <definedName name="_i126554" localSheetId="0">'[9]ANALISIS PU'!#REF!</definedName>
    <definedName name="_i126554" localSheetId="3">'[9]ANALISIS PU'!#REF!</definedName>
    <definedName name="_i126554" localSheetId="1">'[9]ANALISIS PU'!#REF!</definedName>
    <definedName name="_i126554">'[9]ANALISIS PU'!#REF!</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mp1" localSheetId="0">#REF!</definedName>
    <definedName name="_imp1" localSheetId="1">#REF!</definedName>
    <definedName name="_imp1">#REF!</definedName>
    <definedName name="_imp2" localSheetId="0">#REF!</definedName>
    <definedName name="_imp2" localSheetId="1">#REF!</definedName>
    <definedName name="_imp2">#REF!</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hidden="1">#REF!</definedName>
    <definedName name="_Key11" localSheetId="0" hidden="1">[15]INST!#REF!</definedName>
    <definedName name="_Key11" localSheetId="3" hidden="1">[15]INST!#REF!</definedName>
    <definedName name="_Key11" localSheetId="1" hidden="1">[15]INST!#REF!</definedName>
    <definedName name="_Key11" hidden="1">[15]INST!#REF!</definedName>
    <definedName name="_Key2" localSheetId="0" hidden="1">#REF!</definedName>
    <definedName name="_Key2" localSheetId="3"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localSheetId="0" hidden="1">#REF!</definedName>
    <definedName name="_key31" localSheetId="1" hidden="1">#REF!</definedName>
    <definedName name="_key31"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0">#REF!</definedName>
    <definedName name="_MA2" localSheetId="1">#REF!</definedName>
    <definedName name="_MA2">#REF!</definedName>
    <definedName name="_mes1">[4]COSTOS!$E$5</definedName>
    <definedName name="_Mes2">[4]COSTOS!$F$5</definedName>
    <definedName name="_Mes3">[4]COSTOS!$G$5</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'[16]Paral. 1'!$E$1:$E$65536</definedName>
    <definedName name="_Pa2">'[16]Paral. 2'!$E$1:$E$65536</definedName>
    <definedName name="_Pa3">'[16]Paral. 3'!$E$1:$E$65536</definedName>
    <definedName name="_Pa4">[16]Paral.4!$E$1:$E$65536</definedName>
    <definedName name="_Parse_Out" localSheetId="0" hidden="1">'[17]7422CW00'!#REF!</definedName>
    <definedName name="_Parse_Out" localSheetId="3" hidden="1">'[17]7422CW00'!#REF!</definedName>
    <definedName name="_Parse_Out" localSheetId="1" hidden="1">'[17]7422CW00'!#REF!</definedName>
    <definedName name="_Parse_Out" hidden="1">'[17]7422CW00'!#REF!</definedName>
    <definedName name="_PRE1">#N/A</definedName>
    <definedName name="_r" localSheetId="0" hidden="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 localSheetId="0" hidden="1">#REF!</definedName>
    <definedName name="_s" localSheetId="1" hidden="1">#REF!</definedName>
    <definedName name="_s" hidden="1">#REF!</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0" hidden="1">#REF!</definedName>
    <definedName name="_Sort" localSheetId="3" hidden="1">#REF!</definedName>
    <definedName name="_Sort" localSheetId="1" hidden="1">#REF!</definedName>
    <definedName name="_Sort" hidden="1">#REF!</definedName>
    <definedName name="_Sort1" localSheetId="0" hidden="1">#REF!</definedName>
    <definedName name="_Sort1" localSheetId="1" hidden="1">#REF!</definedName>
    <definedName name="_Sort1"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1">[14]DATBAND!$L$3:$L$652</definedName>
    <definedName name="_TA2">[14]DATBAND!$M$3:$M$570</definedName>
    <definedName name="_TA3">[14]DATBAND!$N$3:$N$446</definedName>
    <definedName name="_TA4">[14]DATBAND!$O$3:$O$678</definedName>
    <definedName name="_TA5">[14]DATBAND!$P$3:$P$601</definedName>
    <definedName name="_TA6">[14]DATBAND!$Q$3:$Q$531</definedName>
    <definedName name="_TA7">[14]DATBAND!$R$3:$R$504</definedName>
    <definedName name="_TA8">[14]DATBAND!$S$3:$S$674</definedName>
    <definedName name="_TA9">[14]DATBAND!$T$3:$T$544</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0" hidden="1">[2]INST!#REF!</definedName>
    <definedName name="_unj1" localSheetId="1" hidden="1">[2]INST!#REF!</definedName>
    <definedName name="_unj1" hidden="1">[2]INST!#REF!</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LR1" localSheetId="0">(#REF!)</definedName>
    <definedName name="_VLR1" localSheetId="1">(#REF!)</definedName>
    <definedName name="_VLR1">(#REF!)</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 localSheetId="1">#REF!</definedName>
    <definedName name="a">#REF!</definedName>
    <definedName name="A.I.U" localSheetId="0">#REF!</definedName>
    <definedName name="A.I.U" localSheetId="1">#REF!</definedName>
    <definedName name="A.I.U">#REF!</definedName>
    <definedName name="A.PVC">'[18]factores A.N.'!$M$7:$M$33</definedName>
    <definedName name="A_ANT" localSheetId="0">#REF!</definedName>
    <definedName name="A_ANT" localSheetId="1">#REF!</definedName>
    <definedName name="A_ANT">#REF!</definedName>
    <definedName name="A_HOY" localSheetId="0">#REF!</definedName>
    <definedName name="A_HOY" localSheetId="1">#REF!</definedName>
    <definedName name="A_HOY">#REF!</definedName>
    <definedName name="A_IMPRESIÓN_IM" localSheetId="0">#REF!</definedName>
    <definedName name="A_IMPRESIÓN_IM" localSheetId="1">#REF!</definedName>
    <definedName name="A_IMPRESIÓN_IM">#REF!</definedName>
    <definedName name="A_IMPRESIÚN_IM" localSheetId="0">#REF!</definedName>
    <definedName name="A_IMPRESIÚN_IM" localSheetId="1">#REF!</definedName>
    <definedName name="A_IMPRESIÚN_IM">#REF!</definedName>
    <definedName name="a1..056" localSheetId="0">#REF!</definedName>
    <definedName name="a1..056" localSheetId="1">#REF!</definedName>
    <definedName name="a1..056">#REF!</definedName>
    <definedName name="A13.68" localSheetId="0">#REF!</definedName>
    <definedName name="A13.68" localSheetId="1">#REF!</definedName>
    <definedName name="A13.68">#REF!</definedName>
    <definedName name="A1S" localSheetId="0">#REF!</definedName>
    <definedName name="A1S" localSheetId="1">#REF!</definedName>
    <definedName name="A1S">#REF!</definedName>
    <definedName name="A1XO56" localSheetId="0">#REF!</definedName>
    <definedName name="A1XO56" localSheetId="1">#REF!</definedName>
    <definedName name="A1XO56">#REF!</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2S" localSheetId="0">#REF!</definedName>
    <definedName name="A2S" localSheetId="1">#REF!</definedName>
    <definedName name="A2S">#REF!</definedName>
    <definedName name="aa" localSheetId="0">#REF!</definedName>
    <definedName name="aa" localSheetId="1">#REF!</definedName>
    <definedName name="aa">#REF!</definedName>
    <definedName name="aaa">#N/A</definedName>
    <definedName name="AAAA" localSheetId="0">#REF!</definedName>
    <definedName name="AAAA" localSheetId="1">#REF!</definedName>
    <definedName name="AAAA">#REF!</definedName>
    <definedName name="AAAAAA" localSheetId="0">#REF!</definedName>
    <definedName name="AAAAAA" localSheetId="1">#REF!</definedName>
    <definedName name="AAAAAA">#REF!</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[3]AASHTO!$A$14:$F$17</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FIN">[14]DATBAND!$F$3:$F$742</definedName>
    <definedName name="ABG">[3]AASHTO!$A$2:$F$5</definedName>
    <definedName name="ABIN">[14]DATBAND!$E$3:$E$465</definedName>
    <definedName name="absc" localSheetId="0">[19]!absc</definedName>
    <definedName name="absc" localSheetId="1">[19]!absc</definedName>
    <definedName name="absc">[19]!absc</definedName>
    <definedName name="absc1" localSheetId="0">[20]!absc</definedName>
    <definedName name="absc1" localSheetId="1">[20]!absc</definedName>
    <definedName name="absc1">[20]!absc</definedName>
    <definedName name="ABSCF">'[14]DAT NUC'!$K$2:$K$521</definedName>
    <definedName name="ABSCI">'[14]DAT NUC'!$J$2:$J$1084</definedName>
    <definedName name="AC" localSheetId="0">#REF!</definedName>
    <definedName name="AC" localSheetId="1">#REF!</definedName>
    <definedName name="AC">#REF!</definedName>
    <definedName name="ACA" localSheetId="0">#REF!</definedName>
    <definedName name="ACA" localSheetId="1">#REF!</definedName>
    <definedName name="ACA">#REF!</definedName>
    <definedName name="AccessDatabase" hidden="1">"C:\C-314\VOLUMENES\volfin4.mdb"</definedName>
    <definedName name="ACEITES" localSheetId="0">#REF!,#REF!,#REF!,#REF!,#REF!</definedName>
    <definedName name="ACEITES" localSheetId="1">#REF!,#REF!,#REF!,#REF!,#REF!</definedName>
    <definedName name="ACEITES">#REF!,#REF!,#REF!,#REF!,#REF!</definedName>
    <definedName name="ACER" localSheetId="0">#REF!</definedName>
    <definedName name="ACER" localSheetId="1">#REF!</definedName>
    <definedName name="ACER">#REF!</definedName>
    <definedName name="Acero" localSheetId="0">#REF!</definedName>
    <definedName name="Acero" localSheetId="1">#REF!</definedName>
    <definedName name="Acero">#REF!</definedName>
    <definedName name="ACTA" localSheetId="0">[21]CANTIDADES!#REF!</definedName>
    <definedName name="ACTA" localSheetId="3">[21]CANTIDADES!#REF!</definedName>
    <definedName name="ACTA" localSheetId="1">[21]CANTIDADES!#REF!</definedName>
    <definedName name="ACTA">[21]CANTIDADES!#REF!</definedName>
    <definedName name="actas">[22]TRASMILENIO!$A$4:$F$18</definedName>
    <definedName name="ACUM" localSheetId="0">#REF!</definedName>
    <definedName name="ACUM" localSheetId="1">#REF!</definedName>
    <definedName name="ACUM">#REF!</definedName>
    <definedName name="ACUM1" localSheetId="0">(#REF!)</definedName>
    <definedName name="ACUM1" localSheetId="1">(#REF!)</definedName>
    <definedName name="ACUM1">(#REF!)</definedName>
    <definedName name="ACUM2" localSheetId="0">#REF!</definedName>
    <definedName name="ACUM2" localSheetId="1">#REF!</definedName>
    <definedName name="ACUM2">#REF!</definedName>
    <definedName name="Acumulado">[23]Datos!$S$3:$S$1912</definedName>
    <definedName name="Adecueinstalacion" localSheetId="0">#REF!</definedName>
    <definedName name="Adecueinstalacion" localSheetId="1">#REF!</definedName>
    <definedName name="Adecueinstalacion">#REF!</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in" localSheetId="0">#REF!</definedName>
    <definedName name="Admin" localSheetId="1">#REF!</definedName>
    <definedName name="Admin">#REF!</definedName>
    <definedName name="ADMINISTRACION">'[24]DATOS GENERALES'!$D$6</definedName>
    <definedName name="administrador">[25]Informacion!$B$15</definedName>
    <definedName name="admon" localSheetId="0">#REF!</definedName>
    <definedName name="admon" localSheetId="1">#REF!</definedName>
    <definedName name="admon">#REF!</definedName>
    <definedName name="adoc1" localSheetId="0">[20]!absc</definedName>
    <definedName name="adoc1" localSheetId="1">[20]!absc</definedName>
    <definedName name="adoc1">[20]!absc</definedName>
    <definedName name="adoq" localSheetId="0">[19]!absc</definedName>
    <definedName name="adoq" localSheetId="1">[19]!absc</definedName>
    <definedName name="adoq">[19]!absc</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regados" localSheetId="0">#REF!</definedName>
    <definedName name="Agregados" localSheetId="1">#REF!</definedName>
    <definedName name="Agregados">#REF!</definedName>
    <definedName name="AGUA">'[14]DAT NUC'!$R$2:$R$485</definedName>
    <definedName name="AIRE">'[14]DAT NUC'!$P$2:$P$401</definedName>
    <definedName name="AIRE_ACOND_ITEM" localSheetId="0">[26]Presupuesto!#REF!,[26]Presupuesto!#REF!</definedName>
    <definedName name="AIRE_ACOND_ITEM" localSheetId="3">[26]Presupuesto!#REF!,[26]Presupuesto!#REF!</definedName>
    <definedName name="AIRE_ACOND_ITEM" localSheetId="1">[26]Presupuesto!#REF!,[26]Presupuesto!#REF!</definedName>
    <definedName name="AIRE_ACOND_ITEM">[26]Presupuesto!#REF!,[26]Presupuesto!#REF!</definedName>
    <definedName name="AIRE_ACOND_VALOR" localSheetId="0">[26]Presupuesto!#REF!,[26]Presupuesto!#REF!</definedName>
    <definedName name="AIRE_ACOND_VALOR" localSheetId="3">[26]Presupuesto!#REF!,[26]Presupuesto!#REF!</definedName>
    <definedName name="AIRE_ACOND_VALOR" localSheetId="1">[26]Presupuesto!#REF!,[26]Presupuesto!#REF!</definedName>
    <definedName name="AIRE_ACOND_VALOR">[26]Presupuesto!#REF!,[26]Presupuesto!#REF!</definedName>
    <definedName name="aiu">'[24]MANO DE OBRA CIVIL'!$A$30</definedName>
    <definedName name="Ajizal">'[27]AJIZAL 3335'!$A$7:$J$142</definedName>
    <definedName name="AjustDelAIU" localSheetId="0">#REF!</definedName>
    <definedName name="AjustDelAIU" localSheetId="1">#REF!</definedName>
    <definedName name="AjustDelAIU">#REF!</definedName>
    <definedName name="ajuste" localSheetId="0">#REF!</definedName>
    <definedName name="ajuste" localSheetId="1">#REF!</definedName>
    <definedName name="ajuste">#REF!</definedName>
    <definedName name="alc" localSheetId="0">[28]!absc</definedName>
    <definedName name="alc" localSheetId="1">[28]!absc</definedName>
    <definedName name="alc">[28]!absc</definedName>
    <definedName name="alquiler" localSheetId="0">#REF!</definedName>
    <definedName name="alquiler" localSheetId="1">#REF!</definedName>
    <definedName name="alquiler">#REF!</definedName>
    <definedName name="AMBIEN" localSheetId="0">#REF!</definedName>
    <definedName name="AMBIEN" localSheetId="1">#REF!</definedName>
    <definedName name="AMBIEN">#REF!</definedName>
    <definedName name="analequipo" localSheetId="0">#REF!</definedName>
    <definedName name="analequipo" localSheetId="1">#REF!</definedName>
    <definedName name="analequipo">#REF!</definedName>
    <definedName name="AnsermaCartago" localSheetId="0">#REF!</definedName>
    <definedName name="AnsermaCartago" localSheetId="1">#REF!</definedName>
    <definedName name="AnsermaCartago">#REF!</definedName>
    <definedName name="AntCach">[4]COSTOS!$B$21</definedName>
    <definedName name="ANTIC">[4]Program!$F$3</definedName>
    <definedName name="AnticAdic">[4]EVA!$B$98</definedName>
    <definedName name="ANTICIPO">[29]BASES!$B$33</definedName>
    <definedName name="Apar.Sanitarios" localSheetId="0">#REF!</definedName>
    <definedName name="Apar.Sanitarios" localSheetId="1">#REF!</definedName>
    <definedName name="Apar.Sanitarios">#REF!</definedName>
    <definedName name="APARAT_SAN_INCRUST_ITEM" localSheetId="0">[26]Presupuesto!#REF!</definedName>
    <definedName name="APARAT_SAN_INCRUST_ITEM" localSheetId="3">[26]Presupuesto!#REF!</definedName>
    <definedName name="APARAT_SAN_INCRUST_ITEM" localSheetId="1">[26]Presupuesto!#REF!</definedName>
    <definedName name="APARAT_SAN_INCRUST_ITEM">[26]Presupuesto!#REF!</definedName>
    <definedName name="APARAT_SANIT_ITEM" localSheetId="0">[26]Presupuesto!#REF!,[26]Presupuesto!#REF!,[26]Presupuesto!#REF!,[26]Presupuesto!#REF!</definedName>
    <definedName name="APARAT_SANIT_ITEM" localSheetId="3">[26]Presupuesto!#REF!,[26]Presupuesto!#REF!,[26]Presupuesto!#REF!,[26]Presupuesto!#REF!</definedName>
    <definedName name="APARAT_SANIT_ITEM" localSheetId="1">[26]Presupuesto!#REF!,[26]Presupuesto!#REF!,[26]Presupuesto!#REF!,[26]Presupuesto!#REF!</definedName>
    <definedName name="APARAT_SANIT_ITEM">[26]Presupuesto!#REF!,[26]Presupuesto!#REF!,[26]Presupuesto!#REF!,[26]Presupuesto!#REF!</definedName>
    <definedName name="APARAT_SANIT_VALOR">[26]Presupuesto!$G$939,[26]Presupuesto!$G$940,[26]Presupuesto!$G$941,[26]Presupuesto!$G$942:$G$945</definedName>
    <definedName name="APARATOSSAN" localSheetId="0">[26]Presupuesto!#REF!,[26]Presupuesto!#REF!,[26]Presupuesto!#REF!,[26]Presupuesto!#REF!</definedName>
    <definedName name="APARATOSSAN" localSheetId="3">[26]Presupuesto!#REF!,[26]Presupuesto!#REF!,[26]Presupuesto!#REF!,[26]Presupuesto!#REF!</definedName>
    <definedName name="APARATOSSAN" localSheetId="1">[26]Presupuesto!#REF!,[26]Presupuesto!#REF!,[26]Presupuesto!#REF!,[26]Presupuesto!#REF!</definedName>
    <definedName name="APARATOSSAN">[26]Presupuesto!#REF!,[26]Presupuesto!#REF!,[26]Presupuesto!#REF!,[26]Presupuesto!#REF!</definedName>
    <definedName name="APU" localSheetId="0">#REF!</definedName>
    <definedName name="APU" localSheetId="1">#REF!</definedName>
    <definedName name="APU">#REF!</definedName>
    <definedName name="APUFEB" localSheetId="0">#REF!</definedName>
    <definedName name="APUFEB" localSheetId="1">#REF!</definedName>
    <definedName name="APUFEB">#REF!</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R" localSheetId="0">#REF!</definedName>
    <definedName name="AR" localSheetId="1">#REF!</definedName>
    <definedName name="AR">#REF!</definedName>
    <definedName name="AREA" localSheetId="0">#REF!</definedName>
    <definedName name="AREA" localSheetId="1">#REF!</definedName>
    <definedName name="AREA">#REF!</definedName>
    <definedName name="_xlnm.Print_Area" localSheetId="0">'AU 4 meses'!$B$2:$J$89</definedName>
    <definedName name="_xlnm.Print_Area" localSheetId="3">#REF!</definedName>
    <definedName name="_xlnm.Print_Area" localSheetId="1">'PRESUPUESTO CALLE 58 SUR'!$A$1:$F$90</definedName>
    <definedName name="_xlnm.Print_Area">#REF!</definedName>
    <definedName name="Arrendamientos" localSheetId="0">#REF!</definedName>
    <definedName name="Arrendamientos" localSheetId="1">#REF!</definedName>
    <definedName name="Arrendamientos">#REF!</definedName>
    <definedName name="ARTE">[30]INSUMOS!$F$84</definedName>
    <definedName name="asa" localSheetId="0">#REF!</definedName>
    <definedName name="asa" localSheetId="1">#REF!</definedName>
    <definedName name="asa">#REF!</definedName>
    <definedName name="asas">[31]formulario!$A$6:$D$37</definedName>
    <definedName name="asasasa">[31]equipos!$A$2:$E$772</definedName>
    <definedName name="asasasas">[31]MATERIALES!$A$3:$D$192</definedName>
    <definedName name="asasasasa">[31]ACARREO!$A$3:$C$26</definedName>
    <definedName name="asasasasas">[31]CUADBASI!$A$13:$F$46</definedName>
    <definedName name="ASB">[3]AASHTO!$A$8:$F$11</definedName>
    <definedName name="ASCENSORES_ITEM" localSheetId="0">[26]Presupuesto!#REF!</definedName>
    <definedName name="ASCENSORES_ITEM" localSheetId="3">[26]Presupuesto!#REF!</definedName>
    <definedName name="ASCENSORES_ITEM" localSheetId="1">[26]Presupuesto!#REF!</definedName>
    <definedName name="ASCENSORES_ITEM">[26]Presupuesto!#REF!</definedName>
    <definedName name="ASD" localSheetId="0"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 localSheetId="0">#REF!</definedName>
    <definedName name="ASDAS" localSheetId="1">#REF!</definedName>
    <definedName name="ASDAS">#REF!</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eguracalidad" localSheetId="0">#REF!</definedName>
    <definedName name="Aseguracalidad" localSheetId="1">#REF!</definedName>
    <definedName name="Aseguracalidad">#REF!</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B" localSheetId="0">#REF!</definedName>
    <definedName name="ATB" localSheetId="1">#REF!</definedName>
    <definedName name="ATB">#REF!</definedName>
    <definedName name="AUAU1" localSheetId="0">'[32]COSTO INSUMOS'!#REF!</definedName>
    <definedName name="AUAU1" localSheetId="3">'[32]COSTO INSUMOS'!#REF!</definedName>
    <definedName name="AUAU1" localSheetId="1">'[32]COSTO INSUMOS'!#REF!</definedName>
    <definedName name="AUAU1">'[32]COSTO INSUMOS'!#REF!</definedName>
    <definedName name="AUXILIAR" localSheetId="0">'[32]COSTO INSUMOS'!#REF!</definedName>
    <definedName name="AUXILIAR" localSheetId="1">'[32]COSTO INSUMOS'!#REF!</definedName>
    <definedName name="AUXILIAR">'[32]COSTO INSUMOS'!#REF!</definedName>
    <definedName name="AUXILIARES" localSheetId="0">[32]LISTAS!$K$3:$K$21</definedName>
    <definedName name="AUXILIARES" localSheetId="3">[33]LISTAS!$K$3:$K$4</definedName>
    <definedName name="AUXILIARES">[34]LISTAS!$K$3:$K$4</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0">#REF!</definedName>
    <definedName name="B" localSheetId="3" hidden="1">#REF!</definedName>
    <definedName name="B" localSheetId="1" hidden="1">#REF!</definedName>
    <definedName name="B" hidden="1">#REF!</definedName>
    <definedName name="B.T1" localSheetId="0">#REF!</definedName>
    <definedName name="B.T1" localSheetId="1">#REF!</definedName>
    <definedName name="B.T1">#REF!</definedName>
    <definedName name="B_T1" localSheetId="0">#REF!</definedName>
    <definedName name="B_T1" localSheetId="1">#REF!</definedName>
    <definedName name="B_T1">#REF!</definedName>
    <definedName name="Base" localSheetId="0">#REF!</definedName>
    <definedName name="Base" localSheetId="1">#REF!</definedName>
    <definedName name="Base">#REF!</definedName>
    <definedName name="base_datos_t45" localSheetId="0">[35]CALIDAD!#REF!</definedName>
    <definedName name="base_datos_t45" localSheetId="3">[35]CALIDAD!#REF!</definedName>
    <definedName name="base_datos_t45" localSheetId="1">[35]CALIDAD!#REF!</definedName>
    <definedName name="base_datos_t45">[35]CALIDAD!#REF!</definedName>
    <definedName name="BaseDatos_Ore1" localSheetId="0">'[36]BD100-45'!#REF!</definedName>
    <definedName name="BaseDatos_Ore1" localSheetId="1">'[36]BD100-45'!#REF!</definedName>
    <definedName name="BaseDatos_Ore1">'[36]BD100-45'!#REF!</definedName>
    <definedName name="BaseDatos_T831" localSheetId="0">'[37]BD100-45-P1'!#REF!</definedName>
    <definedName name="BaseDatos_T831" localSheetId="1">'[37]BD100-45-P1'!#REF!</definedName>
    <definedName name="BaseDatos_T831">'[37]BD100-45-P1'!#REF!</definedName>
    <definedName name="_xlnm.Database" localSheetId="0">#REF!</definedName>
    <definedName name="_xlnm.Database" localSheetId="1">#REF!</definedName>
    <definedName name="_xlnm.Database">#REF!</definedName>
    <definedName name="BASEQUI">[24]EQUIPO!$B$19:$J$1001</definedName>
    <definedName name="BASMANO">'[24]MANO DE OBRA'!$B$17:$H$68</definedName>
    <definedName name="BASMATE">[24]Materiales!$B$18:$E$1108</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 localSheetId="1">#REF!</definedName>
    <definedName name="Bd">#REF!</definedName>
    <definedName name="Bd__2" localSheetId="0">#REF!</definedName>
    <definedName name="Bd__2" localSheetId="1">#REF!</definedName>
    <definedName name="Bd__2">#REF!</definedName>
    <definedName name="Bd_2" localSheetId="0">[38]FACTORES!#REF!</definedName>
    <definedName name="Bd_2" localSheetId="3">[38]FACTORES!#REF!</definedName>
    <definedName name="Bd_2" localSheetId="1">[38]FACTORES!#REF!</definedName>
    <definedName name="Bd_2">[38]FACTORES!#REF!</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B" localSheetId="0">#REF!</definedName>
    <definedName name="BEB" localSheetId="1">#REF!</definedName>
    <definedName name="BEB">#REF!</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LPH1" localSheetId="0" hidden="1">#REF!</definedName>
    <definedName name="BLPH1" localSheetId="1" hidden="1">#REF!</definedName>
    <definedName name="BLPH1" hidden="1">#REF!</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Q">[14]DATBAND!$D$3:$D$395</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DGET" localSheetId="0">'[39]CALC PROD MENSUAL'!#REF!</definedName>
    <definedName name="BUDGET" localSheetId="1">'[39]CALC PROD MENSUAL'!#REF!</definedName>
    <definedName name="BUDGET">'[39]CALC PROD MENSUAL'!#REF!</definedName>
    <definedName name="BUDGETNORTE" localSheetId="0">'[39]CALC PROD MENSUAL'!#REF!</definedName>
    <definedName name="BUDGETNORTE" localSheetId="1">'[39]CALC PROD MENSUAL'!#REF!</definedName>
    <definedName name="BUDGETNORTE">'[39]CALC PROD MENSUAL'!#REF!</definedName>
    <definedName name="BUDGETSUR" localSheetId="0">'[39]CALC PROD MENSUAL'!#REF!</definedName>
    <definedName name="BUDGETSUR" localSheetId="1">'[39]CALC PROD MENSUAL'!#REF!</definedName>
    <definedName name="BUDGETSUR">'[39]CALC PROD MENSUAL'!#REF!</definedName>
    <definedName name="BuiltIn_Print_Area" localSheetId="0">#REF!</definedName>
    <definedName name="BuiltIn_Print_Area" localSheetId="1">#REF!</definedName>
    <definedName name="BuiltIn_Print_Area">#REF!</definedName>
    <definedName name="BuiltIn_Print_Area___0" localSheetId="0">#REF!</definedName>
    <definedName name="BuiltIn_Print_Area___0" localSheetId="1">#REF!</definedName>
    <definedName name="BuiltIn_Print_Area___0">#REF!</definedName>
    <definedName name="BuiltIn_Print_Area___0___0" localSheetId="0">#REF!</definedName>
    <definedName name="BuiltIn_Print_Area___0___0" localSheetId="1">#REF!</definedName>
    <definedName name="BuiltIn_Print_Area___0___0">#REF!</definedName>
    <definedName name="BuiltIn_Print_Area___0___0___0" localSheetId="0">#REF!</definedName>
    <definedName name="BuiltIn_Print_Area___0___0___0" localSheetId="1">#REF!</definedName>
    <definedName name="BuiltIn_Print_Area___0___0___0">#REF!</definedName>
    <definedName name="BuiltIn_Print_Titles" localSheetId="0">#REF!</definedName>
    <definedName name="BuiltIn_Print_Titles" localSheetId="1">#REF!</definedName>
    <definedName name="BuiltIn_Print_Titles">#REF!</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CLAV" localSheetId="0">#REF!</definedName>
    <definedName name="C.CLAV" localSheetId="1">#REF!</definedName>
    <definedName name="C.CLAV">#REF!</definedName>
    <definedName name="C.FON" localSheetId="0">#REF!</definedName>
    <definedName name="C.FON" localSheetId="1">#REF!</definedName>
    <definedName name="C.FON">#REF!</definedName>
    <definedName name="C.LOM" localSheetId="0">#REF!</definedName>
    <definedName name="C.LOM" localSheetId="1">#REF!</definedName>
    <definedName name="C.LOM">#REF!</definedName>
    <definedName name="C.RAS" localSheetId="0">#REF!</definedName>
    <definedName name="C.RAS" localSheetId="1">#REF!</definedName>
    <definedName name="C.RAS">#REF!</definedName>
    <definedName name="C.TERR" localSheetId="0">#REF!</definedName>
    <definedName name="C.TERR" localSheetId="1">#REF!</definedName>
    <definedName name="C.TERR">#REF!</definedName>
    <definedName name="C_">#N/A</definedName>
    <definedName name="C_grupo1" localSheetId="0">#REF!</definedName>
    <definedName name="C_grupo1" localSheetId="1">#REF!</definedName>
    <definedName name="C_grupo1">#REF!</definedName>
    <definedName name="C_LOM" localSheetId="0">#REF!</definedName>
    <definedName name="C_LOM" localSheetId="1">#REF!</definedName>
    <definedName name="C_LOM">#REF!</definedName>
    <definedName name="cabina" localSheetId="0">#REF!</definedName>
    <definedName name="cabina" localSheetId="1">#REF!</definedName>
    <definedName name="cabina">#REF!</definedName>
    <definedName name="CALEND" localSheetId="0">'[39]CALC PROD MENSUAL'!#REF!</definedName>
    <definedName name="CALEND" localSheetId="3">'[39]CALC PROD MENSUAL'!#REF!</definedName>
    <definedName name="CALEND" localSheetId="1">'[39]CALC PROD MENSUAL'!#REF!</definedName>
    <definedName name="CALEND">'[39]CALC PROD MENSUAL'!#REF!</definedName>
    <definedName name="CALENDARIO" localSheetId="0">'[39]CALC PROD MENSUAL'!#REF!</definedName>
    <definedName name="CALENDARIO" localSheetId="1">'[39]CALC PROD MENSUAL'!#REF!</definedName>
    <definedName name="CALENDARIO">'[39]CALC PROD MENSUAL'!#REF!</definedName>
    <definedName name="CALENDARIO1" localSheetId="0">'[40]CALC PROD MENSUAL'!#REF!</definedName>
    <definedName name="CALENDARIO1" localSheetId="1">'[40]CALC PROD MENSUAL'!#REF!</definedName>
    <definedName name="CALENDARIO1">'[40]CALC PROD MENSUAL'!#REF!</definedName>
    <definedName name="calidad">[41]calidad!$C$3</definedName>
    <definedName name="CAM_CAIDA" localSheetId="0">#REF!</definedName>
    <definedName name="CAM_CAIDA" localSheetId="1">#REF!</definedName>
    <definedName name="CAM_CAIDA">#REF!</definedName>
    <definedName name="CANT">#N/A</definedName>
    <definedName name="Cantidad" localSheetId="0">#REF!</definedName>
    <definedName name="Cantidad" localSheetId="1">#REF!</definedName>
    <definedName name="Cantidad">#REF!</definedName>
    <definedName name="CAP" localSheetId="0">#REF!</definedName>
    <definedName name="CAP" localSheetId="1">#REF!</definedName>
    <definedName name="CAP">#REF!</definedName>
    <definedName name="CAPIT" localSheetId="0">#REF!</definedName>
    <definedName name="CAPIT" localSheetId="1">#REF!</definedName>
    <definedName name="CAPIT">#REF!</definedName>
    <definedName name="CAPITULO" localSheetId="0">#REF!</definedName>
    <definedName name="CAPITULO" localSheetId="1">#REF!</definedName>
    <definedName name="CAPITULO">#REF!</definedName>
    <definedName name="caro">#N/A</definedName>
    <definedName name="caro2">#N/A</definedName>
    <definedName name="Carp.Aluminio" localSheetId="0">#REF!</definedName>
    <definedName name="Carp.Aluminio" localSheetId="1">#REF!</definedName>
    <definedName name="Carp.Aluminio">#REF!</definedName>
    <definedName name="Carp.Metalica" localSheetId="0">#REF!</definedName>
    <definedName name="Carp.Metalica" localSheetId="1">#REF!</definedName>
    <definedName name="Carp.Metalica">#REF!</definedName>
    <definedName name="CASQ" localSheetId="0">[42]FACTORES!#REF!</definedName>
    <definedName name="CASQ" localSheetId="3">[42]FACTORES!#REF!</definedName>
    <definedName name="CASQ" localSheetId="1">[42]FACTORES!#REF!</definedName>
    <definedName name="CASQ">[42]FACTORES!#REF!</definedName>
    <definedName name="CBWorkbookPriority" hidden="1">-1602700874</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[43]Hoja1!$C$81</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[44]CDItem!$G$8</definedName>
    <definedName name="cdfgrtfd" localSheetId="0" hidden="1">#REF!</definedName>
    <definedName name="cdfgrtfd" localSheetId="3" hidden="1">#REF!</definedName>
    <definedName name="cdfgrtfd" localSheetId="1" hidden="1">#REF!</definedName>
    <definedName name="cdfgrtfd" hidden="1">#REF!</definedName>
    <definedName name="CDO" localSheetId="0">#REF!</definedName>
    <definedName name="CDO" localSheetId="1">#REF!</definedName>
    <definedName name="CDO">#REF!</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rrajeria" localSheetId="0">#REF!</definedName>
    <definedName name="Cerrajeria" localSheetId="1">#REF!</definedName>
    <definedName name="Cerrajeria">#REF!</definedName>
    <definedName name="cerramientoprovisional" localSheetId="0">[26]Presupuesto!#REF!</definedName>
    <definedName name="cerramientoprovisional" localSheetId="3">[26]Presupuesto!#REF!</definedName>
    <definedName name="cerramientoprovisional" localSheetId="1">[26]Presupuesto!#REF!</definedName>
    <definedName name="cerramientoprovisional">[26]Presupuesto!#REF!</definedName>
    <definedName name="ChequeoCantidades" localSheetId="0">#REF!</definedName>
    <definedName name="ChequeoCantidades" localSheetId="1">#REF!</definedName>
    <definedName name="ChequeoCantidades">#REF!</definedName>
    <definedName name="ci" localSheetId="0">#REF!</definedName>
    <definedName name="ci" localSheetId="1">#REF!</definedName>
    <definedName name="ci">#REF!</definedName>
    <definedName name="CILIND">[45]TUBERIA!$AE$10:$AE$14</definedName>
    <definedName name="Ciudades" localSheetId="0">#REF!</definedName>
    <definedName name="Ciudades" localSheetId="1">#REF!</definedName>
    <definedName name="Ciudades">#REF!</definedName>
    <definedName name="cjsa" localSheetId="0" hidden="1">#REF!</definedName>
    <definedName name="cjsa" localSheetId="3" hidden="1">#REF!</definedName>
    <definedName name="cjsa" localSheetId="1" hidden="1">#REF!</definedName>
    <definedName name="cjsa" hidden="1">#REF!</definedName>
    <definedName name="CL" localSheetId="0">#REF!</definedName>
    <definedName name="CL" localSheetId="1">#REF!</definedName>
    <definedName name="CL">#REF!</definedName>
    <definedName name="clcl" localSheetId="0">#REF!</definedName>
    <definedName name="clcl" localSheetId="1">#REF!</definedName>
    <definedName name="clcl">#REF!</definedName>
    <definedName name="Cod" localSheetId="0">#REF!</definedName>
    <definedName name="Cod" localSheetId="1">#REF!</definedName>
    <definedName name="Cod">#REF!</definedName>
    <definedName name="CODOS" localSheetId="0">#REF!</definedName>
    <definedName name="CODOS" localSheetId="1">#REF!</definedName>
    <definedName name="CODOS">#REF!</definedName>
    <definedName name="codos2" localSheetId="0">#REF!</definedName>
    <definedName name="codos2" localSheetId="1">#REF!</definedName>
    <definedName name="codos2">#REF!</definedName>
    <definedName name="ColTap">'[16]Coloc. e Interc. Tapones'!$E$1:$E$65536</definedName>
    <definedName name="COM.LIM" localSheetId="0">#REF!</definedName>
    <definedName name="COM.LIM" localSheetId="1">#REF!</definedName>
    <definedName name="COM.LIM">#REF!</definedName>
    <definedName name="Combustible" localSheetId="0">#REF!</definedName>
    <definedName name="Combustible" localSheetId="1">#REF!</definedName>
    <definedName name="Combustible">#REF!</definedName>
    <definedName name="COMP">'[14]DAT NUC'!$M$2:$M$518</definedName>
    <definedName name="CON.FUN" localSheetId="0">#REF!</definedName>
    <definedName name="CON.FUN" localSheetId="1">#REF!</definedName>
    <definedName name="CON.FUN">#REF!</definedName>
    <definedName name="CON.LIM" localSheetId="0">#REF!</definedName>
    <definedName name="CON.LIM" localSheetId="1">#REF!</definedName>
    <definedName name="CON.LIM">#REF!</definedName>
    <definedName name="CON.POZ" localSheetId="0">#REF!</definedName>
    <definedName name="CON.POZ" localSheetId="1">#REF!</definedName>
    <definedName name="CON.POZ">#REF!</definedName>
    <definedName name="CON.TUB" localSheetId="0">[38]TUBERIA!#REF!</definedName>
    <definedName name="CON.TUB" localSheetId="3">[38]TUBERIA!#REF!</definedName>
    <definedName name="CON.TUB" localSheetId="1">[38]TUBERIA!#REF!</definedName>
    <definedName name="CON.TUB">[38]TUBERIA!#REF!</definedName>
    <definedName name="CONC" localSheetId="0">#REF!</definedName>
    <definedName name="CONC" localSheetId="1">#REF!</definedName>
    <definedName name="CONC">#REF!</definedName>
    <definedName name="CONCRETO" localSheetId="0">#REF!</definedName>
    <definedName name="CONCRETO" localSheetId="1">#REF!</definedName>
    <definedName name="CONCRETO">#REF!</definedName>
    <definedName name="CONCRETO_F.C_4" localSheetId="0">#REF!</definedName>
    <definedName name="CONCRETO_F.C_4" localSheetId="1">#REF!</definedName>
    <definedName name="CONCRETO_F.C_4">#REF!</definedName>
    <definedName name="concreto_FC_2.2" localSheetId="0">#REF!</definedName>
    <definedName name="concreto_FC_2.2" localSheetId="1">#REF!</definedName>
    <definedName name="concreto_FC_2.2">#REF!</definedName>
    <definedName name="Concretos" localSheetId="0">#REF!</definedName>
    <definedName name="Concretos" localSheetId="1">#REF!</definedName>
    <definedName name="Concretos">#REF!</definedName>
    <definedName name="constante">[14]DATOS!$AO$3:$AO$483</definedName>
    <definedName name="CONSUMO">'[24]CONSUMOHORA-EQUIPO'!$A$1:$AZ$101</definedName>
    <definedName name="copia1" localSheetId="0">#REF!</definedName>
    <definedName name="copia1" localSheetId="1">#REF!</definedName>
    <definedName name="copia1">#REF!</definedName>
    <definedName name="COSTO" localSheetId="0">#REF!</definedName>
    <definedName name="COSTO" localSheetId="1">#REF!</definedName>
    <definedName name="COSTO">#REF!</definedName>
    <definedName name="COSTO1" localSheetId="0">#REF!</definedName>
    <definedName name="COSTO1" localSheetId="1">#REF!</definedName>
    <definedName name="COSTO1">#REF!</definedName>
    <definedName name="costo2" localSheetId="0" hidden="1">#REF!</definedName>
    <definedName name="costo2" localSheetId="1" hidden="1">#REF!</definedName>
    <definedName name="costo2" hidden="1">#REF!</definedName>
    <definedName name="CostoAnsermaCartago" localSheetId="0">#REF!</definedName>
    <definedName name="CostoAnsermaCartago" localSheetId="1">#REF!</definedName>
    <definedName name="CostoAnsermaCartago">#REF!</definedName>
    <definedName name="CostoMediacanoaAnserma" localSheetId="0">#REF!</definedName>
    <definedName name="CostoMediacanoaAnserma" localSheetId="1">#REF!</definedName>
    <definedName name="CostoMediacanoaAnserma">#REF!</definedName>
    <definedName name="COSTOS_DIRECTOS" localSheetId="0">#REF!</definedName>
    <definedName name="COSTOS_DIRECTOS" localSheetId="1">#REF!</definedName>
    <definedName name="COSTOS_DIRECTOS">#REF!</definedName>
    <definedName name="credito_completa" localSheetId="0">#REF!</definedName>
    <definedName name="credito_completa" localSheetId="1">#REF!</definedName>
    <definedName name="credito_completa">#REF!</definedName>
    <definedName name="Cuadrillas" localSheetId="0">#REF!</definedName>
    <definedName name="Cuadrillas" localSheetId="1">#REF!</definedName>
    <definedName name="Cuadrillas">#REF!</definedName>
    <definedName name="Cubierta" localSheetId="0">#REF!</definedName>
    <definedName name="Cubierta" localSheetId="1">#REF!</definedName>
    <definedName name="Cubierta">#REF!</definedName>
    <definedName name="CUE" localSheetId="0">#REF!</definedName>
    <definedName name="CUE" localSheetId="1">#REF!</definedName>
    <definedName name="CUE">#REF!</definedName>
    <definedName name="CUER" localSheetId="0">#REF!</definedName>
    <definedName name="CUER" localSheetId="1">#REF!</definedName>
    <definedName name="CUER">#REF!</definedName>
    <definedName name="CUERDA" localSheetId="0">#REF!</definedName>
    <definedName name="CUERDA" localSheetId="1">#REF!</definedName>
    <definedName name="CUERDA">#REF!</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a">'[16]Cambio de Valv.'!$E$1:$E$65536</definedName>
    <definedName name="cvbcvbf" localSheetId="0"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0" localSheetId="0">#REF!</definedName>
    <definedName name="D_10" localSheetId="1">#REF!</definedName>
    <definedName name="D_10">#REF!</definedName>
    <definedName name="D_EXT" localSheetId="0">#REF!</definedName>
    <definedName name="D_EXT" localSheetId="1">#REF!</definedName>
    <definedName name="D_EXT">#REF!</definedName>
    <definedName name="D_INT" localSheetId="0">#REF!</definedName>
    <definedName name="D_INT" localSheetId="1">#REF!</definedName>
    <definedName name="D_INT">#REF!</definedName>
    <definedName name="D1S" localSheetId="0">#REF!</definedName>
    <definedName name="D1S" localSheetId="1">#REF!</definedName>
    <definedName name="D1S">#REF!</definedName>
    <definedName name="D2S" localSheetId="0">#REF!</definedName>
    <definedName name="D2S" localSheetId="1">#REF!</definedName>
    <definedName name="D2S">#REF!</definedName>
    <definedName name="D6.PVC">'[18]factores A.N.'!$N$8:$N$33</definedName>
    <definedName name="D61S" localSheetId="0">#REF!</definedName>
    <definedName name="D61S" localSheetId="1">#REF!</definedName>
    <definedName name="D61S">#REF!</definedName>
    <definedName name="D62S" localSheetId="0">#REF!</definedName>
    <definedName name="D62S" localSheetId="1">#REF!</definedName>
    <definedName name="D62S">#REF!</definedName>
    <definedName name="D6R" localSheetId="0">#REF!</definedName>
    <definedName name="D6R" localSheetId="1">#REF!</definedName>
    <definedName name="D6R">#REF!</definedName>
    <definedName name="D81S" localSheetId="0">#REF!</definedName>
    <definedName name="D81S" localSheetId="1">#REF!</definedName>
    <definedName name="D81S">#REF!</definedName>
    <definedName name="D82S" localSheetId="0">#REF!</definedName>
    <definedName name="D82S" localSheetId="1">#REF!</definedName>
    <definedName name="D82S">#REF!</definedName>
    <definedName name="D8R" localSheetId="0">#REF!</definedName>
    <definedName name="D8R" localSheetId="1">#REF!</definedName>
    <definedName name="D8R">#REF!</definedName>
    <definedName name="da" localSheetId="0">#REF!</definedName>
    <definedName name="da" localSheetId="1">#REF!</definedName>
    <definedName name="da">#REF!</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base" localSheetId="0">#REF!</definedName>
    <definedName name="Database" localSheetId="1">#REF!</definedName>
    <definedName name="Database">#REF!</definedName>
    <definedName name="DATOS">'[24]DAT EQUIP'!$B$1:$AM$60</definedName>
    <definedName name="datos2" localSheetId="0">#REF!</definedName>
    <definedName name="datos2" localSheetId="1">#REF!</definedName>
    <definedName name="datos2">#REF!</definedName>
    <definedName name="datoseq">'[46]Dto Equipos'!$A$3:$E$20</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 localSheetId="0">[42]FACTORES!#REF!</definedName>
    <definedName name="De" localSheetId="1">[42]FACTORES!#REF!</definedName>
    <definedName name="De">[42]FACTORES!#REF!</definedName>
    <definedName name="De_6" localSheetId="0">#REF!</definedName>
    <definedName name="De_6" localSheetId="1">#REF!</definedName>
    <definedName name="De_6">#REF!</definedName>
    <definedName name="De_8" localSheetId="0">#REF!</definedName>
    <definedName name="De_8" localSheetId="1">#REF!</definedName>
    <definedName name="De_8">#REF!</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pav">'[18]factores A.N.'!$E$15:$E$306</definedName>
    <definedName name="deriv" localSheetId="0">#REF!</definedName>
    <definedName name="deriv" localSheetId="1">#REF!</definedName>
    <definedName name="deriv">#REF!</definedName>
    <definedName name="descapote" localSheetId="0">[26]Presupuesto!#REF!</definedName>
    <definedName name="descapote" localSheetId="3" hidden="1">{"TAB1",#N/A,TRUE,"GENERAL";"TAB2",#N/A,TRUE,"GENERAL";"TAB3",#N/A,TRUE,"GENERAL";"TAB4",#N/A,TRUE,"GENERAL";"TAB5",#N/A,TRUE,"GENERAL"}</definedName>
    <definedName name="descapote" hidden="1">{"TAB1",#N/A,TRUE,"GENERAL";"TAB2",#N/A,TRUE,"GENERAL";"TAB3",#N/A,TRUE,"GENERAL";"TAB4",#N/A,TRUE,"GENERAL";"TAB5",#N/A,TRUE,"GENERAL"}</definedName>
    <definedName name="DescripcionVenta" localSheetId="0">#REF!</definedName>
    <definedName name="DescripcionVenta" localSheetId="1">#REF!</definedName>
    <definedName name="DescripcionVenta">#REF!</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[47]EQALT!$G$10:$BL$65</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4hr" localSheetId="0">#REF!</definedName>
    <definedName name="dia24hr" localSheetId="1">#REF!</definedName>
    <definedName name="dia24hr">#REF!</definedName>
    <definedName name="diametros" localSheetId="0">#REF!</definedName>
    <definedName name="diametros" localSheetId="1">#REF!</definedName>
    <definedName name="diametros">#REF!</definedName>
    <definedName name="dias" localSheetId="0">#REF!</definedName>
    <definedName name="dias" localSheetId="1">#REF!</definedName>
    <definedName name="dias">#REF!</definedName>
    <definedName name="DIAS_DEL_MES" localSheetId="0">#REF!</definedName>
    <definedName name="DIAS_DEL_MES" localSheetId="1">#REF!</definedName>
    <definedName name="DIAS_DEL_MES">#REF!</definedName>
    <definedName name="dias_semana" localSheetId="0">#REF!</definedName>
    <definedName name="dias_semana" localSheetId="1">#REF!</definedName>
    <definedName name="dias_semana">#REF!</definedName>
    <definedName name="Dias_semanales" localSheetId="0">#REF!</definedName>
    <definedName name="Dias_semanales" localSheetId="1">#REF!</definedName>
    <definedName name="Dias_semanales">#REF!</definedName>
    <definedName name="DIAS_SEMANAS" localSheetId="0">#REF!</definedName>
    <definedName name="DIAS_SEMANAS" localSheetId="1">#REF!</definedName>
    <definedName name="DIAS_SEMANAS">#REF!</definedName>
    <definedName name="DIASDELMES" localSheetId="0">#REF!</definedName>
    <definedName name="DIASDELMES" localSheetId="1">#REF!</definedName>
    <definedName name="DIASDELMES">#REF!</definedName>
    <definedName name="DIRECTOS">'[48]PPTO REDUCIDO'!$N$206</definedName>
    <definedName name="DISP" localSheetId="0">'[40]CALC PROD MENSUAL'!#REF!</definedName>
    <definedName name="DISP" localSheetId="3">'[40]CALC PROD MENSUAL'!#REF!</definedName>
    <definedName name="DISP" localSheetId="1">'[40]CALC PROD MENSUAL'!#REF!</definedName>
    <definedName name="DISP">'[40]CALC PROD MENSUAL'!#REF!</definedName>
    <definedName name="DISPONIBILIDAD" localSheetId="0">'[39]CALC PROD MENSUAL'!#REF!</definedName>
    <definedName name="DISPONIBILIDAD" localSheetId="1">'[39]CALC PROD MENSUAL'!#REF!</definedName>
    <definedName name="DISPONIBILIDAD">'[39]CALC PROD MENSUAL'!#REF!</definedName>
    <definedName name="Diversos" localSheetId="0">#REF!</definedName>
    <definedName name="Diversos" localSheetId="1">#REF!</definedName>
    <definedName name="Diversos">#REF!</definedName>
    <definedName name="DIVISION">#N/A</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olar">'[24]DAT EQUIP'!$G$11</definedName>
    <definedName name="dos" localSheetId="0">#REF!</definedName>
    <definedName name="dos" localSheetId="1">#REF!</definedName>
    <definedName name="dos">#REF!</definedName>
    <definedName name="DR" localSheetId="0">#REF!</definedName>
    <definedName name="DR" localSheetId="1">#REF!</definedName>
    <definedName name="DR">#REF!</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rywall" localSheetId="0">#REF!</definedName>
    <definedName name="Drywall" localSheetId="1">#REF!</definedName>
    <definedName name="Drywall">#REF!</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0">#REF!</definedName>
    <definedName name="e" localSheetId="1">#REF!</definedName>
    <definedName name="e">#REF!</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0">#REF!</definedName>
    <definedName name="ee" localSheetId="1">#REF!</definedName>
    <definedName name="ee">#REF!</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LECTRICA" localSheetId="0">[49]anexo2!#REF!</definedName>
    <definedName name="ELECTRICA" localSheetId="1">[49]anexo2!#REF!</definedName>
    <definedName name="ELECTRICA">[49]anexo2!#REF!</definedName>
    <definedName name="ELECTRICAS" localSheetId="0">[49]anexo2!#REF!</definedName>
    <definedName name="ELECTRICAS" localSheetId="1">[49]anexo2!#REF!</definedName>
    <definedName name="ELECTRICAS">[49]anexo2!#REF!</definedName>
    <definedName name="ELECTRICO_ITEM_ESTIMADO" localSheetId="0">[26]Presupuesto!#REF!</definedName>
    <definedName name="ELECTRICO_ITEM_ESTIMADO" localSheetId="1">[26]Presupuesto!#REF!</definedName>
    <definedName name="ELECTRICO_ITEM_ESTIMADO">[26]Presupuesto!#REF!</definedName>
    <definedName name="elementos">[50]Sheet2!$A$2:$A$85</definedName>
    <definedName name="ENCHAPES" localSheetId="0">[26]Presupuesto!#REF!,[26]Presupuesto!#REF!</definedName>
    <definedName name="ENCHAPES" localSheetId="3">[26]Presupuesto!#REF!,[26]Presupuesto!#REF!</definedName>
    <definedName name="ENCHAPES" localSheetId="1">[26]Presupuesto!#REF!,[26]Presupuesto!#REF!</definedName>
    <definedName name="ENCHAPES">[26]Presupuesto!#REF!,[26]Presupuesto!#REF!</definedName>
    <definedName name="ENCHAPES_1" localSheetId="0">[26]Presupuesto!#REF!</definedName>
    <definedName name="ENCHAPES_1" localSheetId="3">[26]Presupuesto!#REF!</definedName>
    <definedName name="ENCHAPES_1" localSheetId="1">[26]Presupuesto!#REF!</definedName>
    <definedName name="ENCHAPES_1">[26]Presupuesto!#REF!</definedName>
    <definedName name="ENCHAPES_ITEM" localSheetId="0">[26]Presupuesto!#REF!,[26]Presupuesto!#REF!,[26]Presupuesto!#REF!,[26]Presupuesto!#REF!</definedName>
    <definedName name="ENCHAPES_ITEM" localSheetId="3">[26]Presupuesto!#REF!,[26]Presupuesto!#REF!,[26]Presupuesto!#REF!,[26]Presupuesto!#REF!</definedName>
    <definedName name="ENCHAPES_ITEM" localSheetId="1">[26]Presupuesto!#REF!,[26]Presupuesto!#REF!,[26]Presupuesto!#REF!,[26]Presupuesto!#REF!</definedName>
    <definedName name="ENCHAPES_ITEM">[26]Presupuesto!#REF!,[26]Presupuesto!#REF!,[26]Presupuesto!#REF!,[26]Presupuesto!#REF!</definedName>
    <definedName name="ENCHAPES_VALOR">[26]Presupuesto!$G$67:$G$68,[26]Presupuesto!$G$70:$G$71,[26]Presupuesto!$G$72</definedName>
    <definedName name="ENE">#N/A</definedName>
    <definedName name="ENT.A1" localSheetId="0">'[51]CANT.5921'!#REF!</definedName>
    <definedName name="ENT.A1" localSheetId="1">'[51]CANT.5921'!#REF!</definedName>
    <definedName name="ENT.A1">'[51]CANT.5921'!#REF!</definedName>
    <definedName name="ENT.ESP" localSheetId="0">'[51]CANT.5921'!#REF!</definedName>
    <definedName name="ENT.ESP" localSheetId="1">'[51]CANT.5921'!#REF!</definedName>
    <definedName name="ENT.ESP">'[51]CANT.5921'!#REF!</definedName>
    <definedName name="ENT1_SEPT25" localSheetId="0">[26]Presupuesto!#REF!,[26]Presupuesto!#REF!,[26]Presupuesto!#REF!</definedName>
    <definedName name="ENT1_SEPT25" localSheetId="3">[26]Presupuesto!#REF!,[26]Presupuesto!#REF!,[26]Presupuesto!#REF!</definedName>
    <definedName name="ENT1_SEPT25" localSheetId="1">[26]Presupuesto!#REF!,[26]Presupuesto!#REF!,[26]Presupuesto!#REF!</definedName>
    <definedName name="ENT1_SEPT25">[26]Presupuesto!#REF!,[26]Presupuesto!#REF!,[26]Presupuesto!#REF!</definedName>
    <definedName name="ENTIB" localSheetId="0">#REF!</definedName>
    <definedName name="ENTIB" localSheetId="1">#REF!</definedName>
    <definedName name="ENTIB">#REF!</definedName>
    <definedName name="ENTIBADO" localSheetId="0">[52]TUBERIA!#REF!</definedName>
    <definedName name="ENTIBADO" localSheetId="3">[52]TUBERIA!#REF!</definedName>
    <definedName name="ENTIBADO" localSheetId="1">[52]TUBERIA!#REF!</definedName>
    <definedName name="ENTIBADO">[52]TUBERIA!#REF!</definedName>
    <definedName name="EQ" localSheetId="0">#REF!</definedName>
    <definedName name="EQ" localSheetId="1">#REF!</definedName>
    <definedName name="EQ">#REF!</definedName>
    <definedName name="EQUI" localSheetId="0">#REF!</definedName>
    <definedName name="EQUI" localSheetId="1">#REF!</definedName>
    <definedName name="EQUI">#REF!</definedName>
    <definedName name="equip" localSheetId="0">#REF!</definedName>
    <definedName name="equip" localSheetId="1">#REF!</definedName>
    <definedName name="equip">#REF!</definedName>
    <definedName name="EQUIPO" localSheetId="0">#REF!</definedName>
    <definedName name="EQUIPO" localSheetId="1">#REF!</definedName>
    <definedName name="EQUIPO">#REF!</definedName>
    <definedName name="equipo2" localSheetId="0">#REF!</definedName>
    <definedName name="equipo2" localSheetId="1">#REF!</definedName>
    <definedName name="equipo2">#REF!</definedName>
    <definedName name="EQUIPOS" localSheetId="0">#REF!</definedName>
    <definedName name="EQUIPOS" localSheetId="1">#REF!</definedName>
    <definedName name="EQUIPOS">#REF!</definedName>
    <definedName name="EquiposEspeciales" localSheetId="0">#REF!</definedName>
    <definedName name="EquiposEspeciales" localSheetId="1">#REF!</definedName>
    <definedName name="EquiposEspeciales">#REF!</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 localSheetId="0">#REF!</definedName>
    <definedName name="er" localSheetId="1">#REF!</definedName>
    <definedName name="er">#REF!</definedName>
    <definedName name="erfg" localSheetId="0" hidden="1">{#N/A,#N/A,FALSE,"Hoja1";#N/A,#N/A,FALSE,"Hoja2"}</definedName>
    <definedName name="erfg" localSheetId="3"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P_PAV" localSheetId="0">#REF!</definedName>
    <definedName name="ESP_PAV" localSheetId="1">#REF!</definedName>
    <definedName name="ESP_PAV">#REF!</definedName>
    <definedName name="ESP_PUB_VAR_CARP_MET_ITEM" localSheetId="0">[26]Presupuesto!#REF!,[26]Presupuesto!#REF!</definedName>
    <definedName name="ESP_PUB_VAR_CARP_MET_ITEM" localSheetId="3">[26]Presupuesto!#REF!,[26]Presupuesto!#REF!</definedName>
    <definedName name="ESP_PUB_VAR_CARP_MET_ITEM" localSheetId="1">[26]Presupuesto!#REF!,[26]Presupuesto!#REF!</definedName>
    <definedName name="ESP_PUB_VAR_CARP_MET_ITEM">[26]Presupuesto!#REF!,[26]Presupuesto!#REF!</definedName>
    <definedName name="ESP_PUB_VIAS_YPARQ_ITEM" localSheetId="0">[26]Presupuesto!#REF!</definedName>
    <definedName name="ESP_PUB_VIAS_YPARQ_ITEM" localSheetId="3">[26]Presupuesto!#REF!</definedName>
    <definedName name="ESP_PUB_VIAS_YPARQ_ITEM" localSheetId="1">[26]Presupuesto!#REF!</definedName>
    <definedName name="ESP_PUB_VIAS_YPARQ_ITEM">[26]Presupuesto!#REF!</definedName>
    <definedName name="ESP_PUBLICO_EXT_ITEM" localSheetId="0">[26]Presupuesto!#REF!,[26]Presupuesto!#REF!,[26]Presupuesto!#REF!,[26]Presupuesto!#REF!,[26]Presupuesto!#REF!,[26]Presupuesto!#REF!,[26]Presupuesto!#REF!,[26]Presupuesto!#REF!,[26]Presupuesto!#REF!,[26]Presupuesto!#REF!,[26]Presupuesto!#REF!,[26]Presupuesto!#REF!,[26]Presupuesto!#REF!</definedName>
    <definedName name="ESP_PUBLICO_EXT_ITEM" localSheetId="3">[26]Presupuesto!#REF!,[26]Presupuesto!#REF!,[26]Presupuesto!#REF!,[26]Presupuesto!#REF!,[26]Presupuesto!#REF!,[26]Presupuesto!#REF!,[26]Presupuesto!#REF!,[26]Presupuesto!#REF!,[26]Presupuesto!#REF!,[26]Presupuesto!#REF!,[26]Presupuesto!#REF!,[26]Presupuesto!#REF!,[26]Presupuesto!#REF!</definedName>
    <definedName name="ESP_PUBLICO_EXT_ITEM" localSheetId="1">[26]Presupuesto!#REF!,[26]Presupuesto!#REF!,[26]Presupuesto!#REF!,[26]Presupuesto!#REF!,[26]Presupuesto!#REF!,[26]Presupuesto!#REF!,[26]Presupuesto!#REF!,[26]Presupuesto!#REF!,[26]Presupuesto!#REF!,[26]Presupuesto!#REF!,[26]Presupuesto!#REF!,[26]Presupuesto!#REF!,[26]Presupuesto!#REF!</definedName>
    <definedName name="ESP_PUBLICO_EXT_ITEM">[26]Presupuesto!#REF!,[26]Presupuesto!#REF!,[26]Presupuesto!#REF!,[26]Presupuesto!#REF!,[26]Presupuesto!#REF!,[26]Presupuesto!#REF!,[26]Presupuesto!#REF!,[26]Presupuesto!#REF!,[26]Presupuesto!#REF!,[26]Presupuesto!#REF!,[26]Presupuesto!#REF!,[26]Presupuesto!#REF!,[26]Presupuesto!#REF!</definedName>
    <definedName name="ESP1S" localSheetId="0">#REF!</definedName>
    <definedName name="ESP1S" localSheetId="1">#REF!</definedName>
    <definedName name="ESP1S">#REF!</definedName>
    <definedName name="ESP2S" localSheetId="0">#REF!</definedName>
    <definedName name="ESP2S" localSheetId="1">#REF!</definedName>
    <definedName name="ESP2S">#REF!</definedName>
    <definedName name="ESPEJOS_ITEM" localSheetId="0">[26]Presupuesto!#REF!</definedName>
    <definedName name="ESPEJOS_ITEM" localSheetId="3">[26]Presupuesto!#REF!</definedName>
    <definedName name="ESPEJOS_ITEM" localSheetId="1">[26]Presupuesto!#REF!</definedName>
    <definedName name="ESPEJOS_ITEM">[26]Presupuesto!#REF!</definedName>
    <definedName name="ESPESOR">'[14]DAT NUC'!$O$2:$O$218</definedName>
    <definedName name="ESPR" localSheetId="0">#REF!</definedName>
    <definedName name="ESPR" localSheetId="1">#REF!</definedName>
    <definedName name="ESPR">#REF!</definedName>
    <definedName name="Estabilidad">[14]DATOS!$AF$3:$AF$1398</definedName>
    <definedName name="Estabilidad2">[14]DATOS!$AH$3:$AH$1399</definedName>
    <definedName name="Estabilidad3">[14]DATOS!$AJ$3:$AJ$1399</definedName>
    <definedName name="ESTRUCT_ITEM" localSheetId="0">[26]Presupuesto!#REF!</definedName>
    <definedName name="ESTRUCT_ITEM" localSheetId="3">[26]Presupuesto!#REF!</definedName>
    <definedName name="ESTRUCT_ITEM" localSheetId="1">[26]Presupuesto!#REF!</definedName>
    <definedName name="ESTRUCT_ITEM">[26]Presupuesto!#REF!</definedName>
    <definedName name="ESTRUCTURA" localSheetId="0">[26]Presupuesto!#REF!,[26]Presupuesto!#REF!,[26]Presupuesto!#REF!,[26]Presupuesto!#REF!,[26]Presupuesto!#REF!,[26]Presupuesto!#REF!,[26]Presupuesto!#REF!,[26]Presupuesto!#REF!,[26]Presupuesto!#REF!,[26]Presupuesto!#REF!,[26]Presupuesto!#REF!,[26]Presupuesto!#REF!,[26]Presupuesto!#REF!</definedName>
    <definedName name="ESTRUCTURA" localSheetId="3"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0" hidden="1">{#N/A,#N/A,TRUE,"1842CWN0"}</definedName>
    <definedName name="etertt" localSheetId="3" hidden="1">{#N/A,#N/A,TRUE,"1842CWN0"}</definedName>
    <definedName name="etertt" hidden="1">{#N/A,#N/A,TRUE,"1842CWN0"}</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1" hidden="1">#REF!</definedName>
    <definedName name="EX" hidden="1">#REF!</definedName>
    <definedName name="EX_1" localSheetId="0" hidden="1">#REF!</definedName>
    <definedName name="EX_1" localSheetId="1" hidden="1">#REF!</definedName>
    <definedName name="EX_1" hidden="1">#REF!</definedName>
    <definedName name="EXC.POZ" localSheetId="0">#REF!</definedName>
    <definedName name="EXC.POZ" localSheetId="1">#REF!</definedName>
    <definedName name="EXC.POZ">#REF!</definedName>
    <definedName name="EXC.ZAN" localSheetId="0">#REF!</definedName>
    <definedName name="EXC.ZAN" localSheetId="1">#REF!</definedName>
    <definedName name="EXC.ZAN">#REF!</definedName>
    <definedName name="Excel_BuiltIn__FilterDatabase">[53]Presupuesto_Via_distribuidora!$A$9:$H$344</definedName>
    <definedName name="Excel_BuiltIn_Print_Area">[53]Presupuesto_Via_distribuidora!$C$1:$H$344</definedName>
    <definedName name="Excel_BuiltIn_Print_Area_1_1">'[5]ACTA OBRA No 1'!$A$1:$L$46</definedName>
    <definedName name="Excel_BuiltIn_Print_Area_1_1_1">'[6]ACTA OBRA No 1'!$A$1:$L$46</definedName>
    <definedName name="Excel_BuiltIn_Print_Area_1_1_2">'[6]ACTA OBRA No 1'!$A$1:$L$46</definedName>
    <definedName name="Excel_BuiltIn_Print_Area_1_1_3">'[54]ACTA OBRA No 1'!$A$1:$L$48</definedName>
    <definedName name="Excel_BuiltIn_Print_Area_1_1_3_2">'[6]ACTA OBRA No 1'!$A$1:$L$48</definedName>
    <definedName name="Excel_BuiltIn_Print_Area_1_1_3_7">'[6]ACTA OBRA No 1'!$A$1:$L$48</definedName>
    <definedName name="Excel_BuiltIn_Print_Area_1_1_4">'[54]ACTA OBRA No 1'!$A$1:$L$48</definedName>
    <definedName name="Excel_BuiltIn_Print_Area_1_1_7">'[6]ACTA OBRA No 1'!$A$1:$L$46</definedName>
    <definedName name="Excel_BuiltIn_Print_Area_2_1">'[5]ACTA MOD No 1'!$A$1:$O$55</definedName>
    <definedName name="Excel_BuiltIn_Print_Area_2_1_1">'[6]ACTA MOD No 1'!$A$1:$O$55</definedName>
    <definedName name="Excel_BuiltIn_Print_Area_2_1_2">'[6]ACTA MOD No 1'!$A$1:$O$55</definedName>
    <definedName name="Excel_BuiltIn_Print_Area_2_1_3">'[54]ACTA MOD No 1'!$A$1:$O$57</definedName>
    <definedName name="Excel_BuiltIn_Print_Area_2_1_3_2">'[6]ACTA MOD No 1'!$A$1:$O$57</definedName>
    <definedName name="Excel_BuiltIn_Print_Area_2_1_3_7">'[6]ACTA MOD No 1'!$A$1:$O$57</definedName>
    <definedName name="Excel_BuiltIn_Print_Area_2_1_4">'[54]ACTA MOD No 1'!$A$1:$O$57</definedName>
    <definedName name="Excel_BuiltIn_Print_Area_2_1_7">'[6]ACTA MOD No 1'!$A$1:$O$55</definedName>
    <definedName name="Excel_BuiltIn_Print_Area_4" localSheetId="0">#REF!</definedName>
    <definedName name="Excel_BuiltIn_Print_Area_4" localSheetId="1">#REF!</definedName>
    <definedName name="Excel_BuiltIn_Print_Area_4">#REF!</definedName>
    <definedName name="Excel_BuiltIn_Print_Area_4_1" localSheetId="0">#REF!</definedName>
    <definedName name="Excel_BuiltIn_Print_Area_4_1" localSheetId="1">#REF!</definedName>
    <definedName name="Excel_BuiltIn_Print_Area_4_1">#REF!</definedName>
    <definedName name="Excel_BuiltIn_Print_Area_4_1_2" localSheetId="0">#REF!</definedName>
    <definedName name="Excel_BuiltIn_Print_Area_4_1_2" localSheetId="1">#REF!</definedName>
    <definedName name="Excel_BuiltIn_Print_Area_4_1_2">#REF!</definedName>
    <definedName name="Excel_BuiltIn_Print_Area_5" localSheetId="0">#REF!</definedName>
    <definedName name="Excel_BuiltIn_Print_Area_5" localSheetId="1">#REF!</definedName>
    <definedName name="Excel_BuiltIn_Print_Area_5">#REF!</definedName>
    <definedName name="Excel_BuiltIn_Print_Area_5_1">'[5]ACTA MOD No 1'!$A$1:$O$55</definedName>
    <definedName name="Excel_BuiltIn_Print_Area_5_1_2">'[6]ACTA MOD No 1'!$A$1:$O$55</definedName>
    <definedName name="Excel_BuiltIn_Print_Area_5_1_3">'[54]ACTA MOD No 1'!$A$1:$O$57</definedName>
    <definedName name="Excel_BuiltIn_Print_Area_5_1_3_2">'[6]ACTA MOD No 1'!$A$1:$O$57</definedName>
    <definedName name="Excel_BuiltIn_Print_Area_5_1_3_7">'[6]ACTA MOD No 1'!$A$1:$O$57</definedName>
    <definedName name="Excel_BuiltIn_Print_Area_5_1_4">'[54]ACTA MOD No 1'!$A$1:$O$57</definedName>
    <definedName name="Excel_BuiltIn_Print_Area_5_1_7">'[6]ACTA MOD No 1'!$A$1:$O$55</definedName>
    <definedName name="Excel_BuiltIn_Print_Area_5_2" localSheetId="0">#REF!</definedName>
    <definedName name="Excel_BuiltIn_Print_Area_5_2" localSheetId="1">#REF!</definedName>
    <definedName name="Excel_BuiltIn_Print_Area_5_2">#REF!</definedName>
    <definedName name="Excel_BuiltIn_Print_Titles">[53]Presupuesto_Via_distribuidora!$A$2:$IV$8</definedName>
    <definedName name="EXTRA">[14]DATBAND!$D$3:$D$549</definedName>
    <definedName name="FACHADA_ITEM" localSheetId="0">[26]Presupuesto!#REF!</definedName>
    <definedName name="FACHADA_ITEM" localSheetId="3">[26]Presupuesto!#REF!</definedName>
    <definedName name="FACHADA_ITEM" localSheetId="1">[26]Presupuesto!#REF!</definedName>
    <definedName name="FACHADA_ITEM">[26]Presupuesto!#REF!</definedName>
    <definedName name="FACTOR">'[48]PPTO REDUCIDO'!$J$2</definedName>
    <definedName name="FACTOR1">[55]factor!$D$4</definedName>
    <definedName name="FACTOR3" localSheetId="0">[55]factor!$D$6</definedName>
    <definedName name="factor3" localSheetId="3">'[56]F. PRESTACIONAL'!$E$38</definedName>
    <definedName name="factor3">'[57]F. PRESTACIONAL'!$E$38</definedName>
    <definedName name="FACTORE">'[48]PPTO REDUCIDO'!$H$2</definedName>
    <definedName name="FACTORH">'[48]PPTO REDUCIDO'!$G$2</definedName>
    <definedName name="factura">[22]SUAZA2!$A$1:$J$13</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 localSheetId="0">#REF!</definedName>
    <definedName name="FDGASDFASD" localSheetId="1">#REF!</definedName>
    <definedName name="FDGASDFASD">#REF!</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 localSheetId="0">#REF!</definedName>
    <definedName name="fdsafd" localSheetId="1">#REF!</definedName>
    <definedName name="fdsafd">#REF!</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'[14]DAT NUC'!$B$2:$B$472</definedName>
    <definedName name="FECH">[14]DATBAND!$B$3:$B$390</definedName>
    <definedName name="Fecha">[14]DATOS!$B$3:$B$1399</definedName>
    <definedName name="FECHA5">[11]datos!$N$2,[11]datos!$N$2:$N$500</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reteria" localSheetId="0">#REF!</definedName>
    <definedName name="Ferreteria" localSheetId="1">#REF!</definedName>
    <definedName name="Ferreteria">#REF!</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0" hidden="1">{#N/A,#N/A,TRUE,"1842CWN0"}</definedName>
    <definedName name="fhg" localSheetId="3" hidden="1">{#N/A,#N/A,TRUE,"1842CWN0"}</definedName>
    <definedName name="fhg" hidden="1">{#N/A,#N/A,TRUE,"1842CWN0"}</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ll1" localSheetId="0" hidden="1">#REF!</definedName>
    <definedName name="fill1" localSheetId="1" hidden="1">#REF!</definedName>
    <definedName name="fill1" hidden="1">#REF!</definedName>
    <definedName name="FIN_1" localSheetId="0">#REF!</definedName>
    <definedName name="FIN_1" localSheetId="1">#REF!</definedName>
    <definedName name="FIN_1">#REF!</definedName>
    <definedName name="FIN_10" localSheetId="0">#REF!</definedName>
    <definedName name="FIN_10" localSheetId="1">#REF!</definedName>
    <definedName name="FIN_10">#REF!</definedName>
    <definedName name="FIN_11" localSheetId="0">#REF!</definedName>
    <definedName name="FIN_11" localSheetId="1">#REF!</definedName>
    <definedName name="FIN_11">#REF!</definedName>
    <definedName name="FIN_12" localSheetId="0">#REF!</definedName>
    <definedName name="FIN_12" localSheetId="1">#REF!</definedName>
    <definedName name="FIN_12">#REF!</definedName>
    <definedName name="FIN_13" localSheetId="0">#REF!</definedName>
    <definedName name="FIN_13" localSheetId="1">#REF!</definedName>
    <definedName name="FIN_13">#REF!</definedName>
    <definedName name="FIN_14" localSheetId="0">#REF!</definedName>
    <definedName name="FIN_14" localSheetId="1">#REF!</definedName>
    <definedName name="FIN_14">#REF!</definedName>
    <definedName name="FIN_15" localSheetId="0">#REF!</definedName>
    <definedName name="FIN_15" localSheetId="1">#REF!</definedName>
    <definedName name="FIN_15">#REF!</definedName>
    <definedName name="FIN_16" localSheetId="0">#REF!</definedName>
    <definedName name="FIN_16" localSheetId="1">#REF!</definedName>
    <definedName name="FIN_16">#REF!</definedName>
    <definedName name="FIN_17" localSheetId="0">#REF!</definedName>
    <definedName name="FIN_17" localSheetId="1">#REF!</definedName>
    <definedName name="FIN_17">#REF!</definedName>
    <definedName name="FIN_18" localSheetId="0">#REF!</definedName>
    <definedName name="FIN_18" localSheetId="1">#REF!</definedName>
    <definedName name="FIN_18">#REF!</definedName>
    <definedName name="FIN_19" localSheetId="0">#REF!</definedName>
    <definedName name="FIN_19" localSheetId="1">#REF!</definedName>
    <definedName name="FIN_19">#REF!</definedName>
    <definedName name="FIN_2" localSheetId="0">#REF!</definedName>
    <definedName name="FIN_2" localSheetId="1">#REF!</definedName>
    <definedName name="FIN_2">#REF!</definedName>
    <definedName name="FIN_20" localSheetId="0">#REF!</definedName>
    <definedName name="FIN_20" localSheetId="1">#REF!</definedName>
    <definedName name="FIN_20">#REF!</definedName>
    <definedName name="FIN_21" localSheetId="0">#REF!</definedName>
    <definedName name="FIN_21" localSheetId="1">#REF!</definedName>
    <definedName name="FIN_21">#REF!</definedName>
    <definedName name="FIN_22" localSheetId="0">#REF!</definedName>
    <definedName name="FIN_22" localSheetId="1">#REF!</definedName>
    <definedName name="FIN_22">#REF!</definedName>
    <definedName name="FIN_23" localSheetId="0">#REF!</definedName>
    <definedName name="FIN_23" localSheetId="1">#REF!</definedName>
    <definedName name="FIN_23">#REF!</definedName>
    <definedName name="FIN_24" localSheetId="0">#REF!</definedName>
    <definedName name="FIN_24" localSheetId="1">#REF!</definedName>
    <definedName name="FIN_24">#REF!</definedName>
    <definedName name="FIN_3" localSheetId="0">#REF!</definedName>
    <definedName name="FIN_3" localSheetId="1">#REF!</definedName>
    <definedName name="FIN_3">#REF!</definedName>
    <definedName name="FIN_4" localSheetId="0">#REF!</definedName>
    <definedName name="FIN_4" localSheetId="1">#REF!</definedName>
    <definedName name="FIN_4">#REF!</definedName>
    <definedName name="FIN_5" localSheetId="0">#REF!</definedName>
    <definedName name="FIN_5" localSheetId="1">#REF!</definedName>
    <definedName name="FIN_5">#REF!</definedName>
    <definedName name="FIN_6" localSheetId="0">#REF!</definedName>
    <definedName name="FIN_6" localSheetId="1">#REF!</definedName>
    <definedName name="FIN_6">#REF!</definedName>
    <definedName name="FIN_7" localSheetId="0">#REF!</definedName>
    <definedName name="FIN_7" localSheetId="1">#REF!</definedName>
    <definedName name="FIN_7">#REF!</definedName>
    <definedName name="FIN_8" localSheetId="0">#REF!</definedName>
    <definedName name="FIN_8" localSheetId="1">#REF!</definedName>
    <definedName name="FIN_8">#REF!</definedName>
    <definedName name="FIN_9" localSheetId="0">#REF!</definedName>
    <definedName name="FIN_9" localSheetId="1">#REF!</definedName>
    <definedName name="FIN_9">#REF!</definedName>
    <definedName name="final">[14]DATOS!$F$3:$F$900</definedName>
    <definedName name="Flujo">[14]DATOS!$AG$3:$AG$1398</definedName>
    <definedName name="Flujo2">[14]DATOS!$AI$3:$AI$1399</definedName>
    <definedName name="Flujo3">[14]DATOS!$AK$3:$AK$1399</definedName>
    <definedName name="Fondo">[14]DATOS!$U$3:$U$1398</definedName>
    <definedName name="Formaletas" localSheetId="0">#REF!</definedName>
    <definedName name="Formaletas" localSheetId="1">#REF!</definedName>
    <definedName name="Formaletas">#REF!</definedName>
    <definedName name="formularioCantidades" localSheetId="0">#REF!</definedName>
    <definedName name="formularioCantidades" localSheetId="1">#REF!</definedName>
    <definedName name="formularioCantidades">#REF!</definedName>
    <definedName name="FP_1">'[58]F PRESTACIONAL'!$C$77</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e" localSheetId="0">#REF!</definedName>
    <definedName name="fue" localSheetId="1">#REF!</definedName>
    <definedName name="fue">#REF!</definedName>
    <definedName name="Fuente" localSheetId="0">[59]Datos!#REF!</definedName>
    <definedName name="Fuente" localSheetId="3">[59]Datos!#REF!</definedName>
    <definedName name="Fuente" localSheetId="1">[59]Datos!#REF!</definedName>
    <definedName name="Fuente">[59]Datos!#REF!</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0">#REF!</definedName>
    <definedName name="g" localSheetId="1">#REF!</definedName>
    <definedName name="g">#REF!</definedName>
    <definedName name="Gastosbancarios" localSheetId="0">#REF!</definedName>
    <definedName name="Gastosbancarios" localSheetId="1">#REF!</definedName>
    <definedName name="Gastosbancarios">#REF!</definedName>
    <definedName name="Gastoslegales" localSheetId="0">#REF!</definedName>
    <definedName name="Gastoslegales" localSheetId="1">#REF!</definedName>
    <definedName name="Gastoslegales">#REF!</definedName>
    <definedName name="Gastosviaje" localSheetId="0">#REF!</definedName>
    <definedName name="Gastosviaje" localSheetId="1">#REF!</definedName>
    <definedName name="Gastosviaje">#REF!</definedName>
    <definedName name="gba" localSheetId="0"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osinteticos" localSheetId="0">#REF!</definedName>
    <definedName name="Geosinteticos" localSheetId="1">#REF!</definedName>
    <definedName name="Geosinteticos">#REF!</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0" hidden="1">{#N/A,#N/A,TRUE,"1842CWN0"}</definedName>
    <definedName name="ggjgjkg" localSheetId="3" hidden="1">{#N/A,#N/A,TRUE,"1842CWN0"}</definedName>
    <definedName name="ggjgjkg" hidden="1">{#N/A,#N/A,TRUE,"1842CWN0"}</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3" hidden="1">{#N/A,#N/A,TRUE,"1842CWN0"}</definedName>
    <definedName name="ghnbbfr" hidden="1">{#N/A,#N/A,TRUE,"1842CWN0"}</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R_1" localSheetId="0">#REF!</definedName>
    <definedName name="GR_1" localSheetId="1">#REF!</definedName>
    <definedName name="GR_1">#REF!</definedName>
    <definedName name="GR_10" localSheetId="0">#REF!</definedName>
    <definedName name="GR_10" localSheetId="1">#REF!</definedName>
    <definedName name="GR_10">#REF!</definedName>
    <definedName name="GR_11" localSheetId="0">#REF!</definedName>
    <definedName name="GR_11" localSheetId="1">#REF!</definedName>
    <definedName name="GR_11">#REF!</definedName>
    <definedName name="GR_12" localSheetId="0">#REF!</definedName>
    <definedName name="GR_12" localSheetId="1">#REF!</definedName>
    <definedName name="GR_12">#REF!</definedName>
    <definedName name="GR_13" localSheetId="0">#REF!</definedName>
    <definedName name="GR_13" localSheetId="1">#REF!</definedName>
    <definedName name="GR_13">#REF!</definedName>
    <definedName name="GR_14" localSheetId="0">#REF!</definedName>
    <definedName name="GR_14" localSheetId="1">#REF!</definedName>
    <definedName name="GR_14">#REF!</definedName>
    <definedName name="GR_15" localSheetId="0">#REF!</definedName>
    <definedName name="GR_15" localSheetId="1">#REF!</definedName>
    <definedName name="GR_15">#REF!</definedName>
    <definedName name="GR_16" localSheetId="0">#REF!</definedName>
    <definedName name="GR_16" localSheetId="1">#REF!</definedName>
    <definedName name="GR_16">#REF!</definedName>
    <definedName name="GR_17" localSheetId="0">#REF!</definedName>
    <definedName name="GR_17" localSheetId="1">#REF!</definedName>
    <definedName name="GR_17">#REF!</definedName>
    <definedName name="GR_18" localSheetId="0">#REF!</definedName>
    <definedName name="GR_18" localSheetId="1">#REF!</definedName>
    <definedName name="GR_18">#REF!</definedName>
    <definedName name="GR_19" localSheetId="0">#REF!</definedName>
    <definedName name="GR_19" localSheetId="1">#REF!</definedName>
    <definedName name="GR_19">#REF!</definedName>
    <definedName name="GR_2" localSheetId="0">#REF!</definedName>
    <definedName name="GR_2" localSheetId="1">#REF!</definedName>
    <definedName name="GR_2">#REF!</definedName>
    <definedName name="GR_20" localSheetId="0">#REF!</definedName>
    <definedName name="GR_20" localSheetId="1">#REF!</definedName>
    <definedName name="GR_20">#REF!</definedName>
    <definedName name="GR_21" localSheetId="0">#REF!</definedName>
    <definedName name="GR_21" localSheetId="1">#REF!</definedName>
    <definedName name="GR_21">#REF!</definedName>
    <definedName name="GR_22" localSheetId="0">#REF!</definedName>
    <definedName name="GR_22" localSheetId="1">#REF!</definedName>
    <definedName name="GR_22">#REF!</definedName>
    <definedName name="GR_23" localSheetId="0">#REF!</definedName>
    <definedName name="GR_23" localSheetId="1">#REF!</definedName>
    <definedName name="GR_23">#REF!</definedName>
    <definedName name="GR_24" localSheetId="0">#REF!</definedName>
    <definedName name="GR_24" localSheetId="1">#REF!</definedName>
    <definedName name="GR_24">#REF!</definedName>
    <definedName name="GR_3" localSheetId="0">#REF!</definedName>
    <definedName name="GR_3" localSheetId="1">#REF!</definedName>
    <definedName name="GR_3">#REF!</definedName>
    <definedName name="GR_4" localSheetId="0">#REF!</definedName>
    <definedName name="GR_4" localSheetId="1">#REF!</definedName>
    <definedName name="GR_4">#REF!</definedName>
    <definedName name="GR_5" localSheetId="0">#REF!</definedName>
    <definedName name="GR_5" localSheetId="1">#REF!</definedName>
    <definedName name="GR_5">#REF!</definedName>
    <definedName name="GR_6" localSheetId="0">#REF!</definedName>
    <definedName name="GR_6" localSheetId="1">#REF!</definedName>
    <definedName name="GR_6">#REF!</definedName>
    <definedName name="GR_7" localSheetId="0">#REF!</definedName>
    <definedName name="GR_7" localSheetId="1">#REF!</definedName>
    <definedName name="GR_7">#REF!</definedName>
    <definedName name="GR_8" localSheetId="0">#REF!</definedName>
    <definedName name="GR_8" localSheetId="1">#REF!</definedName>
    <definedName name="GR_8">#REF!</definedName>
    <definedName name="GR_9" localSheetId="0">#REF!</definedName>
    <definedName name="GR_9" localSheetId="1">#REF!</definedName>
    <definedName name="GR_9">#REF!</definedName>
    <definedName name="GRAD">'[14]DAT NUC'!$N$2:$N$514</definedName>
    <definedName name="GRADA">[14]Nucleos!$D$14</definedName>
    <definedName name="gradacion">[14]DATOS!$N$3:$AK$1203</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 localSheetId="1">#REF!</definedName>
    <definedName name="GRAF2">#REF!</definedName>
    <definedName name="GRAF3" localSheetId="0">#REF!</definedName>
    <definedName name="GRAF3" localSheetId="1">#REF!</definedName>
    <definedName name="GRAF3">#REF!</definedName>
    <definedName name="graNo">[14]DATOS!$AL$3:$AL$1328</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IFERIAS_ITEM" localSheetId="0">[26]Presupuesto!#REF!</definedName>
    <definedName name="GRIFERIAS_ITEM" localSheetId="1">[26]Presupuesto!#REF!</definedName>
    <definedName name="GRIFERIAS_ITEM">[26]Presupuesto!#REF!</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#N/A</definedName>
    <definedName name="h.EXC" localSheetId="0">#REF!</definedName>
    <definedName name="h.EXC" localSheetId="1">#REF!</definedName>
    <definedName name="h.EXC">#REF!</definedName>
    <definedName name="h.LOM" localSheetId="0">#REF!</definedName>
    <definedName name="h.LOM" localSheetId="1">#REF!</definedName>
    <definedName name="h.LOM">#REF!</definedName>
    <definedName name="H.LOMO">[60]TUBERIA!$S$10:$S$14</definedName>
    <definedName name="h.POZ" localSheetId="0">#REF!</definedName>
    <definedName name="h.POZ" localSheetId="1">#REF!</definedName>
    <definedName name="h.POZ">#REF!</definedName>
    <definedName name="h754f6" localSheetId="0">#REF!</definedName>
    <definedName name="h754f6" localSheetId="1">#REF!</definedName>
    <definedName name="h754f6">#REF!</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CER" localSheetId="0">#REF!</definedName>
    <definedName name="HACER" localSheetId="1">#REF!</definedName>
    <definedName name="HACER">#REF!</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RRADURA" localSheetId="0">#REF!</definedName>
    <definedName name="HERRADURA" localSheetId="1">#REF!</definedName>
    <definedName name="HERRADURA">#REF!</definedName>
    <definedName name="HERRAMIENTA.MENOR" localSheetId="0">[32]LISTAS!$I$3:$I$17</definedName>
    <definedName name="HERRAMIENTA.MENOR" localSheetId="3">[33]LISTAS!$I$3</definedName>
    <definedName name="HERRAMIENTA.MENOR">[34]LISTAS!$I$3</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localSheetId="3" hidden="1">{#N/A,#N/A,TRUE,"1842CWN0"}</definedName>
    <definedName name="hhg" hidden="1">{#N/A,#N/A,TRUE,"1842CWN0"}</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'[16]Interc de Hidr.'!$E$1:$E$65536</definedName>
    <definedName name="HIDROSANITYGAS_ITEM" localSheetId="0">[26]Presupuesto!#REF!</definedName>
    <definedName name="HIDROSANITYGAS_ITEM" localSheetId="3">[26]Presupuesto!#REF!</definedName>
    <definedName name="HIDROSANITYGAS_ITEM" localSheetId="1">[26]Presupuesto!#REF!</definedName>
    <definedName name="HIDROSANITYGAS_ITEM">[26]Presupuesto!#REF!</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#N/A</definedName>
    <definedName name="Honorarios" localSheetId="0">#REF!</definedName>
    <definedName name="Honorarios" localSheetId="1">#REF!</definedName>
    <definedName name="Honorarios">#REF!</definedName>
    <definedName name="HOR">[14]DATBAND!$C$3:$C$410</definedName>
    <definedName name="HORA">[14]DATOS!$C$3:$C$318</definedName>
    <definedName name="HORALL">'[14]DAT NUC'!$E$2:$E$477</definedName>
    <definedName name="HORAS">'[14]DAT NUC'!$D$2:$D$493</definedName>
    <definedName name="HORAS_DIAS" localSheetId="0">#REF!</definedName>
    <definedName name="HORAS_DIAS" localSheetId="1">#REF!</definedName>
    <definedName name="HORAS_DIAS">#REF!</definedName>
    <definedName name="horas_lluvia" localSheetId="0">#REF!</definedName>
    <definedName name="horas_lluvia" localSheetId="1">#REF!</definedName>
    <definedName name="horas_lluvia">#REF!</definedName>
    <definedName name="HORAS_LLUVIAS" localSheetId="0">#REF!</definedName>
    <definedName name="HORAS_LLUVIAS" localSheetId="1">#REF!</definedName>
    <definedName name="HORAS_LLUVIAS">#REF!</definedName>
    <definedName name="HORASLLUVIA" localSheetId="0">#REF!</definedName>
    <definedName name="HORASLLUVIA" localSheetId="1">#REF!</definedName>
    <definedName name="HORASLLUVIA">#REF!</definedName>
    <definedName name="horat" localSheetId="0">'[61]Itemes Renovación'!#REF!</definedName>
    <definedName name="horat" localSheetId="3">'[62]Itemes Renovación'!#REF!</definedName>
    <definedName name="horat" localSheetId="1">'[62]Itemes Renovación'!#REF!</definedName>
    <definedName name="horat">'[62]Itemes Renovación'!#REF!</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#N/A</definedName>
    <definedName name="I57644686" localSheetId="0">#REF!</definedName>
    <definedName name="I57644686" localSheetId="1">#REF!</definedName>
    <definedName name="I57644686">#REF!</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AU" localSheetId="0">[63]INSUMOS!#REF!</definedName>
    <definedName name="IAU" localSheetId="1">[63]INSUMOS!#REF!</definedName>
    <definedName name="IAU">[63]INSUMOS!#REF!</definedName>
    <definedName name="iccp" localSheetId="0">#REF!</definedName>
    <definedName name="iccp" localSheetId="1">#REF!</definedName>
    <definedName name="iccp">#REF!</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ermeabilizantes" localSheetId="0">#REF!</definedName>
    <definedName name="Impermeabilizantes" localSheetId="1">#REF!</definedName>
    <definedName name="Impermeabilizantes">#REF!</definedName>
    <definedName name="imprev" localSheetId="0">#REF!</definedName>
    <definedName name="imprev" localSheetId="1">#REF!</definedName>
    <definedName name="imprev">#REF!</definedName>
    <definedName name="IMPREVISTO">'[24]DATOS GENERALES'!$D$7</definedName>
    <definedName name="imprevistos" localSheetId="0">#REF!</definedName>
    <definedName name="imprevistos" localSheetId="1">#REF!</definedName>
    <definedName name="imprevistos">#REF!</definedName>
    <definedName name="INCRUST" localSheetId="0">[26]Presupuesto!#REF!,[26]Presupuesto!#REF!,[26]Presupuesto!#REF!,[26]Presupuesto!#REF!,[26]Presupuesto!#REF!</definedName>
    <definedName name="INCRUST" localSheetId="3">[26]Presupuesto!#REF!,[26]Presupuesto!#REF!,[26]Presupuesto!#REF!,[26]Presupuesto!#REF!,[26]Presupuesto!#REF!</definedName>
    <definedName name="INCRUST" localSheetId="1">[26]Presupuesto!#REF!,[26]Presupuesto!#REF!,[26]Presupuesto!#REF!,[26]Presupuesto!#REF!,[26]Presupuesto!#REF!</definedName>
    <definedName name="INCRUST">[26]Presupuesto!#REF!,[26]Presupuesto!#REF!,[26]Presupuesto!#REF!,[26]Presupuesto!#REF!,[26]Presupuesto!#REF!</definedName>
    <definedName name="INDI">[64]ICCP!$C$103:$J$104</definedName>
    <definedName name="INDICE" localSheetId="0">#REF!</definedName>
    <definedName name="INDICE" localSheetId="1">#REF!</definedName>
    <definedName name="INDICE">#REF!</definedName>
    <definedName name="INDICES" localSheetId="0">#REF!</definedName>
    <definedName name="INDICES" localSheetId="1">#REF!</definedName>
    <definedName name="INDICES">#REF!</definedName>
    <definedName name="indirectos" localSheetId="0">#REF!</definedName>
    <definedName name="indirectos" localSheetId="1">#REF!</definedName>
    <definedName name="indirectos">#REF!</definedName>
    <definedName name="inf" localSheetId="0">#REF!</definedName>
    <definedName name="inf" localSheetId="1">#REF!</definedName>
    <definedName name="inf">#REF!</definedName>
    <definedName name="INGENIERIA1" localSheetId="0" hidden="1">#REF!</definedName>
    <definedName name="INGENIERIA1" localSheetId="3"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[14]DATOS!$E$3:$E$1655</definedName>
    <definedName name="Inicio">[44]BASES!$E$26</definedName>
    <definedName name="INMEL">[65]ELECTRICO!$A$6:$G$101</definedName>
    <definedName name="Inst.Electricas" localSheetId="0">#REF!</definedName>
    <definedName name="Inst.Electricas" localSheetId="1">#REF!</definedName>
    <definedName name="Inst.Electricas">#REF!</definedName>
    <definedName name="Inst.Hidrosanitarias" localSheetId="0">#REF!</definedName>
    <definedName name="Inst.Hidrosanitarias" localSheetId="1">#REF!</definedName>
    <definedName name="Inst.Hidrosanitarias">#REF!</definedName>
    <definedName name="INSU">[66]INSUMOS!$A$1:$E$65536</definedName>
    <definedName name="INSUMOS" localSheetId="0">[67]MATERIALES!$A$1:$A$1136</definedName>
    <definedName name="INSUMOS">[68]MATERIALES!$A$1:$A$689</definedName>
    <definedName name="InTap">[16]Interc.tapones!$E$1:$E$65536</definedName>
    <definedName name="IntVal">[16]Interc.válv.!$E$1:$E$65536</definedName>
    <definedName name="INV_11">'[69]PR 1'!$A$2:$N$655</definedName>
    <definedName name="irng" localSheetId="0" hidden="1">#REF!</definedName>
    <definedName name="irng" localSheetId="3" hidden="1">#REF!</definedName>
    <definedName name="irng" localSheetId="1" hidden="1">#REF!</definedName>
    <definedName name="irng" hidden="1">#REF!</definedName>
    <definedName name="ITEM">[70]BASE!$C$4:$H$255</definedName>
    <definedName name="ITEM1" localSheetId="0">#REF!</definedName>
    <definedName name="ITEM1" localSheetId="1">#REF!</definedName>
    <definedName name="ITEM1">#REF!</definedName>
    <definedName name="ITEM15">#N/A</definedName>
    <definedName name="item1a" localSheetId="0">#REF!</definedName>
    <definedName name="item1a" localSheetId="1">#REF!</definedName>
    <definedName name="item1a">#REF!</definedName>
    <definedName name="ITEM2" localSheetId="0">#REF!</definedName>
    <definedName name="ITEM2" localSheetId="1">#REF!</definedName>
    <definedName name="ITEM2">#REF!</definedName>
    <definedName name="item2a" localSheetId="0">#REF!</definedName>
    <definedName name="item2a" localSheetId="1">#REF!</definedName>
    <definedName name="item2a">#REF!</definedName>
    <definedName name="ITEM3" localSheetId="0">#REF!</definedName>
    <definedName name="ITEM3" localSheetId="1">#REF!</definedName>
    <definedName name="ITEM3">#REF!</definedName>
    <definedName name="item5" localSheetId="0">#REF!</definedName>
    <definedName name="item5" localSheetId="1">#REF!</definedName>
    <definedName name="item5">#REF!</definedName>
    <definedName name="ItemCodos" localSheetId="0">#REF!</definedName>
    <definedName name="ItemCodos" localSheetId="1">#REF!</definedName>
    <definedName name="ItemCodos">#REF!</definedName>
    <definedName name="ITEMES">[71]todos!$A$7:$D$38</definedName>
    <definedName name="ITEMS" localSheetId="0">#REF!</definedName>
    <definedName name="ITEMS" localSheetId="1">#REF!</definedName>
    <definedName name="ITEMS">#REF!</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UTIL">'[24]DATOS GENERALES'!$D$16</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1" hidden="1">#REF!</definedName>
    <definedName name="jfç" hidden="1">#REF!</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0" hidden="1">{#N/A,#N/A,FALSE,"Hoja1";#N/A,#N/A,FALSE,"Hoja2"}</definedName>
    <definedName name="JJJ" localSheetId="3" hidden="1">{#N/A,#N/A,FALSE,"Hoja1";#N/A,#N/A,FALSE,"Hoja2"}</definedName>
    <definedName name="JJJ" hidden="1">{#N/A,#N/A,FALSE,"Hoja1";#N/A,#N/A,FALSE,"Hoja2"}</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#REF!</definedName>
    <definedName name="K0F2" localSheetId="0">#REF!</definedName>
    <definedName name="K0F2" localSheetId="1">#REF!</definedName>
    <definedName name="K0F2">#REF!</definedName>
    <definedName name="K10ALO" localSheetId="0">#REF!</definedName>
    <definedName name="K10ALO" localSheetId="1">#REF!</definedName>
    <definedName name="K10ALO">#REF!</definedName>
    <definedName name="K11ALO" localSheetId="0">#REF!</definedName>
    <definedName name="K11ALO" localSheetId="1">#REF!</definedName>
    <definedName name="K11ALO">#REF!</definedName>
    <definedName name="K1F1" localSheetId="0">#REF!</definedName>
    <definedName name="K1F1" localSheetId="1">#REF!</definedName>
    <definedName name="K1F1">#REF!</definedName>
    <definedName name="K1F2" localSheetId="0">#REF!</definedName>
    <definedName name="K1F2" localSheetId="1">#REF!</definedName>
    <definedName name="K1F2">#REF!</definedName>
    <definedName name="K2F1" localSheetId="0">#REF!</definedName>
    <definedName name="K2F1" localSheetId="1">#REF!</definedName>
    <definedName name="K2F1">#REF!</definedName>
    <definedName name="K2F2" localSheetId="0">#REF!</definedName>
    <definedName name="K2F2" localSheetId="1">#REF!</definedName>
    <definedName name="K2F2">#REF!</definedName>
    <definedName name="K3F1" localSheetId="0">#REF!</definedName>
    <definedName name="K3F1" localSheetId="1">#REF!</definedName>
    <definedName name="K3F1">#REF!</definedName>
    <definedName name="K3F2" localSheetId="0">#REF!</definedName>
    <definedName name="K3F2" localSheetId="1">#REF!</definedName>
    <definedName name="K3F2">#REF!</definedName>
    <definedName name="K4F1" localSheetId="0">#REF!</definedName>
    <definedName name="K4F1" localSheetId="1">#REF!</definedName>
    <definedName name="K4F1">#REF!</definedName>
    <definedName name="K4F2" localSheetId="0">#REF!</definedName>
    <definedName name="K4F2" localSheetId="1">#REF!</definedName>
    <definedName name="K4F2">#REF!</definedName>
    <definedName name="K5F1" localSheetId="0">#REF!</definedName>
    <definedName name="K5F1" localSheetId="1">#REF!</definedName>
    <definedName name="K5F1">#REF!</definedName>
    <definedName name="K5F2" localSheetId="0">#REF!</definedName>
    <definedName name="K5F2" localSheetId="1">#REF!</definedName>
    <definedName name="K5F2">#REF!</definedName>
    <definedName name="K6F1" localSheetId="0">#REF!</definedName>
    <definedName name="K6F1" localSheetId="1">#REF!</definedName>
    <definedName name="K6F1">#REF!</definedName>
    <definedName name="K6F2" localSheetId="0">#REF!</definedName>
    <definedName name="K6F2" localSheetId="1">#REF!</definedName>
    <definedName name="K6F2">#REF!</definedName>
    <definedName name="K7F1" localSheetId="0">#REF!</definedName>
    <definedName name="K7F1" localSheetId="1">#REF!</definedName>
    <definedName name="K7F1">#REF!</definedName>
    <definedName name="K7F2" localSheetId="0">#REF!</definedName>
    <definedName name="K7F2" localSheetId="1">#REF!</definedName>
    <definedName name="K7F2">#REF!</definedName>
    <definedName name="K8ALO" localSheetId="0">#REF!</definedName>
    <definedName name="K8ALO" localSheetId="1">#REF!</definedName>
    <definedName name="K8ALO">#REF!</definedName>
    <definedName name="K8F1" localSheetId="0">#REF!</definedName>
    <definedName name="K8F1" localSheetId="1">#REF!</definedName>
    <definedName name="K8F1">#REF!</definedName>
    <definedName name="K8F2" localSheetId="0">#REF!</definedName>
    <definedName name="K8F2" localSheetId="1">#REF!</definedName>
    <definedName name="K8F2">#REF!</definedName>
    <definedName name="K9ALO" localSheetId="0">#REF!</definedName>
    <definedName name="K9ALO" localSheetId="1">#REF!</definedName>
    <definedName name="K9ALO">#REF!</definedName>
    <definedName name="kdmfm" localSheetId="0" hidden="1">#REF!</definedName>
    <definedName name="kdmfm" localSheetId="3" hidden="1">#REF!</definedName>
    <definedName name="kdmfm" localSheetId="1" hidden="1">#REF!</definedName>
    <definedName name="kdmfm" hidden="1">#REF!</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CARCAMO" localSheetId="0">#REF!</definedName>
    <definedName name="L.CARCAMO" localSheetId="1">#REF!</definedName>
    <definedName name="L.CARCAMO">#REF!</definedName>
    <definedName name="L.CIL" localSheetId="0">#REF!</definedName>
    <definedName name="L.CIL" localSheetId="1">#REF!</definedName>
    <definedName name="L.CIL">#REF!</definedName>
    <definedName name="L_" localSheetId="0">#REF!</definedName>
    <definedName name="L_" localSheetId="1">#REF!</definedName>
    <definedName name="L_">#REF!</definedName>
    <definedName name="L_TUB" localSheetId="0">#REF!</definedName>
    <definedName name="L_TUB" localSheetId="1">#REF!</definedName>
    <definedName name="L_TUB">#REF!</definedName>
    <definedName name="LAD">[14]DATBAND!$G$3:$G$795</definedName>
    <definedName name="LADO">'[14]DAT NUC'!$L$2:$L$143</definedName>
    <definedName name="Ladrillos" localSheetId="0">#REF!</definedName>
    <definedName name="Ladrillos" localSheetId="1">#REF!</definedName>
    <definedName name="Ladrillos">#REF!</definedName>
    <definedName name="lame" localSheetId="0" hidden="1">#REF!</definedName>
    <definedName name="lame" localSheetId="3" hidden="1">#REF!</definedName>
    <definedName name="lame" localSheetId="1" hidden="1">#REF!</definedName>
    <definedName name="lame" hidden="1">#REF!</definedName>
    <definedName name="LIMPIO" localSheetId="0">#REF!</definedName>
    <definedName name="LIMPIO" localSheetId="1">#REF!</definedName>
    <definedName name="LIMPIO">#REF!</definedName>
    <definedName name="lista" localSheetId="0">#REF!</definedName>
    <definedName name="lista" localSheetId="1">#REF!</definedName>
    <definedName name="lista">#REF!</definedName>
    <definedName name="lista_cualitativa">'[72]Tabla CONPES 3714'!$N$15:$N$18</definedName>
    <definedName name="LISTA_EQ">[73]Equipos!$A$2:$A$73</definedName>
    <definedName name="LISTA_MA">[73]Materiales!$A$2:$A$1270</definedName>
    <definedName name="LISTA_MO">'[74]Mano de Obra'!$A$2:$A$42</definedName>
    <definedName name="listaaguas" localSheetId="0">#REF!</definedName>
    <definedName name="listaaguas" localSheetId="1">#REF!</definedName>
    <definedName name="listaaguas">#REF!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s" localSheetId="0">#REF!</definedName>
    <definedName name="listados" localSheetId="1">#REF!</definedName>
    <definedName name="listados">#REF!</definedName>
    <definedName name="listaelec" localSheetId="0">#REF!</definedName>
    <definedName name="listaelec" localSheetId="1">#REF!</definedName>
    <definedName name="listaelec">#REF!</definedName>
    <definedName name="ListaItem" localSheetId="0">#REF!</definedName>
    <definedName name="ListaItem" localSheetId="1">#REF!</definedName>
    <definedName name="ListaItem">#REF!</definedName>
    <definedName name="ListaUni">[75]TOTALES!$D$7:$D$654</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UVIA" localSheetId="0">#REF!</definedName>
    <definedName name="LLUVIA" localSheetId="1">#REF!</definedName>
    <definedName name="LLUVIA">#REF!</definedName>
    <definedName name="LOCA" localSheetId="0">[20]!absc</definedName>
    <definedName name="LOCA" localSheetId="1">[20]!absc</definedName>
    <definedName name="LOCA">[20]!absc</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Tramo" localSheetId="0">#REF!</definedName>
    <definedName name="LongTramo" localSheetId="1">#REF!</definedName>
    <definedName name="LongTramo">#REF!</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MA" localSheetId="0">#REF!</definedName>
    <definedName name="MA" localSheetId="1">#REF!</definedName>
    <definedName name="MA">#REF!</definedName>
    <definedName name="Maderas" localSheetId="0">#REF!</definedName>
    <definedName name="Maderas" localSheetId="1">#REF!</definedName>
    <definedName name="Maderas">#REF!</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OBRA">[76]ManoObra!$AG$60:$AJ$149</definedName>
    <definedName name="Mantenyreparacion" localSheetId="0">#REF!</definedName>
    <definedName name="Mantenyreparacion" localSheetId="1">#REF!</definedName>
    <definedName name="Mantenyreparacion">#REF!</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IA.EQUIPOS" localSheetId="0">[32]LISTAS!$G$3:$G$20</definedName>
    <definedName name="MAQUINARIA.EQUIPOS" localSheetId="3">[33]LISTAS!$G$3:$G$5</definedName>
    <definedName name="MAQUINARIA.EQUIPOS">[34]LISTAS!$G$3:$G$5</definedName>
    <definedName name="margen">[14]DATOS!$G$3:$G$900</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#N/A</definedName>
    <definedName name="MATERIALES" localSheetId="0">[32]LISTAS!$C$3:$C$111</definedName>
    <definedName name="MATERIALES" localSheetId="3">[33]LISTAS!$C$3:$C$60</definedName>
    <definedName name="MATERIALES">[34]LISTAS!$C$3:$C$60</definedName>
    <definedName name="MaterialTub" localSheetId="0">#REF!</definedName>
    <definedName name="MaterialTub" localSheetId="1">#REF!</definedName>
    <definedName name="MaterialTub">#REF!</definedName>
    <definedName name="matriz" localSheetId="0">#REF!,#REF!</definedName>
    <definedName name="matriz" localSheetId="1">#REF!,#REF!</definedName>
    <definedName name="matriz">#REF!,#REF!</definedName>
    <definedName name="MAVA458" localSheetId="0">'[32]COSTO INSUMOS'!#REF!</definedName>
    <definedName name="MAVA458" localSheetId="3">'[32]COSTO INSUMOS'!#REF!</definedName>
    <definedName name="MAVA458" localSheetId="1">'[32]COSTO INSUMOS'!#REF!</definedName>
    <definedName name="MAVA458">'[32]COSTO INSUMOS'!#REF!</definedName>
    <definedName name="MAVA459" localSheetId="0">'[32]COSTO INSUMOS'!#REF!</definedName>
    <definedName name="MAVA459" localSheetId="1">'[32]COSTO INSUMOS'!#REF!</definedName>
    <definedName name="MAVA459">'[32]COSTO INSUMOS'!#REF!</definedName>
    <definedName name="MAVA460" localSheetId="0">'[32]COSTO INSUMOS'!#REF!</definedName>
    <definedName name="MAVA460" localSheetId="1">'[32]COSTO INSUMOS'!#REF!</definedName>
    <definedName name="MAVA460">'[32]COSTO INSUMOS'!#REF!</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canoaAnserma" localSheetId="0">#REF!</definedName>
    <definedName name="MediacanoaAnserma" localSheetId="1">#REF!</definedName>
    <definedName name="MediacanoaAnserma">#REF!</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In">[4]COSTOS!$C$64</definedName>
    <definedName name="MEZCLA" localSheetId="0">#REF!</definedName>
    <definedName name="MEZCLA" localSheetId="1">#REF!</definedName>
    <definedName name="MEZCLA">#REF!</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nimo">[4]AIU!$C$73</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 localSheetId="0">#REF!</definedName>
    <definedName name="mm" localSheetId="1">#REF!</definedName>
    <definedName name="mm">#REF!</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 localSheetId="0">[32]LISTAS!$E$3:$E$13</definedName>
    <definedName name="MO" localSheetId="3">[33]LISTAS!$E$3:$E$5</definedName>
    <definedName name="MO">[34]LISTAS!$E$3:$E$5</definedName>
    <definedName name="MOA" localSheetId="0" hidden="1">{#N/A,#N/A,FALSE,"Hoja1";#N/A,#N/A,FALSE,"Hoja2"}</definedName>
    <definedName name="MOA" localSheetId="3" hidden="1">{#N/A,#N/A,FALSE,"Hoja1";#N/A,#N/A,FALSE,"Hoja2"}</definedName>
    <definedName name="MOA" hidden="1">{#N/A,#N/A,FALSE,"Hoja1";#N/A,#N/A,FALSE,"Hoja2"}</definedName>
    <definedName name="MOBILIARIO_SEG_ELECTRON_ITEM" localSheetId="0">[26]Presupuesto!#REF!</definedName>
    <definedName name="MOBILIARIO_SEG_ELECTRON_ITEM" localSheetId="1">[26]Presupuesto!#REF!</definedName>
    <definedName name="MOBILIARIO_SEG_ELECTRON_ITEM">[26]Presupuesto!#REF!</definedName>
    <definedName name="MOBILIARIOOFIC_ITEM" localSheetId="0">[26]Presupuesto!#REF!</definedName>
    <definedName name="MOBILIARIOOFIC_ITEM" localSheetId="1">[26]Presupuesto!#REF!</definedName>
    <definedName name="MOBILIARIOOFIC_ITEM">[26]Presupuesto!#REF!</definedName>
    <definedName name="MODIF1">'[54]ACTA MOD No 1'!$A$1:$O$57</definedName>
    <definedName name="MODIF1_2">'[6]ACTA MOD No 1'!$A$1:$O$57</definedName>
    <definedName name="MODIF1_7">'[6]ACTA MOD No 1'!$A$1:$O$57</definedName>
    <definedName name="MODIVejec" localSheetId="0" hidden="1">{#N/A,#N/A,FALSE,"Hoja1";#N/A,#N/A,FALSE,"Hoja2"}</definedName>
    <definedName name="MODIVejec" localSheetId="3" hidden="1">{#N/A,#N/A,FALSE,"Hoja1";#N/A,#N/A,FALSE,"Hoja2"}</definedName>
    <definedName name="MODIVejec" hidden="1">{#N/A,#N/A,FALSE,"Hoja1";#N/A,#N/A,FALSE,"Hoja2"}</definedName>
    <definedName name="MOE" localSheetId="0" hidden="1">{#N/A,#N/A,FALSE,"Hoja1";#N/A,#N/A,FALSE,"Hoja2"}</definedName>
    <definedName name="MOE" localSheetId="3" hidden="1">{#N/A,#N/A,FALSE,"Hoja1";#N/A,#N/A,FALSE,"Hoja2"}</definedName>
    <definedName name="MOE" hidden="1">{#N/A,#N/A,FALSE,"Hoja1";#N/A,#N/A,FALSE,"Hoja2"}</definedName>
    <definedName name="MOV_TIERRA_ITEM" localSheetId="0">[26]Presupuesto!#REF!</definedName>
    <definedName name="MOV_TIERRA_ITEM" localSheetId="1">[26]Presupuesto!#REF!</definedName>
    <definedName name="MOV_TIERRA_ITEM">[26]Presupuesto!#REF!</definedName>
    <definedName name="MUEBLES_BAÑOS_ITEM" localSheetId="0">[26]Presupuesto!#REF!</definedName>
    <definedName name="MUEBLES_BAÑOS_ITEM" localSheetId="1">[26]Presupuesto!#REF!</definedName>
    <definedName name="MUEBLES_BAÑOS_ITEM">[26]Presupuesto!#REF!</definedName>
    <definedName name="MUEBLES_COC_ITEM" localSheetId="0">[26]Presupuesto!#REF!</definedName>
    <definedName name="MUEBLES_COC_ITEM" localSheetId="1">[26]Presupuesto!#REF!</definedName>
    <definedName name="MUEBLES_COC_ITEM">[26]Presupuesto!#REF!</definedName>
    <definedName name="MUEBLES_COC_VALOR" localSheetId="0">[26]Presupuesto!#REF!</definedName>
    <definedName name="MUEBLES_COC_VALOR" localSheetId="1">[26]Presupuesto!#REF!</definedName>
    <definedName name="MUEBLES_COC_VALOR">[26]Presupuesto!#REF!</definedName>
    <definedName name="MUEBLES_MADERA_FIJ_ITEM" localSheetId="0">[26]Presupuesto!#REF!</definedName>
    <definedName name="MUEBLES_MADERA_FIJ_ITEM" localSheetId="1">[26]Presupuesto!#REF!</definedName>
    <definedName name="MUEBLES_MADERA_FIJ_ITEM">[26]Presupuesto!#REF!</definedName>
    <definedName name="MUEST">'[77]Mezclas asfálticas'!$G$6</definedName>
    <definedName name="MuestNo">[78]DATOS!$AI$3:$AI$1127</definedName>
    <definedName name="muestra">[14]Proc0009m!$G$6</definedName>
    <definedName name="MuestraNo">[14]DATOS!$A$3:$A$1398</definedName>
    <definedName name="Muros" localSheetId="0">#REF!</definedName>
    <definedName name="Muros" localSheetId="1">#REF!</definedName>
    <definedName name="Muros">#REF!</definedName>
    <definedName name="MUROS_BLOQ_PLOMO_ITEM" localSheetId="0">[26]Presupuesto!#REF!</definedName>
    <definedName name="MUROS_BLOQ_PLOMO_ITEM" localSheetId="3">[26]Presupuesto!#REF!</definedName>
    <definedName name="MUROS_BLOQ_PLOMO_ITEM" localSheetId="1">[26]Presupuesto!#REF!</definedName>
    <definedName name="MUROS_BLOQ_PLOMO_ITEM">[26]Presupuesto!#REF!</definedName>
    <definedName name="MUROS_BLOQ_PLOMO_VALOR">[26]Presupuesto!$G$62:$G$66</definedName>
    <definedName name="MYC_DRYWALLITEM" localSheetId="0">[26]Presupuesto!#REF!,[26]Presupuesto!#REF!,[26]Presupuesto!#REF!</definedName>
    <definedName name="MYC_DRYWALLITEM" localSheetId="3">[26]Presupuesto!#REF!,[26]Presupuesto!#REF!,[26]Presupuesto!#REF!</definedName>
    <definedName name="MYC_DRYWALLITEM" localSheetId="1">[26]Presupuesto!#REF!,[26]Presupuesto!#REF!,[26]Presupuesto!#REF!</definedName>
    <definedName name="MYC_DRYWALLITEM">[26]Presupuesto!#REF!,[26]Presupuesto!#REF!,[26]Presupuesto!#REF!</definedName>
    <definedName name="MYCIELOS_DRYWALLVALOR" localSheetId="0">[26]Presupuesto!#REF!</definedName>
    <definedName name="MYCIELOS_DRYWALLVALOR" localSheetId="3">[26]Presupuesto!#REF!</definedName>
    <definedName name="MYCIELOS_DRYWALLVALOR" localSheetId="1">[26]Presupuesto!#REF!</definedName>
    <definedName name="MYCIELOS_DRYWALLVALOR">[26]Presupuesto!#REF!</definedName>
    <definedName name="MYPUERTAS_MAD_ITEM" localSheetId="0">[26]Presupuesto!#REF!</definedName>
    <definedName name="MYPUERTAS_MAD_ITEM" localSheetId="1">[26]Presupuesto!#REF!</definedName>
    <definedName name="MYPUERTAS_MAD_ITEM">[26]Presupuesto!#REF!</definedName>
    <definedName name="MYPUERTAS_MET_ITEM" localSheetId="0">[26]Presupuesto!#REF!</definedName>
    <definedName name="MYPUERTAS_MET_ITEM" localSheetId="1">[26]Presupuesto!#REF!</definedName>
    <definedName name="MYPUERTAS_MET_ITEM">[26]Presupuesto!#REF!</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rte" localSheetId="0">#REF!</definedName>
    <definedName name="Norte" localSheetId="1">#REF!</definedName>
    <definedName name="Norte">#REF!</definedName>
    <definedName name="NUCLEO">'[14]DAT NUC'!$A$2:$A$830</definedName>
    <definedName name="NUCNUM">[14]Nucleos!$I$5</definedName>
    <definedName name="NUEVO" localSheetId="0">#REF!</definedName>
    <definedName name="NUEVO" localSheetId="1">#REF!</definedName>
    <definedName name="NUEVO">#REF!</definedName>
    <definedName name="NÚM">'[14]Proc 0009h'!$G$4</definedName>
    <definedName name="NUMERAL" localSheetId="0">#REF!</definedName>
    <definedName name="NUMERAL" localSheetId="1">#REF!</definedName>
    <definedName name="NUMERAL">#REF!</definedName>
    <definedName name="NÚMERO">[14]DATBAND!$A$3:$A$422</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ññ" localSheetId="0">[28]!absc</definedName>
    <definedName name="ñññ" localSheetId="1">[28]!absc</definedName>
    <definedName name="ñññ">[28]!absc</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RA" localSheetId="0">#REF!</definedName>
    <definedName name="OBRA" localSheetId="1">#REF!</definedName>
    <definedName name="OBRA">#REF!</definedName>
    <definedName name="obras" localSheetId="0" hidden="1">#REF!</definedName>
    <definedName name="obras" localSheetId="3" hidden="1">#REF!</definedName>
    <definedName name="obras" localSheetId="1" hidden="1">#REF!</definedName>
    <definedName name="obras" hidden="1">#REF!</definedName>
    <definedName name="obras11" localSheetId="0" hidden="1">#REF!</definedName>
    <definedName name="obras11" localSheetId="1" hidden="1">#REF!</definedName>
    <definedName name="obras11" hidden="1">#REF!</definedName>
    <definedName name="OBSERV" localSheetId="0">#REF!</definedName>
    <definedName name="OBSERV" localSheetId="1">#REF!</definedName>
    <definedName name="OBSERV">#REF!</definedName>
    <definedName name="observaciones">[14]DATOS!$I$3:$I$834</definedName>
    <definedName name="OCTUBRE" localSheetId="0"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hidden="1">#N/A</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R" localSheetId="0">#REF!</definedName>
    <definedName name="OR" localSheetId="1">#REF!</definedName>
    <definedName name="OR">#REF!</definedName>
    <definedName name="ORIGINAL" localSheetId="0"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[1]INST!#REF!</definedName>
    <definedName name="OROZCO" localSheetId="1" hidden="1">[1]INST!#REF!</definedName>
    <definedName name="OROZCO" hidden="1">[1]INST!#REF!</definedName>
    <definedName name="otrocd" localSheetId="0">#REF!</definedName>
    <definedName name="otrocd" localSheetId="1">#REF!</definedName>
    <definedName name="otrocd">#REF!</definedName>
    <definedName name="otroci" localSheetId="0">#REF!</definedName>
    <definedName name="otroci" localSheetId="1">#REF!</definedName>
    <definedName name="otroci">#REF!</definedName>
    <definedName name="otroimprev" localSheetId="0">#REF!</definedName>
    <definedName name="otroimprev" localSheetId="1">#REF!</definedName>
    <definedName name="otroimprev">#REF!</definedName>
    <definedName name="otros">[79]otros!$A$6:$A$1235</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elnque" localSheetId="0">#REF!</definedName>
    <definedName name="paelnque" localSheetId="1">#REF!</definedName>
    <definedName name="paelnque">#REF!</definedName>
    <definedName name="PÁGINA_DOS" localSheetId="0">#REF!</definedName>
    <definedName name="PÁGINA_DOS" localSheetId="1">#REF!</definedName>
    <definedName name="PÁGINA_DOS">#REF!</definedName>
    <definedName name="PÁGINA_UNO" localSheetId="0">#REF!</definedName>
    <definedName name="PÁGINA_UNO" localSheetId="1">#REF!</definedName>
    <definedName name="PÁGINA_UNO">#REF!</definedName>
    <definedName name="palenque" localSheetId="0">#REF!</definedName>
    <definedName name="palenque" localSheetId="1">#REF!</definedName>
    <definedName name="palenque">#REF!</definedName>
    <definedName name="PANEL_SOLARITEM" localSheetId="0">[26]Presupuesto!#REF!</definedName>
    <definedName name="PANEL_SOLARITEM" localSheetId="3">[26]Presupuesto!#REF!</definedName>
    <definedName name="PANEL_SOLARITEM" localSheetId="1">[26]Presupuesto!#REF!</definedName>
    <definedName name="PANEL_SOLARITEM">[26]Presupuesto!#REF!</definedName>
    <definedName name="PARAFINA">'[14]DAT NUC'!$Q$2:$Q$550</definedName>
    <definedName name="pedro" localSheetId="0">#REF!</definedName>
    <definedName name="pedro" localSheetId="1">#REF!</definedName>
    <definedName name="pedro">#REF!</definedName>
    <definedName name="PER_PAV" localSheetId="0">#REF!</definedName>
    <definedName name="PER_PAV" localSheetId="1">#REF!</definedName>
    <definedName name="PER_PAV">#REF!</definedName>
    <definedName name="Personal" localSheetId="0">#REF!</definedName>
    <definedName name="Personal" localSheetId="1">#REF!</definedName>
    <definedName name="Personal">#REF!</definedName>
    <definedName name="Peso1A">[14]DATOS!$J$3:$J$1398</definedName>
    <definedName name="Peso2A">[14]DATOS!$K$3:$K$1398</definedName>
    <definedName name="Pesoagua2">[14]DATOS!$AB$3:$AB$1399</definedName>
    <definedName name="Pesoagua3">[14]DATOS!$AE$3:$AE$1399</definedName>
    <definedName name="PesoAire">[14]DATOS!$W$3:$W$1438</definedName>
    <definedName name="PesoAire2">[14]DATOS!$Z$3:$Z$1399</definedName>
    <definedName name="Pesoaire3">[14]DATOS!$AC$3:$AC$1399</definedName>
    <definedName name="Pesoenagua">[14]DATOS!$Y$3:$Y$1398</definedName>
    <definedName name="Pesoparaf3">[14]DATOS!$AD$3:$AD$1399</definedName>
    <definedName name="Pesoparafinada">[14]DATOS!$X$3:$X$1398</definedName>
    <definedName name="PesoParf2">[14]DATOS!$AA$3:$AA$1399</definedName>
    <definedName name="PINT_EXT_ITEM" localSheetId="0">[26]Presupuesto!#REF!</definedName>
    <definedName name="PINT_EXT_ITEM" localSheetId="3">[26]Presupuesto!#REF!</definedName>
    <definedName name="PINT_EXT_ITEM" localSheetId="1">[26]Presupuesto!#REF!</definedName>
    <definedName name="PINT_EXT_ITEM">[26]Presupuesto!#REF!</definedName>
    <definedName name="Pinturas" localSheetId="0">#REF!</definedName>
    <definedName name="Pinturas" localSheetId="1">#REF!</definedName>
    <definedName name="Pinturas">#REF!</definedName>
    <definedName name="PISOS_CONC_ESP_PUBL_ITEM" localSheetId="0">[26]Presupuesto!#REF!,[26]Presupuesto!#REF!,[26]Presupuesto!#REF!,[26]Presupuesto!#REF!,[26]Presupuesto!#REF!,[26]Presupuesto!#REF!,[26]Presupuesto!#REF!</definedName>
    <definedName name="PISOS_CONC_ESP_PUBL_ITEM" localSheetId="3">[26]Presupuesto!#REF!,[26]Presupuesto!#REF!,[26]Presupuesto!#REF!,[26]Presupuesto!#REF!,[26]Presupuesto!#REF!,[26]Presupuesto!#REF!,[26]Presupuesto!#REF!</definedName>
    <definedName name="PISOS_CONC_ESP_PUBL_ITEM" localSheetId="1">[26]Presupuesto!#REF!,[26]Presupuesto!#REF!,[26]Presupuesto!#REF!,[26]Presupuesto!#REF!,[26]Presupuesto!#REF!,[26]Presupuesto!#REF!,[26]Presupuesto!#REF!</definedName>
    <definedName name="PISOS_CONC_ESP_PUBL_ITEM">[26]Presupuesto!#REF!,[26]Presupuesto!#REF!,[26]Presupuesto!#REF!,[26]Presupuesto!#REF!,[26]Presupuesto!#REF!,[26]Presupuesto!#REF!,[26]Presupuesto!#REF!</definedName>
    <definedName name="PISOS_CONC_ESP_PUBL_VALOR">[26]Presupuesto!$G$131:$G$132,[26]Presupuesto!$G$133:$G$137,[26]Presupuesto!$G$138,[26]Presupuesto!$G$139:$G$140,[26]Presupuesto!$G$141:$G$142</definedName>
    <definedName name="PISOS_CONC_GRAN_ITEM" localSheetId="0">[26]Presupuesto!#REF!,[26]Presupuesto!#REF!,[26]Presupuesto!#REF!</definedName>
    <definedName name="PISOS_CONC_GRAN_ITEM" localSheetId="3">[26]Presupuesto!#REF!,[26]Presupuesto!#REF!,[26]Presupuesto!#REF!</definedName>
    <definedName name="PISOS_CONC_GRAN_ITEM" localSheetId="1">[26]Presupuesto!#REF!,[26]Presupuesto!#REF!,[26]Presupuesto!#REF!</definedName>
    <definedName name="PISOS_CONC_GRAN_ITEM">[26]Presupuesto!#REF!,[26]Presupuesto!#REF!,[26]Presupuesto!#REF!</definedName>
    <definedName name="PISOS_CONC_GRAN_VALOR">[26]Presupuesto!$G$148:$G$168,[26]Presupuesto!$G$143:$G$146</definedName>
    <definedName name="PisosEnchapes" localSheetId="0">#REF!</definedName>
    <definedName name="PisosEnchapes" localSheetId="1">#REF!</definedName>
    <definedName name="PisosEnchapes">#REF!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 localSheetId="0">#REF!</definedName>
    <definedName name="plan" localSheetId="1">#REF!</definedName>
    <definedName name="plan">#REF!</definedName>
    <definedName name="planta">[14]DATOS!$AN$3:$AN$2313</definedName>
    <definedName name="Plaz">[44]BASES!$E$27</definedName>
    <definedName name="PlazAIU">[4]AIU!$D$12</definedName>
    <definedName name="PLAZO">[4]Program!$B$3</definedName>
    <definedName name="PlazoAIU" localSheetId="0">#REF!</definedName>
    <definedName name="PlazoAIU" localSheetId="1">#REF!</definedName>
    <definedName name="PlazoAIU">#REF!</definedName>
    <definedName name="plena" localSheetId="0">#REF!</definedName>
    <definedName name="plena" localSheetId="1">#REF!</definedName>
    <definedName name="plena">#REF!</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S" localSheetId="0">#REF!</definedName>
    <definedName name="PMS" localSheetId="1">#REF!</definedName>
    <definedName name="PMS">#REF!</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ductoPrinco">'[80]SUB APU'!$A$1:$D$65536</definedName>
    <definedName name="POLIZAS" localSheetId="0" hidden="1">{"TAB1",#N/A,TRUE,"GENERAL";"TAB2",#N/A,TRUE,"GENERAL";"TAB3",#N/A,TRUE,"GENERAL";"TAB4",#N/A,TRUE,"GENERAL";"TAB5",#N/A,TRUE,"GENERAL"}</definedName>
    <definedName name="POLIZAS" localSheetId="3" hidden="1">{"TAB1",#N/A,TRUE,"GENERAL";"TAB2",#N/A,TRUE,"GENERAL";"TAB3",#N/A,TRUE,"GENERAL";"TAB4",#N/A,TRUE,"GENERAL";"TAB5",#N/A,TRUE,"GENERAL"}</definedName>
    <definedName name="POLIZAS" hidden="1">{"TAB1",#N/A,TRUE,"GENERAL";"TAB2",#N/A,TRUE,"GENERAL";"TAB3",#N/A,TRUE,"GENERAL";"TAB4",#N/A,TRUE,"GENERAL";"TAB5",#N/A,TRUE,"GENERAL"}</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E">[29]BASES!$E$26</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 localSheetId="0">#REF!</definedName>
    <definedName name="POZ" localSheetId="1">#REF!</definedName>
    <definedName name="POZ">#REF!</definedName>
    <definedName name="POZO" localSheetId="0">#REF!</definedName>
    <definedName name="POZO" localSheetId="1">#REF!</definedName>
    <definedName name="POZO">#REF!</definedName>
    <definedName name="POZO1.2" localSheetId="0">#REF!</definedName>
    <definedName name="POZO1.2" localSheetId="1">#REF!</definedName>
    <definedName name="POZO1.2">#REF!</definedName>
    <definedName name="POZOS" localSheetId="0">#REF!</definedName>
    <definedName name="POZOS" localSheetId="1">#REF!</definedName>
    <definedName name="POZOS">#REF!</definedName>
    <definedName name="POZOS_CAJAS_SUM_ITEM" localSheetId="0">[26]Presupuesto!#REF!</definedName>
    <definedName name="POZOS_CAJAS_SUM_ITEM" localSheetId="3">[26]Presupuesto!#REF!</definedName>
    <definedName name="POZOS_CAJAS_SUM_ITEM" localSheetId="1">[26]Presupuesto!#REF!</definedName>
    <definedName name="POZOS_CAJAS_SUM_ITEM">[26]Presupuesto!#REF!</definedName>
    <definedName name="PPPP" localSheetId="0"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 localSheetId="1">#REF!</definedName>
    <definedName name="Ppto">#REF!</definedName>
    <definedName name="PPtoNorte" localSheetId="0">#REF!</definedName>
    <definedName name="PPtoNorte" localSheetId="1">#REF!</definedName>
    <definedName name="PPtoNorte">#REF!</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E">#N/A</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 localSheetId="0">#REF!</definedName>
    <definedName name="PrecioS" localSheetId="1">#REF!</definedName>
    <definedName name="PrecioS">#REF!</definedName>
    <definedName name="Prefabricados" localSheetId="0">#REF!</definedName>
    <definedName name="Prefabricados" localSheetId="1">#REF!</definedName>
    <definedName name="Prefabricados">#REF!</definedName>
    <definedName name="PRELIM_ITEM" localSheetId="0">[26]Presupuesto!#REF!</definedName>
    <definedName name="PRELIM_ITEM" localSheetId="3">[26]Presupuesto!#REF!</definedName>
    <definedName name="PRELIM_ITEM" localSheetId="1">[26]Presupuesto!#REF!</definedName>
    <definedName name="PRELIM_ITEM">[26]Presupuesto!#REF!</definedName>
    <definedName name="preliminares" localSheetId="0">[26]Presupuesto!#REF!</definedName>
    <definedName name="preliminares" localSheetId="1">[26]Presupuesto!#REF!</definedName>
    <definedName name="preliminares">[26]Presupuesto!#REF!</definedName>
    <definedName name="preliminares1" localSheetId="0">[26]Presupuesto!#REF!</definedName>
    <definedName name="preliminares1" localSheetId="1">[26]Presupuesto!#REF!</definedName>
    <definedName name="preliminares1">[26]Presupuesto!#REF!</definedName>
    <definedName name="PRESTACIONES">[81]Otros!$D$5</definedName>
    <definedName name="PRESUP">'[24]RESUMEN GRAL'!$A$12:$U$999</definedName>
    <definedName name="PRESUPNORTE" localSheetId="0">'[40]CALC PROD MENSUAL'!#REF!</definedName>
    <definedName name="PRESUPNORTE" localSheetId="3">'[40]CALC PROD MENSUAL'!#REF!</definedName>
    <definedName name="PRESUPNORTE" localSheetId="1">'[40]CALC PROD MENSUAL'!#REF!</definedName>
    <definedName name="PRESUPNORTE">'[40]CALC PROD MENSUAL'!#REF!</definedName>
    <definedName name="PRESUPSUR" localSheetId="0">'[40]CALC PROD MENSUAL'!#REF!</definedName>
    <definedName name="PRESUPSUR" localSheetId="1">'[40]CALC PROD MENSUAL'!#REF!</definedName>
    <definedName name="PRESUPSUR">'[40]CALC PROD MENSUAL'!#REF!</definedName>
    <definedName name="PRESUPUESTO" localSheetId="0">'[40]CALC PROD MENSUAL'!#REF!</definedName>
    <definedName name="PRESUPUESTO" localSheetId="1">'[40]CALC PROD MENSUAL'!#REF!</definedName>
    <definedName name="PRESUPUESTO">'[40]CALC PROD MENSUAL'!#REF!</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celec" localSheetId="0">#REF!</definedName>
    <definedName name="procelec" localSheetId="1">#REF!</definedName>
    <definedName name="procelec">#REF!</definedName>
    <definedName name="PRODUCTCARB" localSheetId="0">'[39]CALC PROD MENSUAL'!#REF!</definedName>
    <definedName name="PRODUCTCARB" localSheetId="3">'[39]CALC PROD MENSUAL'!#REF!</definedName>
    <definedName name="PRODUCTCARB" localSheetId="1">'[39]CALC PROD MENSUAL'!#REF!</definedName>
    <definedName name="PRODUCTCARB">'[39]CALC PROD MENSUAL'!#REF!</definedName>
    <definedName name="PRODUCTEST" localSheetId="0">'[39]CALC PROD MENSUAL'!#REF!</definedName>
    <definedName name="PRODUCTEST" localSheetId="1">'[39]CALC PROD MENSUAL'!#REF!</definedName>
    <definedName name="PRODUCTEST">'[39]CALC PROD MENSUAL'!#REF!</definedName>
    <definedName name="PRODUCTOCARBON" localSheetId="0">'[40]CALC PROD MENSUAL'!#REF!</definedName>
    <definedName name="PRODUCTOCARBON" localSheetId="1">'[40]CALC PROD MENSUAL'!#REF!</definedName>
    <definedName name="PRODUCTOCARBON">'[40]CALC PROD MENSUAL'!#REF!</definedName>
    <definedName name="PRODUCTOTEST" localSheetId="0">'[40]CALC PROD MENSUAL'!#REF!</definedName>
    <definedName name="PRODUCTOTEST" localSheetId="1">'[40]CALC PROD MENSUAL'!#REF!</definedName>
    <definedName name="PRODUCTOTEST">'[40]CALC PROD MENSUAL'!#REF!</definedName>
    <definedName name="PrOfic">[44]BASES!$B$31</definedName>
    <definedName name="propiedad" localSheetId="0">#REF!</definedName>
    <definedName name="propiedad" localSheetId="1">#REF!</definedName>
    <definedName name="propiedad">#REF!</definedName>
    <definedName name="propieRep" localSheetId="0">#REF!</definedName>
    <definedName name="propieRep" localSheetId="1">#REF!</definedName>
    <definedName name="propieRep">#REF!</definedName>
    <definedName name="PROPONENTE">'[24]DATOS GENERALES'!$D$5</definedName>
    <definedName name="PRUEBA" localSheetId="0">[82]!absc</definedName>
    <definedName name="PRUEBA" localSheetId="1">[82]!absc</definedName>
    <definedName name="PRUEBA">[82]!absc</definedName>
    <definedName name="prueba1" localSheetId="0">[82]!absc</definedName>
    <definedName name="prueba1" localSheetId="1">[82]!absc</definedName>
    <definedName name="prueba1">[82]!absc</definedName>
    <definedName name="PRUEBA2">#N/A</definedName>
    <definedName name="PRUNIT" localSheetId="0">#REF!</definedName>
    <definedName name="PRUNIT" localSheetId="1">#REF!</definedName>
    <definedName name="PRUNIT">#REF!</definedName>
    <definedName name="PTAR" localSheetId="0"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ERTAS_ESP_ITEM" localSheetId="0">[26]Presupuesto!#REF!</definedName>
    <definedName name="PUERTAS_ESP_ITEM" localSheetId="1">[26]Presupuesto!#REF!</definedName>
    <definedName name="PUERTAS_ESP_ITEM">[26]Presupuesto!#REF!</definedName>
    <definedName name="PUNT1" localSheetId="0">#REF!</definedName>
    <definedName name="PUNT1" localSheetId="1">#REF!</definedName>
    <definedName name="PUNT1">#REF!</definedName>
    <definedName name="PUNT2" localSheetId="0">#REF!</definedName>
    <definedName name="PUNT2" localSheetId="1">#REF!</definedName>
    <definedName name="PUNT2">#REF!</definedName>
    <definedName name="PVIDRIERAS_ITEM" localSheetId="0">[26]Presupuesto!#REF!</definedName>
    <definedName name="PVIDRIERAS_ITEM" localSheetId="3">[26]Presupuesto!#REF!</definedName>
    <definedName name="PVIDRIERAS_ITEM" localSheetId="1">[26]Presupuesto!#REF!</definedName>
    <definedName name="PVIDRIERAS_ITEM">[26]Presupuesto!#REF!</definedName>
    <definedName name="q" localSheetId="0"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weqwe" localSheetId="0">#REF!</definedName>
    <definedName name="qweqweqwe" localSheetId="1">#REF!</definedName>
    <definedName name="qweqweqwe">#REF!</definedName>
    <definedName name="qwewertet" localSheetId="0" hidden="1">{#N/A,#N/A,TRUE,"1842CWN0"}</definedName>
    <definedName name="qwewertet" localSheetId="3" hidden="1">{#N/A,#N/A,TRUE,"1842CWN0"}</definedName>
    <definedName name="qwewertet" hidden="1">{#N/A,#N/A,TRUE,"1842CWN0"}</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1.001" localSheetId="0">#REF!</definedName>
    <definedName name="RA1.001" localSheetId="1">#REF!</definedName>
    <definedName name="RA1.001">#REF!</definedName>
    <definedName name="RA1.002" localSheetId="0">#REF!</definedName>
    <definedName name="RA1.002" localSheetId="1">#REF!</definedName>
    <definedName name="RA1.002">#REF!</definedName>
    <definedName name="RA1.003" localSheetId="0">#REF!</definedName>
    <definedName name="RA1.003" localSheetId="1">#REF!</definedName>
    <definedName name="RA1.003">#REF!</definedName>
    <definedName name="RA1.004" localSheetId="0">#REF!</definedName>
    <definedName name="RA1.004" localSheetId="1">#REF!</definedName>
    <definedName name="RA1.004">#REF!</definedName>
    <definedName name="RA1.006" localSheetId="0">#REF!</definedName>
    <definedName name="RA1.006" localSheetId="1">#REF!</definedName>
    <definedName name="RA1.006">#REF!</definedName>
    <definedName name="RA1.010" localSheetId="0">#REF!</definedName>
    <definedName name="RA1.010" localSheetId="1">#REF!</definedName>
    <definedName name="RA1.010">#REF!</definedName>
    <definedName name="RA1.011" localSheetId="0">#REF!</definedName>
    <definedName name="RA1.011" localSheetId="1">#REF!</definedName>
    <definedName name="RA1.011">#REF!</definedName>
    <definedName name="RA1.011.CABLE" localSheetId="0">#REF!</definedName>
    <definedName name="RA1.011.CABLE" localSheetId="1">#REF!</definedName>
    <definedName name="RA1.011.CABLE">#REF!</definedName>
    <definedName name="RA1.012" localSheetId="0">#REF!</definedName>
    <definedName name="RA1.012" localSheetId="1">#REF!</definedName>
    <definedName name="RA1.012">#REF!</definedName>
    <definedName name="RA1.012.CABLE" localSheetId="0">#REF!</definedName>
    <definedName name="RA1.012.CABLE" localSheetId="1">#REF!</definedName>
    <definedName name="RA1.012.CABLE">#REF!</definedName>
    <definedName name="RA1.013" localSheetId="0">#REF!</definedName>
    <definedName name="RA1.013" localSheetId="1">#REF!</definedName>
    <definedName name="RA1.013">#REF!</definedName>
    <definedName name="RA1.013.CABLE" localSheetId="0">#REF!</definedName>
    <definedName name="RA1.013.CABLE" localSheetId="1">#REF!</definedName>
    <definedName name="RA1.013.CABLE">#REF!</definedName>
    <definedName name="RA1.014" localSheetId="0">#REF!</definedName>
    <definedName name="RA1.014" localSheetId="1">#REF!</definedName>
    <definedName name="RA1.014">#REF!</definedName>
    <definedName name="RA1.014.CABLE" localSheetId="0">#REF!</definedName>
    <definedName name="RA1.014.CABLE" localSheetId="1">#REF!</definedName>
    <definedName name="RA1.014.CABLE">#REF!</definedName>
    <definedName name="RA1.019" localSheetId="0">#REF!</definedName>
    <definedName name="RA1.019" localSheetId="1">#REF!</definedName>
    <definedName name="RA1.019">#REF!</definedName>
    <definedName name="RA1.019.COMPLETA" localSheetId="0">#REF!</definedName>
    <definedName name="RA1.019.COMPLETA" localSheetId="1">#REF!</definedName>
    <definedName name="RA1.019.COMPLETA">#REF!</definedName>
    <definedName name="RA1.021.2400" localSheetId="0">#REF!</definedName>
    <definedName name="RA1.021.2400" localSheetId="1">#REF!</definedName>
    <definedName name="RA1.021.2400">#REF!</definedName>
    <definedName name="RA1.022.2400" localSheetId="0">#REF!</definedName>
    <definedName name="RA1.022.2400" localSheetId="1">#REF!</definedName>
    <definedName name="RA1.022.2400">#REF!</definedName>
    <definedName name="RA1.023.2400" localSheetId="0">#REF!</definedName>
    <definedName name="RA1.023.2400" localSheetId="1">#REF!</definedName>
    <definedName name="RA1.023.2400">#REF!</definedName>
    <definedName name="RA1.024.2400" localSheetId="0">#REF!</definedName>
    <definedName name="RA1.024.2400" localSheetId="1">#REF!</definedName>
    <definedName name="RA1.024.2400">#REF!</definedName>
    <definedName name="RA1.031" localSheetId="0">#REF!</definedName>
    <definedName name="RA1.031" localSheetId="1">#REF!</definedName>
    <definedName name="RA1.031">#REF!</definedName>
    <definedName name="RA1.032" localSheetId="0">#REF!</definedName>
    <definedName name="RA1.032" localSheetId="1">#REF!</definedName>
    <definedName name="RA1.032">#REF!</definedName>
    <definedName name="RA1.033" localSheetId="0">#REF!</definedName>
    <definedName name="RA1.033" localSheetId="1">#REF!</definedName>
    <definedName name="RA1.033">#REF!</definedName>
    <definedName name="RA1.034" localSheetId="0">#REF!</definedName>
    <definedName name="RA1.034" localSheetId="1">#REF!</definedName>
    <definedName name="RA1.034">#REF!</definedName>
    <definedName name="RA1.051" localSheetId="0">#REF!</definedName>
    <definedName name="RA1.051" localSheetId="1">#REF!</definedName>
    <definedName name="RA1.051">#REF!</definedName>
    <definedName name="RA1.052" localSheetId="0">#REF!</definedName>
    <definedName name="RA1.052" localSheetId="1">#REF!</definedName>
    <definedName name="RA1.052">#REF!</definedName>
    <definedName name="RA1.073" localSheetId="0">#REF!</definedName>
    <definedName name="RA1.073" localSheetId="1">#REF!</definedName>
    <definedName name="RA1.073">#REF!</definedName>
    <definedName name="RA1.074" localSheetId="0">#REF!</definedName>
    <definedName name="RA1.074" localSheetId="1">#REF!</definedName>
    <definedName name="RA1.074">#REF!</definedName>
    <definedName name="RANGO1" localSheetId="0">#REF!</definedName>
    <definedName name="RANGO1" localSheetId="1">#REF!</definedName>
    <definedName name="RANGO1">#REF!</definedName>
    <definedName name="rangofin" localSheetId="0">#REF!,#REF!</definedName>
    <definedName name="rangofin" localSheetId="1">#REF!,#REF!</definedName>
    <definedName name="rangofin">#REF!,#REF!</definedName>
    <definedName name="RE4NTA">[36]EQUIPOS!$D$8</definedName>
    <definedName name="RECUBRIM_ESP_ITEM" localSheetId="0">[26]Presupuesto!#REF!</definedName>
    <definedName name="RECUBRIM_ESP_ITEM" localSheetId="3">[26]Presupuesto!#REF!</definedName>
    <definedName name="RECUBRIM_ESP_ITEM" localSheetId="1">[26]Presupuesto!#REF!</definedName>
    <definedName name="RECUBRIM_ESP_ITEM">[26]Presupuesto!#REF!</definedName>
    <definedName name="redes" localSheetId="0">#REF!</definedName>
    <definedName name="redes" localSheetId="1">#REF!</definedName>
    <definedName name="redes">#REF!</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noai">[4]EVA!$D$27</definedName>
    <definedName name="REP.PAV">'[18]factores A.N.'!$F$15:$F$69</definedName>
    <definedName name="reparacion" localSheetId="0">#REF!</definedName>
    <definedName name="reparacion" localSheetId="1">#REF!</definedName>
    <definedName name="reparacion">#REF!</definedName>
    <definedName name="reparaciones" localSheetId="0">#REF!</definedName>
    <definedName name="reparaciones" localSheetId="1">#REF!</definedName>
    <definedName name="reparaciones">#REF!</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U" localSheetId="0">#REF!</definedName>
    <definedName name="RESU" localSheetId="1">#REF!</definedName>
    <definedName name="RESU">#REF!</definedName>
    <definedName name="Retenc">[44]BASES!$E$31</definedName>
    <definedName name="Retenido100">[14]DATOS!$S$3:$S$1398</definedName>
    <definedName name="Retenido200">[14]DATOS!$T$3:$T$1398</definedName>
    <definedName name="Retenido30">[14]DATOS!$Q$3:$Q$1398</definedName>
    <definedName name="Retenido34">[14]DATOS!$M$3:$M$1400</definedName>
    <definedName name="Retenido38">[14]DATOS!$N$3:$N$1398</definedName>
    <definedName name="Retenido4">[14]DATOS!$O$3:$O$1398</definedName>
    <definedName name="Retenido50">[14]DATOS!$R$3:$R$1398</definedName>
    <definedName name="Retenido8">[14]DATOS!$P$3:$P$1398</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VEST_ESP_ITEM" localSheetId="0">[26]Presupuesto!#REF!</definedName>
    <definedName name="REVEST_ESP_ITEM" localSheetId="1">[26]Presupuesto!#REF!</definedName>
    <definedName name="REVEST_ESP_ITEM">[26]Presupuesto!#REF!</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adf" localSheetId="0">#REF!</definedName>
    <definedName name="rsadf" localSheetId="1">#REF!</definedName>
    <definedName name="rsadf">#REF!</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#REF!</definedName>
    <definedName name="S" localSheetId="1">#REF!</definedName>
    <definedName name="S">#REF!</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'[27]SABANETA 3335'!$B$7:$L$475</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Minimo">[44]BASES!$E$41</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HEDULE" localSheetId="0">'[40]CALC PROD MENSUAL'!#REF!</definedName>
    <definedName name="SCHEDULE" localSheetId="1">'[40]CALC PROD MENSUAL'!#REF!</definedName>
    <definedName name="SCHEDULE">'[40]CALC PROD MENSUAL'!#REF!</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3" hidden="1">{#N/A,#N/A,TRUE,"1842CWN0"}</definedName>
    <definedName name="SDDSAFF" hidden="1">{#N/A,#N/A,TRUE,"1842CWN0"}</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0" hidden="1">{#N/A,#N/A,TRUE,"1842CWN0"}</definedName>
    <definedName name="SDFDG" localSheetId="3" hidden="1">{#N/A,#N/A,TRUE,"1842CWN0"}</definedName>
    <definedName name="SDFDG" hidden="1">{#N/A,#N/A,TRUE,"1842CWN0"}</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 localSheetId="0">#REF!</definedName>
    <definedName name="SDS" localSheetId="1">#REF!</definedName>
    <definedName name="SDS">#REF!</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0" hidden="1">{#N/A,#N/A,TRUE,"1842CWN0"}</definedName>
    <definedName name="sdsdfsdff" localSheetId="3" hidden="1">{#N/A,#N/A,TRUE,"1842CWN0"}</definedName>
    <definedName name="sdsdfsdff" hidden="1">{#N/A,#N/A,TRUE,"1842CWN0"}</definedName>
    <definedName name="Segurambiensalud" localSheetId="0">#REF!</definedName>
    <definedName name="Segurambiensalud" localSheetId="1">#REF!</definedName>
    <definedName name="Segurambiensalud">#REF!</definedName>
    <definedName name="SEM_DEL_MES" localSheetId="0">#REF!</definedName>
    <definedName name="SEM_DEL_MES" localSheetId="1">#REF!</definedName>
    <definedName name="SEM_DEL_MES">#REF!</definedName>
    <definedName name="Semanas_mes" localSheetId="0">#REF!</definedName>
    <definedName name="Semanas_mes" localSheetId="1">#REF!</definedName>
    <definedName name="Semanas_mes">#REF!</definedName>
    <definedName name="SEPT_25_09" localSheetId="0">[26]Presupuesto!#REF!</definedName>
    <definedName name="SEPT_25_09" localSheetId="3">[26]Presupuesto!#REF!</definedName>
    <definedName name="SEPT_25_09" localSheetId="1">[26]Presupuesto!#REF!</definedName>
    <definedName name="SEPT_25_09">[26]Presupuesto!#REF!</definedName>
    <definedName name="Servicios" localSheetId="0">#REF!</definedName>
    <definedName name="Servicios" localSheetId="1">#REF!</definedName>
    <definedName name="Servicios">#REF!</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in_nombre_2" localSheetId="0">#REF!</definedName>
    <definedName name="sin_nombre_2" localSheetId="1">#REF!</definedName>
    <definedName name="sin_nombre_2">#REF!</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1">#REF!</definedName>
    <definedName name="ss">#REF!</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A" localSheetId="0">'[83]SUB APU'!$A:$D</definedName>
    <definedName name="SUBA">'[84]SUB APU'!$A$1:$D$65536</definedName>
    <definedName name="SUELDOS">[85]SALARIOS!$A$9:$I$200</definedName>
    <definedName name="SUELLEN" localSheetId="0">#REF!</definedName>
    <definedName name="SUELLEN" localSheetId="1">#REF!</definedName>
    <definedName name="SUELLEN">#REF!</definedName>
    <definedName name="suma">[43]Hoja1!$F$60</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[86]!absc</definedName>
    <definedName name="t" localSheetId="1">[86]!absc</definedName>
    <definedName name="t">[86]!absc</definedName>
    <definedName name="T.1_POZ">[87]TUBERIA!$AB$10:$AB$84</definedName>
    <definedName name="T.3" localSheetId="0">'[51]CANT.5921'!#REF!</definedName>
    <definedName name="T.3" localSheetId="3">'[51]CANT.5921'!#REF!</definedName>
    <definedName name="T.3" localSheetId="1">'[51]CANT.5921'!#REF!</definedName>
    <definedName name="T.3">'[51]CANT.5921'!#REF!</definedName>
    <definedName name="T.VIA">'[18]factores A.N.'!$H$15:$H$306</definedName>
    <definedName name="T___2_.3_FC_2.2" localSheetId="0">#REF!</definedName>
    <definedName name="T___2_.3_FC_2.2" localSheetId="1">#REF!</definedName>
    <definedName name="T___2_.3_FC_2.2">#REF!</definedName>
    <definedName name="T1_" localSheetId="0">#REF!</definedName>
    <definedName name="T1_" localSheetId="1">#REF!</definedName>
    <definedName name="T1_">#REF!</definedName>
    <definedName name="T1__2_FC1_5" localSheetId="0">#REF!</definedName>
    <definedName name="T1__2_FC1_5" localSheetId="1">#REF!</definedName>
    <definedName name="T1__2_FC1_5">#REF!</definedName>
    <definedName name="T1__2_FC1_9" localSheetId="0">#REF!</definedName>
    <definedName name="T1__2_FC1_9" localSheetId="1">#REF!</definedName>
    <definedName name="T1__2_FC1_9">#REF!</definedName>
    <definedName name="T1__3__2_FC1_9" localSheetId="0">#REF!</definedName>
    <definedName name="T1__3__2_FC1_9" localSheetId="1">#REF!</definedName>
    <definedName name="T1__3__2_FC1_9">#REF!</definedName>
    <definedName name="T1_FC_1.5__.2" localSheetId="0">#REF!</definedName>
    <definedName name="T1_FC_1.5__.2" localSheetId="1">#REF!</definedName>
    <definedName name="T1_FC_1.5__.2">#REF!</definedName>
    <definedName name="T1_FC_1.9__.2" localSheetId="0">#REF!</definedName>
    <definedName name="T1_FC_1.9__.2" localSheetId="1">#REF!</definedName>
    <definedName name="T1_FC_1.9__.2">#REF!</definedName>
    <definedName name="T1_FC1_5">'[18]factores A.N.'!$H$8:$H$33</definedName>
    <definedName name="T1_FC1_9">'[18]factores A.N.'!$J$8:$J$33</definedName>
    <definedName name="T1_FC2.2">[88]FACTORES!$M$8:$M$23</definedName>
    <definedName name="T11SF15" localSheetId="0">#REF!</definedName>
    <definedName name="T11SF15" localSheetId="1">#REF!</definedName>
    <definedName name="T11SF15">#REF!</definedName>
    <definedName name="T11SF19" localSheetId="0">#REF!</definedName>
    <definedName name="T11SF19" localSheetId="1">#REF!</definedName>
    <definedName name="T11SF19">#REF!</definedName>
    <definedName name="T12SF15" localSheetId="0">#REF!</definedName>
    <definedName name="T12SF15" localSheetId="1">#REF!</definedName>
    <definedName name="T12SF15">#REF!</definedName>
    <definedName name="T12SF19" localSheetId="0">#REF!</definedName>
    <definedName name="T12SF19" localSheetId="1">#REF!</definedName>
    <definedName name="T12SF19">#REF!</definedName>
    <definedName name="T1RF15" localSheetId="0">#REF!</definedName>
    <definedName name="T1RF15" localSheetId="1">#REF!</definedName>
    <definedName name="T1RF15">#REF!</definedName>
    <definedName name="T1RF19" localSheetId="0">#REF!</definedName>
    <definedName name="T1RF19" localSheetId="1">#REF!</definedName>
    <definedName name="T1RF19">#REF!</definedName>
    <definedName name="T2.PVC">'[18]factores A.N.'!$P$8:$P$19</definedName>
    <definedName name="T2_" localSheetId="0">#REF!</definedName>
    <definedName name="T2_" localSheetId="1">#REF!</definedName>
    <definedName name="T2_">#REF!</definedName>
    <definedName name="T2_.3" localSheetId="0">#REF!</definedName>
    <definedName name="T2_.3" localSheetId="1">#REF!</definedName>
    <definedName name="T2_.3">#REF!</definedName>
    <definedName name="T2__2_FC1_5" localSheetId="0">#REF!</definedName>
    <definedName name="T2__2_FC1_5" localSheetId="1">#REF!</definedName>
    <definedName name="T2__2_FC1_5">#REF!</definedName>
    <definedName name="T2__3_FC1_9" localSheetId="0">#REF!</definedName>
    <definedName name="T2__3_FC1_9" localSheetId="1">#REF!</definedName>
    <definedName name="T2__3_FC1_9">#REF!</definedName>
    <definedName name="T2_FC_1.5__.3" localSheetId="0">#REF!</definedName>
    <definedName name="T2_FC_1.5__.3" localSheetId="1">#REF!</definedName>
    <definedName name="T2_FC_1.5__.3">#REF!</definedName>
    <definedName name="T2_FC_1.5__.3_.2" localSheetId="0">#REF!</definedName>
    <definedName name="T2_FC_1.5__.3_.2" localSheetId="1">#REF!</definedName>
    <definedName name="T2_FC_1.5__.3_.2">#REF!</definedName>
    <definedName name="T2_FC_1.9__.3" localSheetId="0">#REF!</definedName>
    <definedName name="T2_FC_1.9__.3" localSheetId="1">#REF!</definedName>
    <definedName name="T2_FC_1.9__.3">#REF!</definedName>
    <definedName name="T2_FC_1.9__.3_.2" localSheetId="0">#REF!</definedName>
    <definedName name="T2_FC_1.9__.3_.2" localSheetId="1">#REF!</definedName>
    <definedName name="T2_FC_1.9__.3_.2">#REF!</definedName>
    <definedName name="T2_FC1_5">'[18]factores A.N.'!$I$8:$I$33</definedName>
    <definedName name="T2_FC1_9">'[18]factores A.N.'!$K$8:$K$33</definedName>
    <definedName name="T2_POZ" localSheetId="0">#REF!</definedName>
    <definedName name="T2_POZ" localSheetId="1">#REF!</definedName>
    <definedName name="T2_POZ">#REF!</definedName>
    <definedName name="T2_RAS" localSheetId="0">#REF!</definedName>
    <definedName name="T2_RAS" localSheetId="1">#REF!</definedName>
    <definedName name="T2_RAS">#REF!</definedName>
    <definedName name="T21SF15" localSheetId="0">#REF!</definedName>
    <definedName name="T21SF15" localSheetId="1">#REF!</definedName>
    <definedName name="T21SF15">#REF!</definedName>
    <definedName name="T21SF19" localSheetId="0">#REF!</definedName>
    <definedName name="T21SF19" localSheetId="1">#REF!</definedName>
    <definedName name="T21SF19">#REF!</definedName>
    <definedName name="T22SF15" localSheetId="0">#REF!</definedName>
    <definedName name="T22SF15" localSheetId="1">#REF!</definedName>
    <definedName name="T22SF15">#REF!</definedName>
    <definedName name="T22SF19" localSheetId="0">#REF!</definedName>
    <definedName name="T22SF19" localSheetId="1">#REF!</definedName>
    <definedName name="T22SF19">#REF!</definedName>
    <definedName name="T2RF15" localSheetId="0">#REF!</definedName>
    <definedName name="T2RF15" localSheetId="1">#REF!</definedName>
    <definedName name="T2RF15">#REF!</definedName>
    <definedName name="T2RF19" localSheetId="0">#REF!</definedName>
    <definedName name="T2RF19" localSheetId="1">#REF!</definedName>
    <definedName name="T2RF19">#REF!</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#N/A</definedName>
    <definedName name="TablaBello" localSheetId="0">#REF!</definedName>
    <definedName name="TablaBello" localSheetId="1">#REF!</definedName>
    <definedName name="TablaBello">#REF!</definedName>
    <definedName name="TablaElDorado">[22]ELDORADO!$A$2:$H$15</definedName>
    <definedName name="TablaIbague">[22]IBAGUE!$A$2:$G$18</definedName>
    <definedName name="TablaIndicConstPes" localSheetId="0">#REF!</definedName>
    <definedName name="TablaIndicConstPes" localSheetId="1">#REF!</definedName>
    <definedName name="TablaIndicConstPes">#REF!</definedName>
    <definedName name="TablaIndices1" localSheetId="0">#REF!</definedName>
    <definedName name="TablaIndices1" localSheetId="1">#REF!</definedName>
    <definedName name="TablaIndices1">#REF!</definedName>
    <definedName name="TablaIndicesI" localSheetId="0">#REF!</definedName>
    <definedName name="TablaIndicesI" localSheetId="1">#REF!</definedName>
    <definedName name="TablaIndicesI">#REF!</definedName>
    <definedName name="TablaIPC" localSheetId="0">#REF!</definedName>
    <definedName name="TablaIPC" localSheetId="1">#REF!</definedName>
    <definedName name="TablaIPC">#REF!</definedName>
    <definedName name="TablaLaMata" localSheetId="0">#REF!</definedName>
    <definedName name="TablaLaMata" localSheetId="1">#REF!</definedName>
    <definedName name="TablaLaMata">#REF!</definedName>
    <definedName name="TablaStarosa">'[22]STA ROSA'!$A$6:$I$23</definedName>
    <definedName name="TablaSuaza" localSheetId="0">#REF!</definedName>
    <definedName name="TablaSuaza" localSheetId="1">#REF!</definedName>
    <definedName name="TablaSuaza">#REF!</definedName>
    <definedName name="tarifas">[89]Equipo!$A$4:$E$72</definedName>
    <definedName name="tarifas1" localSheetId="0">#REF!</definedName>
    <definedName name="tarifas1" localSheetId="1">#REF!</definedName>
    <definedName name="tarifas1">#REF!</definedName>
    <definedName name="tarifas2" localSheetId="0">#REF!</definedName>
    <definedName name="tarifas2" localSheetId="1">#REF!</definedName>
    <definedName name="tarifas2">#REF!</definedName>
    <definedName name="tarifas3" localSheetId="0">#REF!</definedName>
    <definedName name="tarifas3" localSheetId="1">#REF!</definedName>
    <definedName name="tarifas3">#REF!</definedName>
    <definedName name="tarifas4" localSheetId="0">#REF!</definedName>
    <definedName name="tarifas4" localSheetId="1">#REF!</definedName>
    <definedName name="tarifas4">#REF!</definedName>
    <definedName name="TASA">[4]EVA!$B$99</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MPLL">'[14]DAT NUC'!$G$2:$G$532</definedName>
    <definedName name="TEMPS">'[14]DAT NUC'!$F$2:$F$444</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[29]BASES!$E$27</definedName>
    <definedName name="TIPO" localSheetId="0">#REF!</definedName>
    <definedName name="TIPO" localSheetId="1">#REF!</definedName>
    <definedName name="TIPO">#REF!</definedName>
    <definedName name="tipoint" localSheetId="0">#REF!</definedName>
    <definedName name="tipoint" localSheetId="1">#REF!</definedName>
    <definedName name="tipoint">#REF!</definedName>
    <definedName name="TITULO">#N/A</definedName>
    <definedName name="_xlnm.Print_Titles" localSheetId="1">'PRESUPUESTO CALLE 58 SUR'!$1:$4</definedName>
    <definedName name="_xlnm.Print_Titles">#N/A</definedName>
    <definedName name="Títulos_a_imprimir_IM" localSheetId="0">#REF!</definedName>
    <definedName name="Títulos_a_imprimir_IM" localSheetId="1">#REF!</definedName>
    <definedName name="Títulos_a_imprimir_IM">#REF!</definedName>
    <definedName name="TK_1" localSheetId="0" hidden="1">[15]INST!#REF!</definedName>
    <definedName name="TK_1" localSheetId="3" hidden="1">[15]INST!#REF!</definedName>
    <definedName name="TK_1" localSheetId="1" hidden="1">[15]INST!#REF!</definedName>
    <definedName name="TK_1" hidden="1">[15]INST!#REF!</definedName>
    <definedName name="todo" localSheetId="0">#REF!</definedName>
    <definedName name="todo" localSheetId="1">#REF!</definedName>
    <definedName name="todo">#REF!</definedName>
    <definedName name="TOMADO">'[14]DAT NUC'!$H$2:$H$902</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0">#REF!</definedName>
    <definedName name="total" localSheetId="1">#REF!</definedName>
    <definedName name="total">#REF!</definedName>
    <definedName name="totales" localSheetId="0">#REF!</definedName>
    <definedName name="totales" localSheetId="1">#REF!</definedName>
    <definedName name="totales">#REF!</definedName>
    <definedName name="Totalgastosvarios" localSheetId="0">#REF!</definedName>
    <definedName name="Totalgastosvarios" localSheetId="1">#REF!</definedName>
    <definedName name="Totalgastosvarios">#REF!</definedName>
    <definedName name="TotalOpti" localSheetId="0">#REF!</definedName>
    <definedName name="TotalOpti" localSheetId="1">#REF!</definedName>
    <definedName name="TotalOpti">#REF!</definedName>
    <definedName name="TOTALOPTIM">[90]Hoja2!$E$11:$E$704</definedName>
    <definedName name="TOTALOPTIMIZACION">[90]Hoja2!$E$11:$E$704</definedName>
    <definedName name="TOTALREPOS">[90]Hoja2!$E$11:$E$704</definedName>
    <definedName name="TOTALREPOSICION">[90]Hoja2!$E$11:$E$704</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MO" localSheetId="0">#REF!</definedName>
    <definedName name="TRAMO" localSheetId="1">#REF!</definedName>
    <definedName name="TRAMO">#REF!</definedName>
    <definedName name="tramos" localSheetId="0">#REF!</definedName>
    <definedName name="tramos" localSheetId="1">#REF!</definedName>
    <definedName name="tramos">#REF!</definedName>
    <definedName name="TRAT">[91]desmonte!$E$48</definedName>
    <definedName name="tres" localSheetId="0">#REF!</definedName>
    <definedName name="tres" localSheetId="1">#REF!</definedName>
    <definedName name="tres">#REF!</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ANG" localSheetId="0">#REF!</definedName>
    <definedName name="TRIANG" localSheetId="1">#REF!</definedName>
    <definedName name="TRIANG">#REF!</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0">#REF!</definedName>
    <definedName name="TtCD" localSheetId="1">#REF!</definedName>
    <definedName name="TtCD">#REF!</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localSheetId="0" hidden="1">#REF!</definedName>
    <definedName name="TUBERIA" localSheetId="1" hidden="1">#REF!</definedName>
    <definedName name="TUBERIA" hidden="1">#REF!</definedName>
    <definedName name="TUBERIA1" localSheetId="0" hidden="1">#REF!</definedName>
    <definedName name="TUBERIA1" localSheetId="1" hidden="1">#REF!</definedName>
    <definedName name="TUBERIA1" hidden="1">#REF!</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NOS" localSheetId="0">#REF!</definedName>
    <definedName name="TURNOS" localSheetId="1">#REF!</definedName>
    <definedName name="TURNOS">#REF!</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#N/A</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idades_reales">[92]Instrucciones!$C$10</definedName>
    <definedName name="union" localSheetId="0">#REF!</definedName>
    <definedName name="union" localSheetId="1">#REF!</definedName>
    <definedName name="union">#REF!</definedName>
    <definedName name="unj" localSheetId="0" hidden="1">[7]INST!#REF!</definedName>
    <definedName name="unj" localSheetId="3" hidden="1">[7]INST!#REF!</definedName>
    <definedName name="unj" localSheetId="1" hidden="1">[7]INST!#REF!</definedName>
    <definedName name="unj" hidden="1">[7]INST!#REF!</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il">'[93]Resumen APU'!$E$74</definedName>
    <definedName name="UTILIDAD">'[24]DATOS GENERALES'!$D$8</definedName>
    <definedName name="UTILIDADES" localSheetId="0">#REF!</definedName>
    <definedName name="UTILIDADES" localSheetId="1">#REF!</definedName>
    <definedName name="UTILIDADES">#REF!</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or_total" localSheetId="0">#REF!</definedName>
    <definedName name="valor_total" localSheetId="1">#REF!</definedName>
    <definedName name="valor_total">#REF!</definedName>
    <definedName name="valor1">#N/A</definedName>
    <definedName name="valor2">#N/A</definedName>
    <definedName name="VALOR3">#N/A</definedName>
    <definedName name="Var">[16]Varios.!$E$1:$E$65536</definedName>
    <definedName name="VARIOS" localSheetId="0">'[32]COSTO INSUMOS'!#REF!</definedName>
    <definedName name="VARIOS" localSheetId="3">'[32]COSTO INSUMOS'!#REF!</definedName>
    <definedName name="VARIOS" localSheetId="1">'[32]COSTO INSUMOS'!#REF!</definedName>
    <definedName name="VARIOS">'[32]COSTO INSUMOS'!#REF!</definedName>
    <definedName name="VariosAnalisis" localSheetId="0">#REF!</definedName>
    <definedName name="VariosAnalisis" localSheetId="1">#REF!</definedName>
    <definedName name="VariosAnalisis">#REF!</definedName>
    <definedName name="vas" localSheetId="0">#REF!</definedName>
    <definedName name="vas" localSheetId="1">#REF!</definedName>
    <definedName name="vas">#REF!</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0">#REF!</definedName>
    <definedName name="VentaAiu" localSheetId="1">#REF!</definedName>
    <definedName name="VentaAiu">#REF!</definedName>
    <definedName name="VentaAnsermaCartago" localSheetId="0">#REF!</definedName>
    <definedName name="VentaAnsermaCartago" localSheetId="1">#REF!</definedName>
    <definedName name="VentaAnsermaCartago">#REF!</definedName>
    <definedName name="VentaMediacanoaAnserma" localSheetId="0">#REF!</definedName>
    <definedName name="VentaMediacanoaAnserma" localSheetId="1">#REF!</definedName>
    <definedName name="VentaMediacanoaAnserma">#REF!</definedName>
    <definedName name="VENTANAS_ITEM" localSheetId="0">[26]Presupuesto!#REF!</definedName>
    <definedName name="VENTANAS_ITEM" localSheetId="3">[26]Presupuesto!#REF!</definedName>
    <definedName name="VENTANAS_ITEM" localSheetId="1">[26]Presupuesto!#REF!</definedName>
    <definedName name="VENTANAS_ITEM">[26]Presupuesto!#REF!</definedName>
    <definedName name="VentaVenta" localSheetId="0">#REF!</definedName>
    <definedName name="VentaVenta" localSheetId="1">#REF!</definedName>
    <definedName name="VentaVenta">#REF!</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3" hidden="1">{"via1",#N/A,TRUE,"general";"via2",#N/A,TRUE,"general";"via3",#N/A,TRUE,"general"}</definedName>
    <definedName name="via" hidden="1">{"via1",#N/A,TRUE,"general";"via2",#N/A,TRUE,"general";"via3",#N/A,TRUE,"general"}</definedName>
    <definedName name="VIA_PITAL___LA_PLATA" localSheetId="0">#REF!</definedName>
    <definedName name="VIA_PITAL___LA_PLATA" localSheetId="1">#REF!</definedName>
    <definedName name="VIA_PITAL___LA_PLATA">#REF!</definedName>
    <definedName name="VIAJ">[14]DATOS!$D$3:$D$365</definedName>
    <definedName name="VIAJE">'[14]DAT NUC'!$C$2:$C$361</definedName>
    <definedName name="victor">'[94]ARMENIA-CLUB DE TIRO'!$A$59:$Q$114</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umen">[14]DATOS!$AM$3:$AM$2292</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ELTA">[65]Vuelta!$C$6:$J$500</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0">#REF!</definedName>
    <definedName name="w" localSheetId="1">#REF!</definedName>
    <definedName name="w">#REF!</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 localSheetId="0">#REF!</definedName>
    <definedName name="we" localSheetId="1">#REF!</definedName>
    <definedName name="we">#REF!</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3"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items." localSheetId="0" hidden="1">{#N/A,#N/A,FALSE,"Items"}</definedName>
    <definedName name="wrn.items." localSheetId="3" hidden="1">{#N/A,#N/A,FALSE,"Items"}</definedName>
    <definedName name="wrn.items." hidden="1">{#N/A,#N/A,FALSE,"Items"}</definedName>
    <definedName name="wrn.OPERADORES." localSheetId="0" hidden="1">{#N/A,#N/A,TRUE,"T1"}</definedName>
    <definedName name="wrn.OPERADORES." localSheetId="3" hidden="1">{#N/A,#N/A,TRUE,"T1"}</definedName>
    <definedName name="wrn.OPERADORES." hidden="1">{#N/A,#N/A,TRUE,"T1"}</definedName>
    <definedName name="wrn.res7" localSheetId="0" hidden="1">{#N/A,#N/A,FALSE,"Hoja1";#N/A,#N/A,FALSE,"Hoja2"}</definedName>
    <definedName name="wrn.res7" localSheetId="3" hidden="1">{#N/A,#N/A,FALSE,"Hoja1";#N/A,#N/A,FALSE,"Hoja2"}</definedName>
    <definedName name="wrn.res7" hidden="1">{#N/A,#N/A,FALSE,"Hoja1";#N/A,#N/A,FALSE,"Hoja2"}</definedName>
    <definedName name="wrn.Resumen." localSheetId="0" hidden="1">{#N/A,#N/A,FALSE,"Hoja1";#N/A,#N/A,FALSE,"Hoja2"}</definedName>
    <definedName name="wrn.Resumen." localSheetId="3"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rn1.items" localSheetId="0" hidden="1">{#N/A,#N/A,FALSE,"Items"}</definedName>
    <definedName name="wrn1.items" localSheetId="3" hidden="1">{#N/A,#N/A,FALSE,"Items"}</definedName>
    <definedName name="wrn1.items" hidden="1">{#N/A,#N/A,FALSE,"Items"}</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localSheetId="3" hidden="1">{#N/A,#N/A,TRUE,"1842CWN0"}</definedName>
    <definedName name="XSW" hidden="1">{#N/A,#N/A,TRUE,"1842CWN0"}</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 localSheetId="1">#REF!</definedName>
    <definedName name="xx">#REF!</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localSheetId="0" hidden="1">#REF!</definedName>
    <definedName name="XXXX" localSheetId="1" hidden="1">#REF!</definedName>
    <definedName name="XXXX" hidden="1">#REF!</definedName>
    <definedName name="xxxxx" localSheetId="0">[95]!absc</definedName>
    <definedName name="xxxxx" localSheetId="1">[95]!absc</definedName>
    <definedName name="xxxxx">[95]!absc</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ZS" localSheetId="0" hidden="1">#REF!</definedName>
    <definedName name="XZS" localSheetId="1" hidden="1">#REF!</definedName>
    <definedName name="XZS" hidden="1">#REF!</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lombo">'[96]cant y precios'!$A$11:$J$56</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_026CD6D7_F7CA_4BE8_B625_9A1778CFA739_.wvu.FilterData" localSheetId="0" hidden="1">[12]Presupuesto_Via_distribuidora!$A$9:$H$344</definedName>
    <definedName name="Z_026CD6D7_F7CA_4BE8_B625_9A1778CFA739_.wvu.FilterData" localSheetId="3" hidden="1">[12]Presupuesto_Via_distribuidora!$A$9:$H$344</definedName>
    <definedName name="Z_026CD6D7_F7CA_4BE8_B625_9A1778CFA739_.wvu.FilterData" hidden="1">[13]Presupuesto_Via_distribuidora!$A$9:$H$344</definedName>
    <definedName name="Z_026CD6D7_F7CA_4BE8_B625_9A1778CFA739_.wvu.PrintArea" localSheetId="0" hidden="1">[12]Presupuesto_Via_distribuidora!$A$390:$I$602</definedName>
    <definedName name="Z_026CD6D7_F7CA_4BE8_B625_9A1778CFA739_.wvu.PrintArea" localSheetId="3" hidden="1">[12]Presupuesto_Via_distribuidora!$A$390:$I$602</definedName>
    <definedName name="Z_026CD6D7_F7CA_4BE8_B625_9A1778CFA739_.wvu.PrintArea" hidden="1">[13]Presupuesto_Via_distribuidora!$A$390:$I$602</definedName>
    <definedName name="Z_026CD6D7_F7CA_4BE8_B625_9A1778CFA739_.wvu.PrintTitles" localSheetId="0" hidden="1">[12]Presupuesto_Via_distribuidora!$380:$389</definedName>
    <definedName name="Z_026CD6D7_F7CA_4BE8_B625_9A1778CFA739_.wvu.PrintTitles" localSheetId="3" hidden="1">[12]Presupuesto_Via_distribuidora!$380:$389</definedName>
    <definedName name="Z_026CD6D7_F7CA_4BE8_B625_9A1778CFA739_.wvu.PrintTitles" hidden="1">[13]Presupuesto_Via_distribuidora!$380:$389</definedName>
    <definedName name="Z_05670E35_1347_49D9_AD91_AA9A31A4EF61_.wvu.FilterData" localSheetId="0" hidden="1">[12]Presupuesto_Via_distribuidora!$A$9:$H$344</definedName>
    <definedName name="Z_05670E35_1347_49D9_AD91_AA9A31A4EF61_.wvu.FilterData" localSheetId="3" hidden="1">[12]Presupuesto_Via_distribuidora!$A$9:$H$344</definedName>
    <definedName name="Z_05670E35_1347_49D9_AD91_AA9A31A4EF61_.wvu.FilterData" hidden="1">[13]Presupuesto_Via_distribuidora!$A$9:$H$344</definedName>
    <definedName name="Z_05670E35_1347_49D9_AD91_AA9A31A4EF61_.wvu.PrintArea" localSheetId="0" hidden="1">[12]Presupuesto_Via_distribuidora!$C$1:$H$344</definedName>
    <definedName name="Z_05670E35_1347_49D9_AD91_AA9A31A4EF61_.wvu.PrintArea" localSheetId="3" hidden="1">[12]Presupuesto_Via_distribuidora!$C$1:$H$344</definedName>
    <definedName name="Z_05670E35_1347_49D9_AD91_AA9A31A4EF61_.wvu.PrintArea" hidden="1">[13]Presupuesto_Via_distribuidora!$C$1:$H$344</definedName>
    <definedName name="Z_05670E35_1347_49D9_AD91_AA9A31A4EF61_.wvu.PrintTitles" localSheetId="0" hidden="1">[12]Presupuesto_Via_distribuidora!$2:$8</definedName>
    <definedName name="Z_05670E35_1347_49D9_AD91_AA9A31A4EF61_.wvu.PrintTitles" localSheetId="3" hidden="1">[12]Presupuesto_Via_distribuidora!$2:$8</definedName>
    <definedName name="Z_05670E35_1347_49D9_AD91_AA9A31A4EF61_.wvu.PrintTitles" hidden="1">[13]Presupuesto_Via_distribuidora!$2:$8</definedName>
    <definedName name="Z_0890F28A_A8C8_451C_A3E6_C3AFDD239B64_.wvu.FilterData" localSheetId="0" hidden="1">[12]Presupuesto_Via_distribuidora!$A$9:$H$344</definedName>
    <definedName name="Z_0890F28A_A8C8_451C_A3E6_C3AFDD239B64_.wvu.FilterData" localSheetId="3" hidden="1">[12]Presupuesto_Via_distribuidora!$A$9:$H$344</definedName>
    <definedName name="Z_0890F28A_A8C8_451C_A3E6_C3AFDD239B64_.wvu.FilterData" hidden="1">[13]Presupuesto_Via_distribuidora!$A$9:$H$344</definedName>
    <definedName name="Z_0890F28A_A8C8_451C_A3E6_C3AFDD239B64_.wvu.PrintArea" localSheetId="0" hidden="1">[12]Presupuesto_Via_distribuidora!$A$392:$I$604</definedName>
    <definedName name="Z_0890F28A_A8C8_451C_A3E6_C3AFDD239B64_.wvu.PrintArea" localSheetId="3" hidden="1">[12]Presupuesto_Via_distribuidora!$A$392:$I$604</definedName>
    <definedName name="Z_0890F28A_A8C8_451C_A3E6_C3AFDD239B64_.wvu.PrintArea" hidden="1">[13]Presupuesto_Via_distribuidora!$A$392:$I$604</definedName>
    <definedName name="Z_0890F28A_A8C8_451C_A3E6_C3AFDD239B64_.wvu.PrintTitles" localSheetId="0" hidden="1">[12]Presupuesto_Via_distribuidora!$382:$391</definedName>
    <definedName name="Z_0890F28A_A8C8_451C_A3E6_C3AFDD239B64_.wvu.PrintTitles" localSheetId="3" hidden="1">[12]Presupuesto_Via_distribuidora!$382:$391</definedName>
    <definedName name="Z_0890F28A_A8C8_451C_A3E6_C3AFDD239B64_.wvu.PrintTitles" hidden="1">[13]Presupuesto_Via_distribuidora!$382:$391</definedName>
    <definedName name="Z_0A4C2D72_EA87_11DA_B6F6_00609720E0A1_.wvu.FilterData" localSheetId="0" hidden="1">[12]Presupuesto_Via_distribuidora!$A$9:$H$344</definedName>
    <definedName name="Z_0A4C2D72_EA87_11DA_B6F6_00609720E0A1_.wvu.FilterData" localSheetId="3" hidden="1">[12]Presupuesto_Via_distribuidora!$A$9:$H$344</definedName>
    <definedName name="Z_0A4C2D72_EA87_11DA_B6F6_00609720E0A1_.wvu.FilterData" hidden="1">[13]Presupuesto_Via_distribuidora!$A$9:$H$344</definedName>
    <definedName name="Z_0A4C2D72_EA87_11DA_B6F6_00609720E0A1_.wvu.PrintArea" localSheetId="0" hidden="1">[12]Presupuesto_Via_distribuidora!$A$10:$I$164</definedName>
    <definedName name="Z_0A4C2D72_EA87_11DA_B6F6_00609720E0A1_.wvu.PrintArea" localSheetId="3" hidden="1">[12]Presupuesto_Via_distribuidora!$A$10:$I$164</definedName>
    <definedName name="Z_0A4C2D72_EA87_11DA_B6F6_00609720E0A1_.wvu.PrintArea" hidden="1">[13]Presupuesto_Via_distribuidora!$A$10:$I$164</definedName>
    <definedName name="Z_0A4C2D72_EA87_11DA_B6F6_00609720E0A1_.wvu.PrintTitles" localSheetId="0" hidden="1">[12]Presupuesto_Via_distribuidora!$1:$9</definedName>
    <definedName name="Z_0A4C2D72_EA87_11DA_B6F6_00609720E0A1_.wvu.PrintTitles" localSheetId="3" hidden="1">[12]Presupuesto_Via_distribuidora!$1:$9</definedName>
    <definedName name="Z_0A4C2D72_EA87_11DA_B6F6_00609720E0A1_.wvu.PrintTitles" hidden="1">[13]Presupuesto_Via_distribuidora!$1:$9</definedName>
    <definedName name="Z_0A4C2D73_EA87_11DA_B6F6_00609720E0A1_.wvu.FilterData" localSheetId="0" hidden="1">[12]Presupuesto_Via_distribuidora!$A$9:$H$344</definedName>
    <definedName name="Z_0A4C2D73_EA87_11DA_B6F6_00609720E0A1_.wvu.FilterData" localSheetId="3" hidden="1">[12]Presupuesto_Via_distribuidora!$A$9:$H$344</definedName>
    <definedName name="Z_0A4C2D73_EA87_11DA_B6F6_00609720E0A1_.wvu.FilterData" hidden="1">[13]Presupuesto_Via_distribuidora!$A$9:$H$344</definedName>
    <definedName name="Z_0A4C2D73_EA87_11DA_B6F6_00609720E0A1_.wvu.PrintArea" localSheetId="0" hidden="1">[12]Presupuesto_Via_distribuidora!$A$176:$I$193</definedName>
    <definedName name="Z_0A4C2D73_EA87_11DA_B6F6_00609720E0A1_.wvu.PrintArea" localSheetId="3" hidden="1">[12]Presupuesto_Via_distribuidora!$A$176:$I$193</definedName>
    <definedName name="Z_0A4C2D73_EA87_11DA_B6F6_00609720E0A1_.wvu.PrintArea" hidden="1">[13]Presupuesto_Via_distribuidora!$A$176:$I$193</definedName>
    <definedName name="Z_0A4C2D74_EA87_11DA_B6F6_00609720E0A1_.wvu.FilterData" localSheetId="0" hidden="1">[12]Presupuesto_Via_distribuidora!$A$9:$H$344</definedName>
    <definedName name="Z_0A4C2D74_EA87_11DA_B6F6_00609720E0A1_.wvu.FilterData" localSheetId="3" hidden="1">[12]Presupuesto_Via_distribuidora!$A$9:$H$344</definedName>
    <definedName name="Z_0A4C2D74_EA87_11DA_B6F6_00609720E0A1_.wvu.FilterData" hidden="1">[13]Presupuesto_Via_distribuidora!$A$9:$H$344</definedName>
    <definedName name="Z_0A4C2D74_EA87_11DA_B6F6_00609720E0A1_.wvu.PrintArea" localSheetId="0" hidden="1">[12]Presupuesto_Via_distribuidora!$A$342:$I$541</definedName>
    <definedName name="Z_0A4C2D74_EA87_11DA_B6F6_00609720E0A1_.wvu.PrintArea" localSheetId="3" hidden="1">[12]Presupuesto_Via_distribuidora!$A$342:$I$541</definedName>
    <definedName name="Z_0A4C2D74_EA87_11DA_B6F6_00609720E0A1_.wvu.PrintArea" hidden="1">[13]Presupuesto_Via_distribuidora!$A$342:$I$541</definedName>
    <definedName name="Z_0A4C2D75_EA87_11DA_B6F6_00609720E0A1_.wvu.FilterData" localSheetId="0" hidden="1">[12]Presupuesto_Via_distribuidora!$A$9:$H$344</definedName>
    <definedName name="Z_0A4C2D75_EA87_11DA_B6F6_00609720E0A1_.wvu.FilterData" localSheetId="3" hidden="1">[12]Presupuesto_Via_distribuidora!$A$9:$H$344</definedName>
    <definedName name="Z_0A4C2D75_EA87_11DA_B6F6_00609720E0A1_.wvu.FilterData" hidden="1">[13]Presupuesto_Via_distribuidora!$A$9:$H$344</definedName>
    <definedName name="Z_0A4C2D75_EA87_11DA_B6F6_00609720E0A1_.wvu.PrintArea" localSheetId="0" hidden="1">[12]Presupuesto_Via_distribuidora!$A$557:$I$825</definedName>
    <definedName name="Z_0A4C2D75_EA87_11DA_B6F6_00609720E0A1_.wvu.PrintArea" localSheetId="3" hidden="1">[12]Presupuesto_Via_distribuidora!$A$557:$I$825</definedName>
    <definedName name="Z_0A4C2D75_EA87_11DA_B6F6_00609720E0A1_.wvu.PrintArea" hidden="1">[13]Presupuesto_Via_distribuidora!$A$557:$I$825</definedName>
    <definedName name="Z_0A4C2D75_EA87_11DA_B6F6_00609720E0A1_.wvu.PrintTitles" localSheetId="0" hidden="1">[12]Presupuesto_Via_distribuidora!$547:$556</definedName>
    <definedName name="Z_0A4C2D75_EA87_11DA_B6F6_00609720E0A1_.wvu.PrintTitles" localSheetId="3" hidden="1">[12]Presupuesto_Via_distribuidora!$547:$556</definedName>
    <definedName name="Z_0A4C2D75_EA87_11DA_B6F6_00609720E0A1_.wvu.PrintTitles" hidden="1">[13]Presupuesto_Via_distribuidora!$547:$556</definedName>
    <definedName name="Z_0A4C2D76_EA87_11DA_B6F6_00609720E0A1_.wvu.FilterData" localSheetId="0" hidden="1">[12]Presupuesto_Via_distribuidora!$A$9:$H$344</definedName>
    <definedName name="Z_0A4C2D76_EA87_11DA_B6F6_00609720E0A1_.wvu.FilterData" localSheetId="3" hidden="1">[12]Presupuesto_Via_distribuidora!$A$9:$H$344</definedName>
    <definedName name="Z_0A4C2D76_EA87_11DA_B6F6_00609720E0A1_.wvu.FilterData" hidden="1">[13]Presupuesto_Via_distribuidora!$A$9:$H$344</definedName>
    <definedName name="Z_0A4C2D76_EA87_11DA_B6F6_00609720E0A1_.wvu.PrintArea" localSheetId="0" hidden="1">[12]Presupuesto_Via_distribuidora!$A$839:$I$1037</definedName>
    <definedName name="Z_0A4C2D76_EA87_11DA_B6F6_00609720E0A1_.wvu.PrintArea" localSheetId="3" hidden="1">[12]Presupuesto_Via_distribuidora!$A$839:$I$1037</definedName>
    <definedName name="Z_0A4C2D76_EA87_11DA_B6F6_00609720E0A1_.wvu.PrintArea" hidden="1">[13]Presupuesto_Via_distribuidora!$A$839:$I$1037</definedName>
    <definedName name="Z_0A4C2D76_EA87_11DA_B6F6_00609720E0A1_.wvu.PrintTitles" localSheetId="0" hidden="1">[12]Presupuesto_Via_distribuidora!$829:$838</definedName>
    <definedName name="Z_0A4C2D76_EA87_11DA_B6F6_00609720E0A1_.wvu.PrintTitles" localSheetId="3" hidden="1">[12]Presupuesto_Via_distribuidora!$829:$838</definedName>
    <definedName name="Z_0A4C2D76_EA87_11DA_B6F6_00609720E0A1_.wvu.PrintTitles" hidden="1">[13]Presupuesto_Via_distribuidora!$829:$838</definedName>
    <definedName name="Z_0E0DE1F8_394A_4093_8E74_B2A631A3A88C_.wvu.FilterData" localSheetId="0" hidden="1">[12]Presupuesto_Via_distribuidora!$A$9:$H$344</definedName>
    <definedName name="Z_0E0DE1F8_394A_4093_8E74_B2A631A3A88C_.wvu.FilterData" localSheetId="3" hidden="1">[12]Presupuesto_Via_distribuidora!$A$9:$H$344</definedName>
    <definedName name="Z_0E0DE1F8_394A_4093_8E74_B2A631A3A88C_.wvu.FilterData" hidden="1">[13]Presupuesto_Via_distribuidora!$A$9:$H$344</definedName>
    <definedName name="Z_0E0DE1F8_394A_4093_8E74_B2A631A3A88C_.wvu.PrintArea" localSheetId="0" hidden="1">[12]Presupuesto_Via_distribuidora!$A$620:$I$888</definedName>
    <definedName name="Z_0E0DE1F8_394A_4093_8E74_B2A631A3A88C_.wvu.PrintArea" localSheetId="3" hidden="1">[12]Presupuesto_Via_distribuidora!$A$620:$I$888</definedName>
    <definedName name="Z_0E0DE1F8_394A_4093_8E74_B2A631A3A88C_.wvu.PrintArea" hidden="1">[13]Presupuesto_Via_distribuidora!$A$620:$I$888</definedName>
    <definedName name="Z_0E0DE1F8_394A_4093_8E74_B2A631A3A88C_.wvu.PrintTitles" localSheetId="0" hidden="1">[12]Presupuesto_Via_distribuidora!$610:$619</definedName>
    <definedName name="Z_0E0DE1F8_394A_4093_8E74_B2A631A3A88C_.wvu.PrintTitles" localSheetId="3" hidden="1">[12]Presupuesto_Via_distribuidora!$610:$619</definedName>
    <definedName name="Z_0E0DE1F8_394A_4093_8E74_B2A631A3A88C_.wvu.PrintTitles" hidden="1">[13]Presupuesto_Via_distribuidora!$610:$619</definedName>
    <definedName name="Z_18C710ED_70CF_48D0_92F5_038A88335068_.wvu.FilterData" localSheetId="0" hidden="1">[12]Presupuesto_Via_distribuidora!$A$9:$H$344</definedName>
    <definedName name="Z_18C710ED_70CF_48D0_92F5_038A88335068_.wvu.FilterData" localSheetId="3" hidden="1">[12]Presupuesto_Via_distribuidora!$A$9:$H$344</definedName>
    <definedName name="Z_18C710ED_70CF_48D0_92F5_038A88335068_.wvu.FilterData" hidden="1">[13]Presupuesto_Via_distribuidora!$A$9:$H$344</definedName>
    <definedName name="Z_18C710ED_70CF_48D0_92F5_038A88335068_.wvu.PrintArea" localSheetId="0" hidden="1">[12]Presupuesto_Via_distribuidora!$C$1:$H$344</definedName>
    <definedName name="Z_18C710ED_70CF_48D0_92F5_038A88335068_.wvu.PrintArea" localSheetId="3" hidden="1">[12]Presupuesto_Via_distribuidora!$C$1:$H$344</definedName>
    <definedName name="Z_18C710ED_70CF_48D0_92F5_038A88335068_.wvu.PrintArea" hidden="1">[13]Presupuesto_Via_distribuidora!$C$1:$H$344</definedName>
    <definedName name="Z_18C710ED_70CF_48D0_92F5_038A88335068_.wvu.PrintTitles" localSheetId="0" hidden="1">[12]Presupuesto_Via_distribuidora!$2:$8</definedName>
    <definedName name="Z_18C710ED_70CF_48D0_92F5_038A88335068_.wvu.PrintTitles" localSheetId="3" hidden="1">[12]Presupuesto_Via_distribuidora!$2:$8</definedName>
    <definedName name="Z_18C710ED_70CF_48D0_92F5_038A88335068_.wvu.PrintTitles" hidden="1">[13]Presupuesto_Via_distribuidora!$2:$8</definedName>
    <definedName name="Z_378D82E8_FE69_4712_AE73_9D578C4190DE_.wvu.FilterData" localSheetId="0" hidden="1">[12]Presupuesto_Via_distribuidora!$A$9:$H$344</definedName>
    <definedName name="Z_378D82E8_FE69_4712_AE73_9D578C4190DE_.wvu.FilterData" localSheetId="3" hidden="1">[12]Presupuesto_Via_distribuidora!$A$9:$H$344</definedName>
    <definedName name="Z_378D82E8_FE69_4712_AE73_9D578C4190DE_.wvu.FilterData" hidden="1">[13]Presupuesto_Via_distribuidora!$A$9:$H$344</definedName>
    <definedName name="Z_378D82E8_FE69_4712_AE73_9D578C4190DE_.wvu.PrintArea" localSheetId="0" hidden="1">[12]Presupuesto_Via_distribuidora!$C$1:$H$344</definedName>
    <definedName name="Z_378D82E8_FE69_4712_AE73_9D578C4190DE_.wvu.PrintArea" localSheetId="3" hidden="1">[12]Presupuesto_Via_distribuidora!$C$1:$H$344</definedName>
    <definedName name="Z_378D82E8_FE69_4712_AE73_9D578C4190DE_.wvu.PrintArea" hidden="1">[13]Presupuesto_Via_distribuidora!$C$1:$H$344</definedName>
    <definedName name="Z_378D82E8_FE69_4712_AE73_9D578C4190DE_.wvu.PrintTitles" localSheetId="0" hidden="1">[12]Presupuesto_Via_distribuidora!$2:$8</definedName>
    <definedName name="Z_378D82E8_FE69_4712_AE73_9D578C4190DE_.wvu.PrintTitles" localSheetId="3" hidden="1">[12]Presupuesto_Via_distribuidora!$2:$8</definedName>
    <definedName name="Z_378D82E8_FE69_4712_AE73_9D578C4190DE_.wvu.PrintTitles" hidden="1">[13]Presupuesto_Via_distribuidora!$2:$8</definedName>
    <definedName name="Z_381FCF61_DF95_4756_B103_A1118DFFDE02_.wvu.FilterData" localSheetId="0" hidden="1">[12]Presupuesto_Via_distribuidora!$A$9:$H$344</definedName>
    <definedName name="Z_381FCF61_DF95_4756_B103_A1118DFFDE02_.wvu.FilterData" localSheetId="3" hidden="1">[12]Presupuesto_Via_distribuidora!$A$9:$H$344</definedName>
    <definedName name="Z_381FCF61_DF95_4756_B103_A1118DFFDE02_.wvu.FilterData" hidden="1">[13]Presupuesto_Via_distribuidora!$A$9:$H$344</definedName>
    <definedName name="Z_381FCF61_DF95_4756_B103_A1118DFFDE02_.wvu.PrintArea" localSheetId="0" hidden="1">[12]Presupuesto_Via_distribuidora!$C$1:$H$344</definedName>
    <definedName name="Z_381FCF61_DF95_4756_B103_A1118DFFDE02_.wvu.PrintArea" localSheetId="3" hidden="1">[12]Presupuesto_Via_distribuidora!$C$1:$H$344</definedName>
    <definedName name="Z_381FCF61_DF95_4756_B103_A1118DFFDE02_.wvu.PrintArea" hidden="1">[13]Presupuesto_Via_distribuidora!$C$1:$H$344</definedName>
    <definedName name="Z_381FCF61_DF95_4756_B103_A1118DFFDE02_.wvu.PrintTitles" localSheetId="0" hidden="1">[12]Presupuesto_Via_distribuidora!$2:$8</definedName>
    <definedName name="Z_381FCF61_DF95_4756_B103_A1118DFFDE02_.wvu.PrintTitles" localSheetId="3" hidden="1">[12]Presupuesto_Via_distribuidora!$2:$8</definedName>
    <definedName name="Z_381FCF61_DF95_4756_B103_A1118DFFDE02_.wvu.PrintTitles" hidden="1">[13]Presupuesto_Via_distribuidora!$2:$8</definedName>
    <definedName name="Z_3B3C0CA1_2A9C_45FD_9823_50B200F6C0D1_.wvu.FilterData" localSheetId="0" hidden="1">[12]Presupuesto_Via_distribuidora!$A$9:$H$344</definedName>
    <definedName name="Z_3B3C0CA1_2A9C_45FD_9823_50B200F6C0D1_.wvu.FilterData" localSheetId="3" hidden="1">[12]Presupuesto_Via_distribuidora!$A$9:$H$344</definedName>
    <definedName name="Z_3B3C0CA1_2A9C_45FD_9823_50B200F6C0D1_.wvu.FilterData" hidden="1">[13]Presupuesto_Via_distribuidora!$A$9:$H$344</definedName>
    <definedName name="Z_3B3C0CA1_2A9C_45FD_9823_50B200F6C0D1_.wvu.PrintArea" localSheetId="0" hidden="1">[12]Presupuesto_Via_distribuidora!$C$1:$H$344</definedName>
    <definedName name="Z_3B3C0CA1_2A9C_45FD_9823_50B200F6C0D1_.wvu.PrintArea" localSheetId="3" hidden="1">[12]Presupuesto_Via_distribuidora!$C$1:$H$344</definedName>
    <definedName name="Z_3B3C0CA1_2A9C_45FD_9823_50B200F6C0D1_.wvu.PrintArea" hidden="1">[13]Presupuesto_Via_distribuidora!$C$1:$H$344</definedName>
    <definedName name="Z_3B3C0CA1_2A9C_45FD_9823_50B200F6C0D1_.wvu.PrintTitles" localSheetId="0" hidden="1">[12]Presupuesto_Via_distribuidora!$2:$8</definedName>
    <definedName name="Z_3B3C0CA1_2A9C_45FD_9823_50B200F6C0D1_.wvu.PrintTitles" localSheetId="3" hidden="1">[12]Presupuesto_Via_distribuidora!$2:$8</definedName>
    <definedName name="Z_3B3C0CA1_2A9C_45FD_9823_50B200F6C0D1_.wvu.PrintTitles" hidden="1">[13]Presupuesto_Via_distribuidora!$2:$8</definedName>
    <definedName name="Z_3E9430E5_6A83_435B_9E47_1B8F7E18D67C_.wvu.FilterData" localSheetId="0" hidden="1">[12]Presupuesto_Via_distribuidora!$A$9:$H$344</definedName>
    <definedName name="Z_3E9430E5_6A83_435B_9E47_1B8F7E18D67C_.wvu.FilterData" localSheetId="3" hidden="1">[12]Presupuesto_Via_distribuidora!$A$9:$H$344</definedName>
    <definedName name="Z_3E9430E5_6A83_435B_9E47_1B8F7E18D67C_.wvu.FilterData" hidden="1">[13]Presupuesto_Via_distribuidora!$A$9:$H$344</definedName>
    <definedName name="Z_3E9430E5_6A83_435B_9E47_1B8F7E18D67C_.wvu.PrintArea" localSheetId="0" hidden="1">[12]Presupuesto_Via_distribuidora!$C$1:$H$344</definedName>
    <definedName name="Z_3E9430E5_6A83_435B_9E47_1B8F7E18D67C_.wvu.PrintArea" localSheetId="3" hidden="1">[12]Presupuesto_Via_distribuidora!$C$1:$H$344</definedName>
    <definedName name="Z_3E9430E5_6A83_435B_9E47_1B8F7E18D67C_.wvu.PrintArea" hidden="1">[13]Presupuesto_Via_distribuidora!$C$1:$H$344</definedName>
    <definedName name="Z_3E9430E5_6A83_435B_9E47_1B8F7E18D67C_.wvu.PrintTitles" localSheetId="0" hidden="1">[12]Presupuesto_Via_distribuidora!$2:$8</definedName>
    <definedName name="Z_3E9430E5_6A83_435B_9E47_1B8F7E18D67C_.wvu.PrintTitles" localSheetId="3" hidden="1">[12]Presupuesto_Via_distribuidora!$2:$8</definedName>
    <definedName name="Z_3E9430E5_6A83_435B_9E47_1B8F7E18D67C_.wvu.PrintTitles" hidden="1">[13]Presupuesto_Via_distribuidora!$2:$8</definedName>
    <definedName name="Z_4A14CB5C_2287_4F6E_9A65_22F0A4D81D81_.wvu.FilterData" localSheetId="0" hidden="1">[12]Presupuesto_Via_distribuidora!$A$9:$H$344</definedName>
    <definedName name="Z_4A14CB5C_2287_4F6E_9A65_22F0A4D81D81_.wvu.FilterData" localSheetId="3" hidden="1">[12]Presupuesto_Via_distribuidora!$A$9:$H$344</definedName>
    <definedName name="Z_4A14CB5C_2287_4F6E_9A65_22F0A4D81D81_.wvu.FilterData" hidden="1">[13]Presupuesto_Via_distribuidora!$A$9:$H$344</definedName>
    <definedName name="Z_4A14CB5C_2287_4F6E_9A65_22F0A4D81D81_.wvu.PrintArea" localSheetId="0" hidden="1">[12]Presupuesto_Via_distribuidora!$C$1:$H$344</definedName>
    <definedName name="Z_4A14CB5C_2287_4F6E_9A65_22F0A4D81D81_.wvu.PrintArea" localSheetId="3" hidden="1">[12]Presupuesto_Via_distribuidora!$C$1:$H$344</definedName>
    <definedName name="Z_4A14CB5C_2287_4F6E_9A65_22F0A4D81D81_.wvu.PrintArea" hidden="1">[13]Presupuesto_Via_distribuidora!$C$1:$H$344</definedName>
    <definedName name="Z_4A14CB5C_2287_4F6E_9A65_22F0A4D81D81_.wvu.PrintTitles" localSheetId="0" hidden="1">[12]Presupuesto_Via_distribuidora!$2:$8</definedName>
    <definedName name="Z_4A14CB5C_2287_4F6E_9A65_22F0A4D81D81_.wvu.PrintTitles" localSheetId="3" hidden="1">[12]Presupuesto_Via_distribuidora!$2:$8</definedName>
    <definedName name="Z_4A14CB5C_2287_4F6E_9A65_22F0A4D81D81_.wvu.PrintTitles" hidden="1">[13]Presupuesto_Via_distribuidora!$2:$8</definedName>
    <definedName name="Z_4BBC24C4_A093_4EC9_8AFF_49C6F602CC39_.wvu.FilterData" localSheetId="0" hidden="1">[12]Presupuesto_Via_distribuidora!$A$9:$H$344</definedName>
    <definedName name="Z_4BBC24C4_A093_4EC9_8AFF_49C6F602CC39_.wvu.FilterData" localSheetId="3" hidden="1">[12]Presupuesto_Via_distribuidora!$A$9:$H$344</definedName>
    <definedName name="Z_4BBC24C4_A093_4EC9_8AFF_49C6F602CC39_.wvu.FilterData" hidden="1">[13]Presupuesto_Via_distribuidora!$A$9:$H$344</definedName>
    <definedName name="Z_4BBC24C4_A093_4EC9_8AFF_49C6F602CC39_.wvu.PrintArea" localSheetId="0" hidden="1">[12]Presupuesto_Via_distribuidora!$C$1:$H$344</definedName>
    <definedName name="Z_4BBC24C4_A093_4EC9_8AFF_49C6F602CC39_.wvu.PrintArea" localSheetId="3" hidden="1">[12]Presupuesto_Via_distribuidora!$C$1:$H$344</definedName>
    <definedName name="Z_4BBC24C4_A093_4EC9_8AFF_49C6F602CC39_.wvu.PrintArea" hidden="1">[13]Presupuesto_Via_distribuidora!$C$1:$H$344</definedName>
    <definedName name="Z_4BBC24C4_A093_4EC9_8AFF_49C6F602CC39_.wvu.PrintTitles" localSheetId="0" hidden="1">[12]Presupuesto_Via_distribuidora!$2:$8</definedName>
    <definedName name="Z_4BBC24C4_A093_4EC9_8AFF_49C6F602CC39_.wvu.PrintTitles" localSheetId="3" hidden="1">[12]Presupuesto_Via_distribuidora!$2:$8</definedName>
    <definedName name="Z_4BBC24C4_A093_4EC9_8AFF_49C6F602CC39_.wvu.PrintTitles" hidden="1">[13]Presupuesto_Via_distribuidora!$2:$8</definedName>
    <definedName name="Z_504A8F9D_2C46_439E_975A_DF1C1FA56E7B_.wvu.FilterData" localSheetId="0" hidden="1">[12]Presupuesto_Via_distribuidora!$A$9:$H$344</definedName>
    <definedName name="Z_504A8F9D_2C46_439E_975A_DF1C1FA56E7B_.wvu.FilterData" localSheetId="3" hidden="1">[12]Presupuesto_Via_distribuidora!$A$9:$H$344</definedName>
    <definedName name="Z_504A8F9D_2C46_439E_975A_DF1C1FA56E7B_.wvu.FilterData" hidden="1">[13]Presupuesto_Via_distribuidora!$A$9:$H$344</definedName>
    <definedName name="Z_504A8F9D_2C46_439E_975A_DF1C1FA56E7B_.wvu.PrintArea" localSheetId="0" hidden="1">[12]Presupuesto_Via_distribuidora!$C$1:$H$344</definedName>
    <definedName name="Z_504A8F9D_2C46_439E_975A_DF1C1FA56E7B_.wvu.PrintArea" localSheetId="3" hidden="1">[12]Presupuesto_Via_distribuidora!$C$1:$H$344</definedName>
    <definedName name="Z_504A8F9D_2C46_439E_975A_DF1C1FA56E7B_.wvu.PrintArea" hidden="1">[13]Presupuesto_Via_distribuidora!$C$1:$H$344</definedName>
    <definedName name="Z_504A8F9D_2C46_439E_975A_DF1C1FA56E7B_.wvu.PrintTitles" localSheetId="0" hidden="1">[12]Presupuesto_Via_distribuidora!$2:$8</definedName>
    <definedName name="Z_504A8F9D_2C46_439E_975A_DF1C1FA56E7B_.wvu.PrintTitles" localSheetId="3" hidden="1">[12]Presupuesto_Via_distribuidora!$2:$8</definedName>
    <definedName name="Z_504A8F9D_2C46_439E_975A_DF1C1FA56E7B_.wvu.PrintTitles" hidden="1">[13]Presupuesto_Via_distribuidora!$2:$8</definedName>
    <definedName name="Z_653348E7_CDAD_4F62_A236_641A4BB6425A_.wvu.FilterData" localSheetId="0" hidden="1">[12]Presupuesto_Via_distribuidora!$A$9:$H$344</definedName>
    <definedName name="Z_653348E7_CDAD_4F62_A236_641A4BB6425A_.wvu.FilterData" localSheetId="3" hidden="1">[12]Presupuesto_Via_distribuidora!$A$9:$H$344</definedName>
    <definedName name="Z_653348E7_CDAD_4F62_A236_641A4BB6425A_.wvu.FilterData" hidden="1">[13]Presupuesto_Via_distribuidora!$A$9:$H$344</definedName>
    <definedName name="Z_653348E7_CDAD_4F62_A236_641A4BB6425A_.wvu.PrintArea" localSheetId="0" hidden="1">[12]Presupuesto_Via_distribuidora!$A$221:$I$375</definedName>
    <definedName name="Z_653348E7_CDAD_4F62_A236_641A4BB6425A_.wvu.PrintArea" localSheetId="3" hidden="1">[12]Presupuesto_Via_distribuidora!$A$221:$I$375</definedName>
    <definedName name="Z_653348E7_CDAD_4F62_A236_641A4BB6425A_.wvu.PrintArea" hidden="1">[13]Presupuesto_Via_distribuidora!$A$221:$I$375</definedName>
    <definedName name="Z_653348E7_CDAD_4F62_A236_641A4BB6425A_.wvu.PrintTitles" localSheetId="0" hidden="1">[12]Presupuesto_Via_distribuidora!$211:$220</definedName>
    <definedName name="Z_653348E7_CDAD_4F62_A236_641A4BB6425A_.wvu.PrintTitles" localSheetId="3" hidden="1">[12]Presupuesto_Via_distribuidora!$211:$220</definedName>
    <definedName name="Z_653348E7_CDAD_4F62_A236_641A4BB6425A_.wvu.PrintTitles" hidden="1">[13]Presupuesto_Via_distribuidora!$211:$220</definedName>
    <definedName name="Z_68C48519_C8C2_4287_96F6_0F561F815CE8_.wvu.FilterData" localSheetId="0" hidden="1">[12]Presupuesto_Via_distribuidora!$A$9:$H$344</definedName>
    <definedName name="Z_68C48519_C8C2_4287_96F6_0F561F815CE8_.wvu.FilterData" localSheetId="3" hidden="1">[12]Presupuesto_Via_distribuidora!$A$9:$H$344</definedName>
    <definedName name="Z_68C48519_C8C2_4287_96F6_0F561F815CE8_.wvu.FilterData" hidden="1">[13]Presupuesto_Via_distribuidora!$A$9:$H$344</definedName>
    <definedName name="Z_68C48519_C8C2_4287_96F6_0F561F815CE8_.wvu.PrintArea" localSheetId="0" hidden="1">[12]Presupuesto_Via_distribuidora!$C$1:$H$344</definedName>
    <definedName name="Z_68C48519_C8C2_4287_96F6_0F561F815CE8_.wvu.PrintArea" localSheetId="3" hidden="1">[12]Presupuesto_Via_distribuidora!$C$1:$H$344</definedName>
    <definedName name="Z_68C48519_C8C2_4287_96F6_0F561F815CE8_.wvu.PrintArea" hidden="1">[13]Presupuesto_Via_distribuidora!$C$1:$H$344</definedName>
    <definedName name="Z_68C48519_C8C2_4287_96F6_0F561F815CE8_.wvu.PrintTitles" localSheetId="0" hidden="1">[12]Presupuesto_Via_distribuidora!$2:$8</definedName>
    <definedName name="Z_68C48519_C8C2_4287_96F6_0F561F815CE8_.wvu.PrintTitles" localSheetId="3" hidden="1">[12]Presupuesto_Via_distribuidora!$2:$8</definedName>
    <definedName name="Z_68C48519_C8C2_4287_96F6_0F561F815CE8_.wvu.PrintTitles" hidden="1">[13]Presupuesto_Via_distribuidora!$2:$8</definedName>
    <definedName name="Z_6BA141F2_E104_11DA_B6F6_00609720E0A1_.wvu.FilterData" localSheetId="0" hidden="1">[12]Presupuesto_Via_distribuidora!$A$9:$H$344</definedName>
    <definedName name="Z_6BA141F2_E104_11DA_B6F6_00609720E0A1_.wvu.FilterData" localSheetId="3" hidden="1">[12]Presupuesto_Via_distribuidora!$A$9:$H$344</definedName>
    <definedName name="Z_6BA141F2_E104_11DA_B6F6_00609720E0A1_.wvu.FilterData" hidden="1">[13]Presupuesto_Via_distribuidora!$A$9:$H$344</definedName>
    <definedName name="Z_6BA141F2_E104_11DA_B6F6_00609720E0A1_.wvu.PrintArea" localSheetId="0" hidden="1">[12]Presupuesto_Via_distribuidora!$A$10:$I$164</definedName>
    <definedName name="Z_6BA141F2_E104_11DA_B6F6_00609720E0A1_.wvu.PrintArea" localSheetId="3" hidden="1">[12]Presupuesto_Via_distribuidora!$A$10:$I$164</definedName>
    <definedName name="Z_6BA141F2_E104_11DA_B6F6_00609720E0A1_.wvu.PrintArea" hidden="1">[13]Presupuesto_Via_distribuidora!$A$10:$I$164</definedName>
    <definedName name="Z_6BA141F2_E104_11DA_B6F6_00609720E0A1_.wvu.PrintTitles" localSheetId="0" hidden="1">[12]Presupuesto_Via_distribuidora!$1:$9</definedName>
    <definedName name="Z_6BA141F2_E104_11DA_B6F6_00609720E0A1_.wvu.PrintTitles" localSheetId="3" hidden="1">[12]Presupuesto_Via_distribuidora!$1:$9</definedName>
    <definedName name="Z_6BA141F2_E104_11DA_B6F6_00609720E0A1_.wvu.PrintTitles" hidden="1">[13]Presupuesto_Via_distribuidora!$1:$9</definedName>
    <definedName name="Z_6BA141F3_E104_11DA_B6F6_00609720E0A1_.wvu.FilterData" localSheetId="0" hidden="1">[12]Presupuesto_Via_distribuidora!$A$9:$H$344</definedName>
    <definedName name="Z_6BA141F3_E104_11DA_B6F6_00609720E0A1_.wvu.FilterData" localSheetId="3" hidden="1">[12]Presupuesto_Via_distribuidora!$A$9:$H$344</definedName>
    <definedName name="Z_6BA141F3_E104_11DA_B6F6_00609720E0A1_.wvu.FilterData" hidden="1">[13]Presupuesto_Via_distribuidora!$A$9:$H$344</definedName>
    <definedName name="Z_6BA141F3_E104_11DA_B6F6_00609720E0A1_.wvu.PrintArea" localSheetId="0" hidden="1">[12]Presupuesto_Via_distribuidora!$A$176:$I$193</definedName>
    <definedName name="Z_6BA141F3_E104_11DA_B6F6_00609720E0A1_.wvu.PrintArea" localSheetId="3" hidden="1">[12]Presupuesto_Via_distribuidora!$A$176:$I$193</definedName>
    <definedName name="Z_6BA141F3_E104_11DA_B6F6_00609720E0A1_.wvu.PrintArea" hidden="1">[13]Presupuesto_Via_distribuidora!$A$176:$I$193</definedName>
    <definedName name="Z_6BA141F4_E104_11DA_B6F6_00609720E0A1_.wvu.FilterData" localSheetId="0" hidden="1">[12]Presupuesto_Via_distribuidora!$A$9:$H$344</definedName>
    <definedName name="Z_6BA141F4_E104_11DA_B6F6_00609720E0A1_.wvu.FilterData" localSheetId="3" hidden="1">[12]Presupuesto_Via_distribuidora!$A$9:$H$344</definedName>
    <definedName name="Z_6BA141F4_E104_11DA_B6F6_00609720E0A1_.wvu.FilterData" hidden="1">[13]Presupuesto_Via_distribuidora!$A$9:$H$344</definedName>
    <definedName name="Z_6BA141F4_E104_11DA_B6F6_00609720E0A1_.wvu.PrintArea" localSheetId="0" hidden="1">[12]Presupuesto_Via_distribuidora!$A$342:$I$541</definedName>
    <definedName name="Z_6BA141F4_E104_11DA_B6F6_00609720E0A1_.wvu.PrintArea" localSheetId="3" hidden="1">[12]Presupuesto_Via_distribuidora!$A$342:$I$541</definedName>
    <definedName name="Z_6BA141F4_E104_11DA_B6F6_00609720E0A1_.wvu.PrintArea" hidden="1">[13]Presupuesto_Via_distribuidora!$A$342:$I$541</definedName>
    <definedName name="Z_6BA141F5_E104_11DA_B6F6_00609720E0A1_.wvu.FilterData" localSheetId="0" hidden="1">[12]Presupuesto_Via_distribuidora!$A$9:$H$344</definedName>
    <definedName name="Z_6BA141F5_E104_11DA_B6F6_00609720E0A1_.wvu.FilterData" localSheetId="3" hidden="1">[12]Presupuesto_Via_distribuidora!$A$9:$H$344</definedName>
    <definedName name="Z_6BA141F5_E104_11DA_B6F6_00609720E0A1_.wvu.FilterData" hidden="1">[13]Presupuesto_Via_distribuidora!$A$9:$H$344</definedName>
    <definedName name="Z_6BA141F5_E104_11DA_B6F6_00609720E0A1_.wvu.PrintArea" localSheetId="0" hidden="1">[12]Presupuesto_Via_distribuidora!$A$557:$I$825</definedName>
    <definedName name="Z_6BA141F5_E104_11DA_B6F6_00609720E0A1_.wvu.PrintArea" localSheetId="3" hidden="1">[12]Presupuesto_Via_distribuidora!$A$557:$I$825</definedName>
    <definedName name="Z_6BA141F5_E104_11DA_B6F6_00609720E0A1_.wvu.PrintArea" hidden="1">[13]Presupuesto_Via_distribuidora!$A$557:$I$825</definedName>
    <definedName name="Z_6BA141F5_E104_11DA_B6F6_00609720E0A1_.wvu.PrintTitles" localSheetId="0" hidden="1">[12]Presupuesto_Via_distribuidora!$547:$556</definedName>
    <definedName name="Z_6BA141F5_E104_11DA_B6F6_00609720E0A1_.wvu.PrintTitles" localSheetId="3" hidden="1">[12]Presupuesto_Via_distribuidora!$547:$556</definedName>
    <definedName name="Z_6BA141F5_E104_11DA_B6F6_00609720E0A1_.wvu.PrintTitles" hidden="1">[13]Presupuesto_Via_distribuidora!$547:$556</definedName>
    <definedName name="Z_6BA141F6_E104_11DA_B6F6_00609720E0A1_.wvu.FilterData" localSheetId="0" hidden="1">[12]Presupuesto_Via_distribuidora!$A$9:$H$344</definedName>
    <definedName name="Z_6BA141F6_E104_11DA_B6F6_00609720E0A1_.wvu.FilterData" localSheetId="3" hidden="1">[12]Presupuesto_Via_distribuidora!$A$9:$H$344</definedName>
    <definedName name="Z_6BA141F6_E104_11DA_B6F6_00609720E0A1_.wvu.FilterData" hidden="1">[13]Presupuesto_Via_distribuidora!$A$9:$H$344</definedName>
    <definedName name="Z_6BA141F6_E104_11DA_B6F6_00609720E0A1_.wvu.PrintArea" localSheetId="0" hidden="1">[12]Presupuesto_Via_distribuidora!$A$839:$I$1037</definedName>
    <definedName name="Z_6BA141F6_E104_11DA_B6F6_00609720E0A1_.wvu.PrintArea" localSheetId="3" hidden="1">[12]Presupuesto_Via_distribuidora!$A$839:$I$1037</definedName>
    <definedName name="Z_6BA141F6_E104_11DA_B6F6_00609720E0A1_.wvu.PrintArea" hidden="1">[13]Presupuesto_Via_distribuidora!$A$839:$I$1037</definedName>
    <definedName name="Z_6BA141F6_E104_11DA_B6F6_00609720E0A1_.wvu.PrintTitles" localSheetId="0" hidden="1">[12]Presupuesto_Via_distribuidora!$829:$838</definedName>
    <definedName name="Z_6BA141F6_E104_11DA_B6F6_00609720E0A1_.wvu.PrintTitles" localSheetId="3" hidden="1">[12]Presupuesto_Via_distribuidora!$829:$838</definedName>
    <definedName name="Z_6BA141F6_E104_11DA_B6F6_00609720E0A1_.wvu.PrintTitles" hidden="1">[13]Presupuesto_Via_distribuidora!$829:$838</definedName>
    <definedName name="Z_726673D2_C579_4EF3_83C7_45DC3792EA6A_.wvu.FilterData" localSheetId="0" hidden="1">[12]Presupuesto_Via_distribuidora!$A$9:$H$344</definedName>
    <definedName name="Z_726673D2_C579_4EF3_83C7_45DC3792EA6A_.wvu.FilterData" localSheetId="3" hidden="1">[12]Presupuesto_Via_distribuidora!$A$9:$H$344</definedName>
    <definedName name="Z_726673D2_C579_4EF3_83C7_45DC3792EA6A_.wvu.FilterData" hidden="1">[13]Presupuesto_Via_distribuidora!$A$9:$H$344</definedName>
    <definedName name="Z_726673D2_C579_4EF3_83C7_45DC3792EA6A_.wvu.PrintArea" localSheetId="0" hidden="1">[12]Presupuesto_Via_distribuidora!$A$10:$I$208</definedName>
    <definedName name="Z_726673D2_C579_4EF3_83C7_45DC3792EA6A_.wvu.PrintArea" localSheetId="3" hidden="1">[12]Presupuesto_Via_distribuidora!$A$10:$I$208</definedName>
    <definedName name="Z_726673D2_C579_4EF3_83C7_45DC3792EA6A_.wvu.PrintArea" hidden="1">[13]Presupuesto_Via_distribuidora!$A$10:$I$208</definedName>
    <definedName name="Z_726673D2_C579_4EF3_83C7_45DC3792EA6A_.wvu.PrintTitles" localSheetId="0" hidden="1">[12]Presupuesto_Via_distribuidora!$1:$9</definedName>
    <definedName name="Z_726673D2_C579_4EF3_83C7_45DC3792EA6A_.wvu.PrintTitles" localSheetId="3" hidden="1">[12]Presupuesto_Via_distribuidora!$1:$9</definedName>
    <definedName name="Z_726673D2_C579_4EF3_83C7_45DC3792EA6A_.wvu.PrintTitles" hidden="1">[13]Presupuesto_Via_distribuidora!$1:$9</definedName>
    <definedName name="Z_729969D8_DFDA_47B9_ADA2_E05CF62B3DEF_.wvu.FilterData" localSheetId="0" hidden="1">[12]Presupuesto_Via_distribuidora!$A$9:$H$344</definedName>
    <definedName name="Z_729969D8_DFDA_47B9_ADA2_E05CF62B3DEF_.wvu.FilterData" localSheetId="3" hidden="1">[12]Presupuesto_Via_distribuidora!$A$9:$H$344</definedName>
    <definedName name="Z_729969D8_DFDA_47B9_ADA2_E05CF62B3DEF_.wvu.FilterData" hidden="1">[13]Presupuesto_Via_distribuidora!$A$9:$H$344</definedName>
    <definedName name="Z_729969D8_DFDA_47B9_ADA2_E05CF62B3DEF_.wvu.PrintArea" localSheetId="0" hidden="1">[12]Presupuesto_Via_distribuidora!$A$618:$I$886</definedName>
    <definedName name="Z_729969D8_DFDA_47B9_ADA2_E05CF62B3DEF_.wvu.PrintArea" localSheetId="3" hidden="1">[12]Presupuesto_Via_distribuidora!$A$618:$I$886</definedName>
    <definedName name="Z_729969D8_DFDA_47B9_ADA2_E05CF62B3DEF_.wvu.PrintArea" hidden="1">[13]Presupuesto_Via_distribuidora!$A$618:$I$886</definedName>
    <definedName name="Z_729969D8_DFDA_47B9_ADA2_E05CF62B3DEF_.wvu.PrintTitles" localSheetId="0" hidden="1">[12]Presupuesto_Via_distribuidora!$608:$617</definedName>
    <definedName name="Z_729969D8_DFDA_47B9_ADA2_E05CF62B3DEF_.wvu.PrintTitles" localSheetId="3" hidden="1">[12]Presupuesto_Via_distribuidora!$608:$617</definedName>
    <definedName name="Z_729969D8_DFDA_47B9_ADA2_E05CF62B3DEF_.wvu.PrintTitles" hidden="1">[13]Presupuesto_Via_distribuidora!$608:$617</definedName>
    <definedName name="Z_75EDDC88_CA8C_4671_911D_25D74F37EC47_.wvu.FilterData" localSheetId="0" hidden="1">[12]Presupuesto_Via_distribuidora!$A$9:$H$344</definedName>
    <definedName name="Z_75EDDC88_CA8C_4671_911D_25D74F37EC47_.wvu.FilterData" localSheetId="3" hidden="1">[12]Presupuesto_Via_distribuidora!$A$9:$H$344</definedName>
    <definedName name="Z_75EDDC88_CA8C_4671_911D_25D74F37EC47_.wvu.FilterData" hidden="1">[13]Presupuesto_Via_distribuidora!$A$9:$H$344</definedName>
    <definedName name="Z_75EDDC88_CA8C_4671_911D_25D74F37EC47_.wvu.PrintArea" localSheetId="0" hidden="1">[12]Presupuesto_Via_distribuidora!$A$902:$I$1100</definedName>
    <definedName name="Z_75EDDC88_CA8C_4671_911D_25D74F37EC47_.wvu.PrintArea" localSheetId="3" hidden="1">[12]Presupuesto_Via_distribuidora!$A$902:$I$1100</definedName>
    <definedName name="Z_75EDDC88_CA8C_4671_911D_25D74F37EC47_.wvu.PrintArea" hidden="1">[13]Presupuesto_Via_distribuidora!$A$902:$I$1100</definedName>
    <definedName name="Z_75EDDC88_CA8C_4671_911D_25D74F37EC47_.wvu.PrintTitles" localSheetId="0" hidden="1">[12]Presupuesto_Via_distribuidora!$892:$901</definedName>
    <definedName name="Z_75EDDC88_CA8C_4671_911D_25D74F37EC47_.wvu.PrintTitles" localSheetId="3" hidden="1">[12]Presupuesto_Via_distribuidora!$892:$901</definedName>
    <definedName name="Z_75EDDC88_CA8C_4671_911D_25D74F37EC47_.wvu.PrintTitles" hidden="1">[13]Presupuesto_Via_distribuidora!$892:$901</definedName>
    <definedName name="Z_80573755_2D8B_4158_BD3A_CC331B950748_.wvu.FilterData" localSheetId="0" hidden="1">[12]Presupuesto_Via_distribuidora!$A$9:$H$344</definedName>
    <definedName name="Z_80573755_2D8B_4158_BD3A_CC331B950748_.wvu.FilterData" localSheetId="3" hidden="1">[12]Presupuesto_Via_distribuidora!$A$9:$H$344</definedName>
    <definedName name="Z_80573755_2D8B_4158_BD3A_CC331B950748_.wvu.FilterData" hidden="1">[13]Presupuesto_Via_distribuidora!$A$9:$H$344</definedName>
    <definedName name="Z_80573755_2D8B_4158_BD3A_CC331B950748_.wvu.PrintArea" localSheetId="0" hidden="1">[12]Presupuesto_Via_distribuidora!$A$221:$I$375</definedName>
    <definedName name="Z_80573755_2D8B_4158_BD3A_CC331B950748_.wvu.PrintArea" localSheetId="3" hidden="1">[12]Presupuesto_Via_distribuidora!$A$221:$I$375</definedName>
    <definedName name="Z_80573755_2D8B_4158_BD3A_CC331B950748_.wvu.PrintArea" hidden="1">[13]Presupuesto_Via_distribuidora!$A$221:$I$375</definedName>
    <definedName name="Z_80573755_2D8B_4158_BD3A_CC331B950748_.wvu.PrintTitles" localSheetId="0" hidden="1">[12]Presupuesto_Via_distribuidora!$211:$220</definedName>
    <definedName name="Z_80573755_2D8B_4158_BD3A_CC331B950748_.wvu.PrintTitles" localSheetId="3" hidden="1">[12]Presupuesto_Via_distribuidora!$211:$220</definedName>
    <definedName name="Z_80573755_2D8B_4158_BD3A_CC331B950748_.wvu.PrintTitles" hidden="1">[13]Presupuesto_Via_distribuidora!$211:$220</definedName>
    <definedName name="Z_9C7B0D6D_4DDE_4C72_B23F_2E183F63ECB1_.wvu.FilterData" localSheetId="0" hidden="1">[12]Presupuesto_Via_distribuidora!$A$9:$H$344</definedName>
    <definedName name="Z_9C7B0D6D_4DDE_4C72_B23F_2E183F63ECB1_.wvu.FilterData" localSheetId="3" hidden="1">[12]Presupuesto_Via_distribuidora!$A$9:$H$344</definedName>
    <definedName name="Z_9C7B0D6D_4DDE_4C72_B23F_2E183F63ECB1_.wvu.FilterData" hidden="1">[13]Presupuesto_Via_distribuidora!$A$9:$H$344</definedName>
    <definedName name="Z_9C7B0D6D_4DDE_4C72_B23F_2E183F63ECB1_.wvu.PrintArea" localSheetId="0" hidden="1">[12]Presupuesto_Via_distribuidora!$C$1:$H$344</definedName>
    <definedName name="Z_9C7B0D6D_4DDE_4C72_B23F_2E183F63ECB1_.wvu.PrintArea" localSheetId="3" hidden="1">[12]Presupuesto_Via_distribuidora!$C$1:$H$344</definedName>
    <definedName name="Z_9C7B0D6D_4DDE_4C72_B23F_2E183F63ECB1_.wvu.PrintArea" hidden="1">[13]Presupuesto_Via_distribuidora!$C$1:$H$344</definedName>
    <definedName name="Z_9C7B0D6D_4DDE_4C72_B23F_2E183F63ECB1_.wvu.PrintTitles" localSheetId="0" hidden="1">[12]Presupuesto_Via_distribuidora!$2:$8</definedName>
    <definedName name="Z_9C7B0D6D_4DDE_4C72_B23F_2E183F63ECB1_.wvu.PrintTitles" localSheetId="3" hidden="1">[12]Presupuesto_Via_distribuidora!$2:$8</definedName>
    <definedName name="Z_9C7B0D6D_4DDE_4C72_B23F_2E183F63ECB1_.wvu.PrintTitles" hidden="1">[13]Presupuesto_Via_distribuidora!$2:$8</definedName>
    <definedName name="Z_9C8B6436_249F_426A_96DC_EEE5E7CB7D1B_.wvu.FilterData" localSheetId="0" hidden="1">[12]Presupuesto_Via_distribuidora!$A$9:$H$344</definedName>
    <definedName name="Z_9C8B6436_249F_426A_96DC_EEE5E7CB7D1B_.wvu.FilterData" localSheetId="3" hidden="1">[12]Presupuesto_Via_distribuidora!$A$9:$H$344</definedName>
    <definedName name="Z_9C8B6436_249F_426A_96DC_EEE5E7CB7D1B_.wvu.FilterData" hidden="1">[13]Presupuesto_Via_distribuidora!$A$9:$H$344</definedName>
    <definedName name="Z_9C8B6436_249F_426A_96DC_EEE5E7CB7D1B_.wvu.PrintArea" localSheetId="0" hidden="1">[12]Presupuesto_Via_distribuidora!$C$1:$H$344</definedName>
    <definedName name="Z_9C8B6436_249F_426A_96DC_EEE5E7CB7D1B_.wvu.PrintArea" localSheetId="3" hidden="1">[12]Presupuesto_Via_distribuidora!$C$1:$H$344</definedName>
    <definedName name="Z_9C8B6436_249F_426A_96DC_EEE5E7CB7D1B_.wvu.PrintArea" hidden="1">[13]Presupuesto_Via_distribuidora!$C$1:$H$344</definedName>
    <definedName name="Z_9C8B6436_249F_426A_96DC_EEE5E7CB7D1B_.wvu.PrintTitles" localSheetId="0" hidden="1">[12]Presupuesto_Via_distribuidora!$2:$8</definedName>
    <definedName name="Z_9C8B6436_249F_426A_96DC_EEE5E7CB7D1B_.wvu.PrintTitles" localSheetId="3" hidden="1">[12]Presupuesto_Via_distribuidora!$2:$8</definedName>
    <definedName name="Z_9C8B6436_249F_426A_96DC_EEE5E7CB7D1B_.wvu.PrintTitles" hidden="1">[13]Presupuesto_Via_distribuidora!$2:$8</definedName>
    <definedName name="Z_9FCFD0D5_270B_4F36_B422_02EF7A3700B8_.wvu.FilterData" localSheetId="0" hidden="1">[12]Presupuesto_Via_distribuidora!$A$9:$H$344</definedName>
    <definedName name="Z_9FCFD0D5_270B_4F36_B422_02EF7A3700B8_.wvu.FilterData" localSheetId="3" hidden="1">[12]Presupuesto_Via_distribuidora!$A$9:$H$344</definedName>
    <definedName name="Z_9FCFD0D5_270B_4F36_B422_02EF7A3700B8_.wvu.FilterData" hidden="1">[13]Presupuesto_Via_distribuidora!$A$9:$H$344</definedName>
    <definedName name="Z_9FCFD0D5_270B_4F36_B422_02EF7A3700B8_.wvu.PrintArea" localSheetId="0" hidden="1">[12]Presupuesto_Via_distribuidora!$A$390:$I$602</definedName>
    <definedName name="Z_9FCFD0D5_270B_4F36_B422_02EF7A3700B8_.wvu.PrintArea" localSheetId="3" hidden="1">[12]Presupuesto_Via_distribuidora!$A$390:$I$602</definedName>
    <definedName name="Z_9FCFD0D5_270B_4F36_B422_02EF7A3700B8_.wvu.PrintArea" hidden="1">[13]Presupuesto_Via_distribuidora!$A$390:$I$602</definedName>
    <definedName name="Z_9FCFD0D5_270B_4F36_B422_02EF7A3700B8_.wvu.PrintTitles" localSheetId="0" hidden="1">[12]Presupuesto_Via_distribuidora!$380:$389</definedName>
    <definedName name="Z_9FCFD0D5_270B_4F36_B422_02EF7A3700B8_.wvu.PrintTitles" localSheetId="3" hidden="1">[12]Presupuesto_Via_distribuidora!$380:$389</definedName>
    <definedName name="Z_9FCFD0D5_270B_4F36_B422_02EF7A3700B8_.wvu.PrintTitles" hidden="1">[13]Presupuesto_Via_distribuidora!$380:$389</definedName>
    <definedName name="Z_9FE8FF3F_4486_44D6_9AFB_43CC5B824BF9_.wvu.FilterData" localSheetId="0" hidden="1">[12]Presupuesto_Via_distribuidora!$A$9:$H$344</definedName>
    <definedName name="Z_9FE8FF3F_4486_44D6_9AFB_43CC5B824BF9_.wvu.FilterData" localSheetId="3" hidden="1">[12]Presupuesto_Via_distribuidora!$A$9:$H$344</definedName>
    <definedName name="Z_9FE8FF3F_4486_44D6_9AFB_43CC5B824BF9_.wvu.FilterData" hidden="1">[13]Presupuesto_Via_distribuidora!$A$9:$H$344</definedName>
    <definedName name="Z_9FE8FF3F_4486_44D6_9AFB_43CC5B824BF9_.wvu.PrintArea" localSheetId="0" hidden="1">[12]Presupuesto_Via_distribuidora!$C$1:$H$344</definedName>
    <definedName name="Z_9FE8FF3F_4486_44D6_9AFB_43CC5B824BF9_.wvu.PrintArea" localSheetId="3" hidden="1">[12]Presupuesto_Via_distribuidora!$C$1:$H$344</definedName>
    <definedName name="Z_9FE8FF3F_4486_44D6_9AFB_43CC5B824BF9_.wvu.PrintArea" hidden="1">[13]Presupuesto_Via_distribuidora!$C$1:$H$344</definedName>
    <definedName name="Z_9FE8FF3F_4486_44D6_9AFB_43CC5B824BF9_.wvu.PrintTitles" localSheetId="0" hidden="1">[12]Presupuesto_Via_distribuidora!$2:$8</definedName>
    <definedName name="Z_9FE8FF3F_4486_44D6_9AFB_43CC5B824BF9_.wvu.PrintTitles" localSheetId="3" hidden="1">[12]Presupuesto_Via_distribuidora!$2:$8</definedName>
    <definedName name="Z_9FE8FF3F_4486_44D6_9AFB_43CC5B824BF9_.wvu.PrintTitles" hidden="1">[13]Presupuesto_Via_distribuidora!$2:$8</definedName>
    <definedName name="Z_A3DE26BA_CF48_4654_9BE9_FAEB3C301C95_.wvu.FilterData" localSheetId="0" hidden="1">[12]Presupuesto_Via_distribuidora!$A$9:$H$344</definedName>
    <definedName name="Z_A3DE26BA_CF48_4654_9BE9_FAEB3C301C95_.wvu.FilterData" localSheetId="3" hidden="1">[12]Presupuesto_Via_distribuidora!$A$9:$H$344</definedName>
    <definedName name="Z_A3DE26BA_CF48_4654_9BE9_FAEB3C301C95_.wvu.FilterData" hidden="1">[13]Presupuesto_Via_distribuidora!$A$9:$H$344</definedName>
    <definedName name="Z_A3DE26BA_CF48_4654_9BE9_FAEB3C301C95_.wvu.PrintArea" localSheetId="0" hidden="1">[12]Presupuesto_Via_distribuidora!$A$221:$I$377</definedName>
    <definedName name="Z_A3DE26BA_CF48_4654_9BE9_FAEB3C301C95_.wvu.PrintArea" localSheetId="3" hidden="1">[12]Presupuesto_Via_distribuidora!$A$221:$I$377</definedName>
    <definedName name="Z_A3DE26BA_CF48_4654_9BE9_FAEB3C301C95_.wvu.PrintArea" hidden="1">[13]Presupuesto_Via_distribuidora!$A$221:$I$377</definedName>
    <definedName name="Z_A3DE26BA_CF48_4654_9BE9_FAEB3C301C95_.wvu.PrintTitles" localSheetId="0" hidden="1">[12]Presupuesto_Via_distribuidora!$211:$220</definedName>
    <definedName name="Z_A3DE26BA_CF48_4654_9BE9_FAEB3C301C95_.wvu.PrintTitles" localSheetId="3" hidden="1">[12]Presupuesto_Via_distribuidora!$211:$220</definedName>
    <definedName name="Z_A3DE26BA_CF48_4654_9BE9_FAEB3C301C95_.wvu.PrintTitles" hidden="1">[13]Presupuesto_Via_distribuidora!$211:$220</definedName>
    <definedName name="Z_AAA1DD33_F1E3_423A_B1F2_E8567F4D95A5_.wvu.FilterData" localSheetId="0" hidden="1">[12]Presupuesto_Via_distribuidora!$A$9:$H$344</definedName>
    <definedName name="Z_AAA1DD33_F1E3_423A_B1F2_E8567F4D95A5_.wvu.FilterData" localSheetId="3" hidden="1">[12]Presupuesto_Via_distribuidora!$A$9:$H$344</definedName>
    <definedName name="Z_AAA1DD33_F1E3_423A_B1F2_E8567F4D95A5_.wvu.FilterData" hidden="1">[13]Presupuesto_Via_distribuidora!$A$9:$H$344</definedName>
    <definedName name="Z_AAA1DD33_F1E3_423A_B1F2_E8567F4D95A5_.wvu.PrintArea" localSheetId="0" hidden="1">[12]Presupuesto_Via_distribuidora!$A$900:$I$1098</definedName>
    <definedName name="Z_AAA1DD33_F1E3_423A_B1F2_E8567F4D95A5_.wvu.PrintArea" localSheetId="3" hidden="1">[12]Presupuesto_Via_distribuidora!$A$900:$I$1098</definedName>
    <definedName name="Z_AAA1DD33_F1E3_423A_B1F2_E8567F4D95A5_.wvu.PrintArea" hidden="1">[13]Presupuesto_Via_distribuidora!$A$900:$I$1098</definedName>
    <definedName name="Z_AAA1DD33_F1E3_423A_B1F2_E8567F4D95A5_.wvu.PrintTitles" localSheetId="0" hidden="1">[12]Presupuesto_Via_distribuidora!$890:$899</definedName>
    <definedName name="Z_AAA1DD33_F1E3_423A_B1F2_E8567F4D95A5_.wvu.PrintTitles" localSheetId="3" hidden="1">[12]Presupuesto_Via_distribuidora!$890:$899</definedName>
    <definedName name="Z_AAA1DD33_F1E3_423A_B1F2_E8567F4D95A5_.wvu.PrintTitles" hidden="1">[13]Presupuesto_Via_distribuidora!$890:$899</definedName>
    <definedName name="Z_B4899972_EBDC_11DA_B6F6_00609720E0A1_.wvu.FilterData" localSheetId="0" hidden="1">[12]Presupuesto_Via_distribuidora!$A$9:$H$344</definedName>
    <definedName name="Z_B4899972_EBDC_11DA_B6F6_00609720E0A1_.wvu.FilterData" localSheetId="3" hidden="1">[12]Presupuesto_Via_distribuidora!$A$9:$H$344</definedName>
    <definedName name="Z_B4899972_EBDC_11DA_B6F6_00609720E0A1_.wvu.FilterData" hidden="1">[13]Presupuesto_Via_distribuidora!$A$9:$H$344</definedName>
    <definedName name="Z_B4899972_EBDC_11DA_B6F6_00609720E0A1_.wvu.PrintArea" localSheetId="0" hidden="1">[12]Presupuesto_Via_distribuidora!$A$10:$I$164</definedName>
    <definedName name="Z_B4899972_EBDC_11DA_B6F6_00609720E0A1_.wvu.PrintArea" localSheetId="3" hidden="1">[12]Presupuesto_Via_distribuidora!$A$10:$I$164</definedName>
    <definedName name="Z_B4899972_EBDC_11DA_B6F6_00609720E0A1_.wvu.PrintArea" hidden="1">[13]Presupuesto_Via_distribuidora!$A$10:$I$164</definedName>
    <definedName name="Z_B4899972_EBDC_11DA_B6F6_00609720E0A1_.wvu.PrintTitles" localSheetId="0" hidden="1">[12]Presupuesto_Via_distribuidora!$1:$9</definedName>
    <definedName name="Z_B4899972_EBDC_11DA_B6F6_00609720E0A1_.wvu.PrintTitles" localSheetId="3" hidden="1">[12]Presupuesto_Via_distribuidora!$1:$9</definedName>
    <definedName name="Z_B4899972_EBDC_11DA_B6F6_00609720E0A1_.wvu.PrintTitles" hidden="1">[13]Presupuesto_Via_distribuidora!$1:$9</definedName>
    <definedName name="Z_B4899973_EBDC_11DA_B6F6_00609720E0A1_.wvu.FilterData" localSheetId="0" hidden="1">[12]Presupuesto_Via_distribuidora!$A$9:$H$344</definedName>
    <definedName name="Z_B4899973_EBDC_11DA_B6F6_00609720E0A1_.wvu.FilterData" localSheetId="3" hidden="1">[12]Presupuesto_Via_distribuidora!$A$9:$H$344</definedName>
    <definedName name="Z_B4899973_EBDC_11DA_B6F6_00609720E0A1_.wvu.FilterData" hidden="1">[13]Presupuesto_Via_distribuidora!$A$9:$H$344</definedName>
    <definedName name="Z_B4899973_EBDC_11DA_B6F6_00609720E0A1_.wvu.PrintArea" localSheetId="0" hidden="1">[12]Presupuesto_Via_distribuidora!$A$176:$I$193</definedName>
    <definedName name="Z_B4899973_EBDC_11DA_B6F6_00609720E0A1_.wvu.PrintArea" localSheetId="3" hidden="1">[12]Presupuesto_Via_distribuidora!$A$176:$I$193</definedName>
    <definedName name="Z_B4899973_EBDC_11DA_B6F6_00609720E0A1_.wvu.PrintArea" hidden="1">[13]Presupuesto_Via_distribuidora!$A$176:$I$193</definedName>
    <definedName name="Z_B4899974_EBDC_11DA_B6F6_00609720E0A1_.wvu.FilterData" localSheetId="0" hidden="1">[12]Presupuesto_Via_distribuidora!$A$9:$H$344</definedName>
    <definedName name="Z_B4899974_EBDC_11DA_B6F6_00609720E0A1_.wvu.FilterData" localSheetId="3" hidden="1">[12]Presupuesto_Via_distribuidora!$A$9:$H$344</definedName>
    <definedName name="Z_B4899974_EBDC_11DA_B6F6_00609720E0A1_.wvu.FilterData" hidden="1">[13]Presupuesto_Via_distribuidora!$A$9:$H$344</definedName>
    <definedName name="Z_B4899974_EBDC_11DA_B6F6_00609720E0A1_.wvu.PrintArea" localSheetId="0" hidden="1">[12]Presupuesto_Via_distribuidora!$A$342:$I$541</definedName>
    <definedName name="Z_B4899974_EBDC_11DA_B6F6_00609720E0A1_.wvu.PrintArea" localSheetId="3" hidden="1">[12]Presupuesto_Via_distribuidora!$A$342:$I$541</definedName>
    <definedName name="Z_B4899974_EBDC_11DA_B6F6_00609720E0A1_.wvu.PrintArea" hidden="1">[13]Presupuesto_Via_distribuidora!$A$342:$I$541</definedName>
    <definedName name="Z_B4899975_EBDC_11DA_B6F6_00609720E0A1_.wvu.FilterData" localSheetId="0" hidden="1">[12]Presupuesto_Via_distribuidora!$A$9:$H$344</definedName>
    <definedName name="Z_B4899975_EBDC_11DA_B6F6_00609720E0A1_.wvu.FilterData" localSheetId="3" hidden="1">[12]Presupuesto_Via_distribuidora!$A$9:$H$344</definedName>
    <definedName name="Z_B4899975_EBDC_11DA_B6F6_00609720E0A1_.wvu.FilterData" hidden="1">[13]Presupuesto_Via_distribuidora!$A$9:$H$344</definedName>
    <definedName name="Z_B4899975_EBDC_11DA_B6F6_00609720E0A1_.wvu.PrintArea" localSheetId="0" hidden="1">[12]Presupuesto_Via_distribuidora!$A$557:$I$825</definedName>
    <definedName name="Z_B4899975_EBDC_11DA_B6F6_00609720E0A1_.wvu.PrintArea" localSheetId="3" hidden="1">[12]Presupuesto_Via_distribuidora!$A$557:$I$825</definedName>
    <definedName name="Z_B4899975_EBDC_11DA_B6F6_00609720E0A1_.wvu.PrintArea" hidden="1">[13]Presupuesto_Via_distribuidora!$A$557:$I$825</definedName>
    <definedName name="Z_B4899975_EBDC_11DA_B6F6_00609720E0A1_.wvu.PrintTitles" localSheetId="0" hidden="1">[12]Presupuesto_Via_distribuidora!$547:$556</definedName>
    <definedName name="Z_B4899975_EBDC_11DA_B6F6_00609720E0A1_.wvu.PrintTitles" localSheetId="3" hidden="1">[12]Presupuesto_Via_distribuidora!$547:$556</definedName>
    <definedName name="Z_B4899975_EBDC_11DA_B6F6_00609720E0A1_.wvu.PrintTitles" hidden="1">[13]Presupuesto_Via_distribuidora!$547:$556</definedName>
    <definedName name="Z_B4899976_EBDC_11DA_B6F6_00609720E0A1_.wvu.FilterData" localSheetId="0" hidden="1">[12]Presupuesto_Via_distribuidora!$A$9:$H$344</definedName>
    <definedName name="Z_B4899976_EBDC_11DA_B6F6_00609720E0A1_.wvu.FilterData" localSheetId="3" hidden="1">[12]Presupuesto_Via_distribuidora!$A$9:$H$344</definedName>
    <definedName name="Z_B4899976_EBDC_11DA_B6F6_00609720E0A1_.wvu.FilterData" hidden="1">[13]Presupuesto_Via_distribuidora!$A$9:$H$344</definedName>
    <definedName name="Z_B4899976_EBDC_11DA_B6F6_00609720E0A1_.wvu.PrintArea" localSheetId="0" hidden="1">[12]Presupuesto_Via_distribuidora!$A$839:$I$1037</definedName>
    <definedName name="Z_B4899976_EBDC_11DA_B6F6_00609720E0A1_.wvu.PrintArea" localSheetId="3" hidden="1">[12]Presupuesto_Via_distribuidora!$A$839:$I$1037</definedName>
    <definedName name="Z_B4899976_EBDC_11DA_B6F6_00609720E0A1_.wvu.PrintArea" hidden="1">[13]Presupuesto_Via_distribuidora!$A$839:$I$1037</definedName>
    <definedName name="Z_B4899976_EBDC_11DA_B6F6_00609720E0A1_.wvu.PrintTitles" localSheetId="0" hidden="1">[12]Presupuesto_Via_distribuidora!$829:$838</definedName>
    <definedName name="Z_B4899976_EBDC_11DA_B6F6_00609720E0A1_.wvu.PrintTitles" localSheetId="3" hidden="1">[12]Presupuesto_Via_distribuidora!$829:$838</definedName>
    <definedName name="Z_B4899976_EBDC_11DA_B6F6_00609720E0A1_.wvu.PrintTitles" hidden="1">[13]Presupuesto_Via_distribuidora!$829:$838</definedName>
    <definedName name="Z_C24E6469_C4CC_430B_8814_72DD019DF2C8_.wvu.FilterData" localSheetId="0" hidden="1">[12]Presupuesto_Via_distribuidora!$A$9:$H$344</definedName>
    <definedName name="Z_C24E6469_C4CC_430B_8814_72DD019DF2C8_.wvu.FilterData" localSheetId="3" hidden="1">[12]Presupuesto_Via_distribuidora!$A$9:$H$344</definedName>
    <definedName name="Z_C24E6469_C4CC_430B_8814_72DD019DF2C8_.wvu.FilterData" hidden="1">[13]Presupuesto_Via_distribuidora!$A$9:$H$344</definedName>
    <definedName name="Z_C24E6469_C4CC_430B_8814_72DD019DF2C8_.wvu.PrintArea" localSheetId="0" hidden="1">[12]Presupuesto_Via_distribuidora!$A$900:$I$1098</definedName>
    <definedName name="Z_C24E6469_C4CC_430B_8814_72DD019DF2C8_.wvu.PrintArea" localSheetId="3" hidden="1">[12]Presupuesto_Via_distribuidora!$A$900:$I$1098</definedName>
    <definedName name="Z_C24E6469_C4CC_430B_8814_72DD019DF2C8_.wvu.PrintArea" hidden="1">[13]Presupuesto_Via_distribuidora!$A$900:$I$1098</definedName>
    <definedName name="Z_C24E6469_C4CC_430B_8814_72DD019DF2C8_.wvu.PrintTitles" localSheetId="0" hidden="1">[12]Presupuesto_Via_distribuidora!$890:$899</definedName>
    <definedName name="Z_C24E6469_C4CC_430B_8814_72DD019DF2C8_.wvu.PrintTitles" localSheetId="3" hidden="1">[12]Presupuesto_Via_distribuidora!$890:$899</definedName>
    <definedName name="Z_C24E6469_C4CC_430B_8814_72DD019DF2C8_.wvu.PrintTitles" hidden="1">[13]Presupuesto_Via_distribuidora!$890:$899</definedName>
    <definedName name="Z_CA61CA57_E7CE_4A4D_974A_F3124BCA2797_.wvu.FilterData" localSheetId="0" hidden="1">[12]Presupuesto_Via_distribuidora!$A$9:$H$344</definedName>
    <definedName name="Z_CA61CA57_E7CE_4A4D_974A_F3124BCA2797_.wvu.FilterData" localSheetId="3" hidden="1">[12]Presupuesto_Via_distribuidora!$A$9:$H$344</definedName>
    <definedName name="Z_CA61CA57_E7CE_4A4D_974A_F3124BCA2797_.wvu.FilterData" hidden="1">[13]Presupuesto_Via_distribuidora!$A$9:$H$344</definedName>
    <definedName name="Z_CA61CA57_E7CE_4A4D_974A_F3124BCA2797_.wvu.PrintArea" localSheetId="0" hidden="1">[12]Presupuesto_Via_distribuidora!$A$618:$I$886</definedName>
    <definedName name="Z_CA61CA57_E7CE_4A4D_974A_F3124BCA2797_.wvu.PrintArea" localSheetId="3" hidden="1">[12]Presupuesto_Via_distribuidora!$A$618:$I$886</definedName>
    <definedName name="Z_CA61CA57_E7CE_4A4D_974A_F3124BCA2797_.wvu.PrintArea" hidden="1">[13]Presupuesto_Via_distribuidora!$A$618:$I$886</definedName>
    <definedName name="Z_CA61CA57_E7CE_4A4D_974A_F3124BCA2797_.wvu.PrintTitles" localSheetId="0" hidden="1">[12]Presupuesto_Via_distribuidora!$608:$617</definedName>
    <definedName name="Z_CA61CA57_E7CE_4A4D_974A_F3124BCA2797_.wvu.PrintTitles" localSheetId="3" hidden="1">[12]Presupuesto_Via_distribuidora!$608:$617</definedName>
    <definedName name="Z_CA61CA57_E7CE_4A4D_974A_F3124BCA2797_.wvu.PrintTitles" hidden="1">[13]Presupuesto_Via_distribuidora!$608:$617</definedName>
    <definedName name="Z_DA4D5A8F_12FA_42F5_A8BB_526600E97433_.wvu.FilterData" localSheetId="0" hidden="1">[12]Presupuesto_Via_distribuidora!$A$9:$H$344</definedName>
    <definedName name="Z_DA4D5A8F_12FA_42F5_A8BB_526600E97433_.wvu.FilterData" localSheetId="3" hidden="1">[12]Presupuesto_Via_distribuidora!$A$9:$H$344</definedName>
    <definedName name="Z_DA4D5A8F_12FA_42F5_A8BB_526600E97433_.wvu.FilterData" hidden="1">[13]Presupuesto_Via_distribuidora!$A$9:$H$344</definedName>
    <definedName name="Z_DA4D5A8F_12FA_42F5_A8BB_526600E97433_.wvu.PrintArea" localSheetId="0" hidden="1">[12]Presupuesto_Via_distribuidora!$C$1:$H$344</definedName>
    <definedName name="Z_DA4D5A8F_12FA_42F5_A8BB_526600E97433_.wvu.PrintArea" localSheetId="3" hidden="1">[12]Presupuesto_Via_distribuidora!$C$1:$H$344</definedName>
    <definedName name="Z_DA4D5A8F_12FA_42F5_A8BB_526600E97433_.wvu.PrintArea" hidden="1">[13]Presupuesto_Via_distribuidora!$C$1:$H$344</definedName>
    <definedName name="Z_DA4D5A8F_12FA_42F5_A8BB_526600E97433_.wvu.PrintTitles" localSheetId="0" hidden="1">[12]Presupuesto_Via_distribuidora!$2:$8</definedName>
    <definedName name="Z_DA4D5A8F_12FA_42F5_A8BB_526600E97433_.wvu.PrintTitles" localSheetId="3" hidden="1">[12]Presupuesto_Via_distribuidora!$2:$8</definedName>
    <definedName name="Z_DA4D5A8F_12FA_42F5_A8BB_526600E97433_.wvu.PrintTitles" hidden="1">[13]Presupuesto_Via_distribuidora!$2:$8</definedName>
    <definedName name="Z_DFB4C5EB_A8D3_475E_B627_EA98F95F9220_.wvu.FilterData" localSheetId="0" hidden="1">[12]Presupuesto_Via_distribuidora!$A$9:$H$344</definedName>
    <definedName name="Z_DFB4C5EB_A8D3_475E_B627_EA98F95F9220_.wvu.FilterData" localSheetId="3" hidden="1">[12]Presupuesto_Via_distribuidora!$A$9:$H$344</definedName>
    <definedName name="Z_DFB4C5EB_A8D3_475E_B627_EA98F95F9220_.wvu.FilterData" hidden="1">[13]Presupuesto_Via_distribuidora!$A$9:$H$344</definedName>
    <definedName name="Z_DFB4C5EB_A8D3_475E_B627_EA98F95F9220_.wvu.PrintArea" localSheetId="0" hidden="1">[12]Presupuesto_Via_distribuidora!$A$10:$I$208</definedName>
    <definedName name="Z_DFB4C5EB_A8D3_475E_B627_EA98F95F9220_.wvu.PrintArea" localSheetId="3" hidden="1">[12]Presupuesto_Via_distribuidora!$A$10:$I$208</definedName>
    <definedName name="Z_DFB4C5EB_A8D3_475E_B627_EA98F95F9220_.wvu.PrintArea" hidden="1">[13]Presupuesto_Via_distribuidora!$A$10:$I$208</definedName>
    <definedName name="Z_DFB4C5EB_A8D3_475E_B627_EA98F95F9220_.wvu.PrintTitles" localSheetId="0" hidden="1">[12]Presupuesto_Via_distribuidora!$1:$9</definedName>
    <definedName name="Z_DFB4C5EB_A8D3_475E_B627_EA98F95F9220_.wvu.PrintTitles" localSheetId="3" hidden="1">[12]Presupuesto_Via_distribuidora!$1:$9</definedName>
    <definedName name="Z_DFB4C5EB_A8D3_475E_B627_EA98F95F9220_.wvu.PrintTitles" hidden="1">[13]Presupuesto_Via_distribuidora!$1:$9</definedName>
    <definedName name="Z_F2B990A1_57B3_4766_8C3D_4D3A5265BAEF_.wvu.FilterData" localSheetId="0" hidden="1">[12]Presupuesto_Via_distribuidora!$A$9:$H$344</definedName>
    <definedName name="Z_F2B990A1_57B3_4766_8C3D_4D3A5265BAEF_.wvu.FilterData" localSheetId="3" hidden="1">[12]Presupuesto_Via_distribuidora!$A$9:$H$344</definedName>
    <definedName name="Z_F2B990A1_57B3_4766_8C3D_4D3A5265BAEF_.wvu.FilterData" hidden="1">[13]Presupuesto_Via_distribuidora!$A$9:$H$344</definedName>
    <definedName name="Z_F2B990A1_57B3_4766_8C3D_4D3A5265BAEF_.wvu.PrintArea" localSheetId="0" hidden="1">[12]Presupuesto_Via_distribuidora!$C$1:$H$344</definedName>
    <definedName name="Z_F2B990A1_57B3_4766_8C3D_4D3A5265BAEF_.wvu.PrintArea" localSheetId="3" hidden="1">[12]Presupuesto_Via_distribuidora!$C$1:$H$344</definedName>
    <definedName name="Z_F2B990A1_57B3_4766_8C3D_4D3A5265BAEF_.wvu.PrintArea" hidden="1">[13]Presupuesto_Via_distribuidora!$C$1:$H$344</definedName>
    <definedName name="Z_F2B990A1_57B3_4766_8C3D_4D3A5265BAEF_.wvu.PrintTitles" localSheetId="0" hidden="1">[12]Presupuesto_Via_distribuidora!$2:$8</definedName>
    <definedName name="Z_F2B990A1_57B3_4766_8C3D_4D3A5265BAEF_.wvu.PrintTitles" localSheetId="3" hidden="1">[12]Presupuesto_Via_distribuidora!$2:$8</definedName>
    <definedName name="Z_F2B990A1_57B3_4766_8C3D_4D3A5265BAEF_.wvu.PrintTitles" hidden="1">[13]Presupuesto_Via_distribuidora!$2:$8</definedName>
    <definedName name="Z_F9482E1F_92B8_43D8_949A_7DDCF2E63A19_.wvu.FilterData" localSheetId="0" hidden="1">[12]Presupuesto_Via_distribuidora!$A$9:$H$344</definedName>
    <definedName name="Z_F9482E1F_92B8_43D8_949A_7DDCF2E63A19_.wvu.FilterData" localSheetId="3" hidden="1">[12]Presupuesto_Via_distribuidora!$A$9:$H$344</definedName>
    <definedName name="Z_F9482E1F_92B8_43D8_949A_7DDCF2E63A19_.wvu.FilterData" hidden="1">[13]Presupuesto_Via_distribuidora!$A$9:$H$344</definedName>
    <definedName name="Z_F9482E1F_92B8_43D8_949A_7DDCF2E63A19_.wvu.PrintArea" localSheetId="0" hidden="1">[12]Presupuesto_Via_distribuidora!$A$10:$I$208</definedName>
    <definedName name="Z_F9482E1F_92B8_43D8_949A_7DDCF2E63A19_.wvu.PrintArea" localSheetId="3" hidden="1">[12]Presupuesto_Via_distribuidora!$A$10:$I$208</definedName>
    <definedName name="Z_F9482E1F_92B8_43D8_949A_7DDCF2E63A19_.wvu.PrintArea" hidden="1">[13]Presupuesto_Via_distribuidora!$A$10:$I$208</definedName>
    <definedName name="Z_F9482E1F_92B8_43D8_949A_7DDCF2E63A19_.wvu.PrintTitles" localSheetId="0" hidden="1">[12]Presupuesto_Via_distribuidora!$1:$9</definedName>
    <definedName name="Z_F9482E1F_92B8_43D8_949A_7DDCF2E63A19_.wvu.PrintTitles" localSheetId="3" hidden="1">[12]Presupuesto_Via_distribuidora!$1:$9</definedName>
    <definedName name="Z_F9482E1F_92B8_43D8_949A_7DDCF2E63A19_.wvu.PrintTitles" hidden="1">[13]Presupuesto_Via_distribuidora!$1:$9</definedName>
    <definedName name="ZAQ" localSheetId="0"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6" i="2" l="1"/>
  <c r="E3026" i="7"/>
  <c r="B3026" i="7"/>
  <c r="E2972" i="7"/>
  <c r="B2972" i="7"/>
  <c r="C52" i="11"/>
  <c r="B52" i="11"/>
  <c r="A52" i="11"/>
  <c r="F49" i="11"/>
  <c r="E2789" i="7"/>
  <c r="B2789" i="7"/>
  <c r="E2781" i="7"/>
  <c r="B2781" i="7"/>
  <c r="E2732" i="7"/>
  <c r="B2732" i="7"/>
  <c r="E2756" i="7"/>
  <c r="G434" i="8"/>
  <c r="F43" i="11"/>
  <c r="E2645" i="7"/>
  <c r="B2645" i="7"/>
  <c r="E2636" i="7"/>
  <c r="B2636" i="7"/>
  <c r="E2623" i="7"/>
  <c r="B2623" i="7" l="1"/>
  <c r="E434" i="8"/>
  <c r="D434" i="8"/>
  <c r="D426" i="8"/>
  <c r="D2574" i="7"/>
  <c r="F40" i="11"/>
  <c r="E2517" i="7"/>
  <c r="D2517" i="7"/>
  <c r="E2478" i="7"/>
  <c r="F39" i="11"/>
  <c r="F38" i="11"/>
  <c r="F37" i="11"/>
  <c r="E2279" i="7"/>
  <c r="D2279" i="7"/>
  <c r="E2243" i="7"/>
  <c r="E2242" i="7"/>
  <c r="C36" i="11"/>
  <c r="B36" i="11"/>
  <c r="A36" i="11"/>
  <c r="F35" i="11"/>
  <c r="C35" i="11" l="1"/>
  <c r="B35" i="11"/>
  <c r="A35" i="11"/>
  <c r="E2134" i="7"/>
  <c r="D2134" i="7"/>
  <c r="E2097" i="7"/>
  <c r="F34" i="11"/>
  <c r="E1991" i="7"/>
  <c r="D1991" i="7"/>
  <c r="E1959" i="7"/>
  <c r="D1959" i="7"/>
  <c r="B1959" i="7"/>
  <c r="E1871" i="7"/>
  <c r="B1871" i="7"/>
  <c r="D1847" i="7"/>
  <c r="E1847" i="7"/>
  <c r="E1810" i="7"/>
  <c r="J12" i="4"/>
  <c r="F27" i="11"/>
  <c r="G1667" i="7"/>
  <c r="F26" i="11"/>
  <c r="D410" i="8"/>
  <c r="J22" i="4"/>
  <c r="I9" i="4"/>
  <c r="I11" i="4"/>
  <c r="I7" i="4"/>
  <c r="I8" i="4"/>
  <c r="I4" i="4"/>
  <c r="C22" i="11" l="1"/>
  <c r="B22" i="11"/>
  <c r="A22" i="11"/>
  <c r="F21" i="11"/>
  <c r="F20" i="11"/>
  <c r="F16" i="11"/>
  <c r="C16" i="11"/>
  <c r="B16" i="11"/>
  <c r="A16" i="11"/>
  <c r="F15" i="11"/>
  <c r="C15" i="11"/>
  <c r="B15" i="11"/>
  <c r="A15" i="11"/>
  <c r="B588" i="7"/>
  <c r="C11" i="11"/>
  <c r="B11" i="11"/>
  <c r="A11" i="11"/>
  <c r="E333" i="7"/>
  <c r="D333" i="7"/>
  <c r="E301" i="7"/>
  <c r="B301" i="7"/>
  <c r="D284" i="7"/>
  <c r="F7" i="11"/>
  <c r="F6" i="11"/>
  <c r="C6" i="11"/>
  <c r="B6" i="11"/>
  <c r="A6" i="11"/>
  <c r="F5" i="11"/>
  <c r="C5" i="11"/>
  <c r="B5" i="11"/>
  <c r="A5" i="11"/>
  <c r="F3" i="11" l="1"/>
  <c r="D1351" i="7"/>
  <c r="E237" i="7"/>
  <c r="E1245" i="7"/>
  <c r="E1197" i="7"/>
  <c r="E1159" i="7"/>
  <c r="F1126" i="7"/>
  <c r="E789" i="7"/>
  <c r="B789" i="7"/>
  <c r="D765" i="7"/>
  <c r="E765" i="7"/>
  <c r="E728" i="7"/>
  <c r="E597" i="7"/>
  <c r="B597" i="7"/>
  <c r="E549" i="7"/>
  <c r="B549" i="7"/>
  <c r="J1" i="4"/>
  <c r="E525" i="7"/>
  <c r="E437" i="8"/>
  <c r="E257" i="8"/>
  <c r="D257" i="8"/>
  <c r="E487" i="7"/>
  <c r="B487" i="7"/>
  <c r="E444" i="7"/>
  <c r="B444" i="7"/>
  <c r="E443" i="7"/>
  <c r="B443" i="7"/>
  <c r="E442" i="7"/>
  <c r="E441" i="7"/>
  <c r="B442" i="7"/>
  <c r="B441" i="7"/>
  <c r="E440" i="7"/>
  <c r="B440" i="7"/>
  <c r="F392" i="7"/>
  <c r="E395" i="7"/>
  <c r="B395" i="7"/>
  <c r="D140" i="8"/>
  <c r="D139" i="8"/>
  <c r="E392" i="7" s="1"/>
  <c r="B392" i="7"/>
  <c r="E394" i="7" l="1"/>
  <c r="C394" i="7"/>
  <c r="B394" i="7"/>
  <c r="E393" i="7"/>
  <c r="B393" i="7"/>
  <c r="C392" i="7"/>
  <c r="I12" i="4"/>
  <c r="I10" i="4"/>
  <c r="J4" i="4"/>
  <c r="K61" i="4"/>
  <c r="J28" i="4"/>
  <c r="J29" i="4"/>
  <c r="E69" i="7" l="1"/>
  <c r="B69" i="7"/>
  <c r="B81" i="6"/>
  <c r="E47" i="2"/>
  <c r="E37" i="2"/>
  <c r="D2611" i="7" l="1"/>
  <c r="F438" i="8"/>
  <c r="E2574" i="7"/>
  <c r="D68" i="2" l="1"/>
  <c r="D67" i="2"/>
  <c r="D65" i="2"/>
  <c r="D2289" i="7"/>
  <c r="D2291" i="7"/>
  <c r="C1990" i="7"/>
  <c r="D1990" i="7"/>
  <c r="E1990" i="7"/>
  <c r="B1990" i="7"/>
  <c r="C1967" i="7"/>
  <c r="D1967" i="7"/>
  <c r="B1954" i="7"/>
  <c r="C1954" i="7"/>
  <c r="D1954" i="7"/>
  <c r="E1954" i="7"/>
  <c r="B1955" i="7"/>
  <c r="C1955" i="7"/>
  <c r="D1955" i="7"/>
  <c r="E1955" i="7"/>
  <c r="B1956" i="7"/>
  <c r="C1956" i="7"/>
  <c r="D1956" i="7"/>
  <c r="E1956" i="7"/>
  <c r="B1957" i="7"/>
  <c r="C1957" i="7"/>
  <c r="D1957" i="7"/>
  <c r="E1957" i="7"/>
  <c r="B1958" i="7"/>
  <c r="C1958" i="7"/>
  <c r="D1958" i="7"/>
  <c r="E1958" i="7"/>
  <c r="C1953" i="7"/>
  <c r="D1953" i="7"/>
  <c r="B1953" i="7"/>
  <c r="B1942" i="7"/>
  <c r="C1942" i="7"/>
  <c r="D1942" i="7"/>
  <c r="E1942" i="7"/>
  <c r="E1919" i="7"/>
  <c r="C1905" i="7"/>
  <c r="D1905" i="7"/>
  <c r="B1905" i="7"/>
  <c r="D1765" i="7" l="1"/>
  <c r="D1725" i="7"/>
  <c r="D1724" i="7"/>
  <c r="D1720" i="7"/>
  <c r="D1721" i="7"/>
  <c r="D1675" i="7"/>
  <c r="D1638" i="7"/>
  <c r="D1635" i="7"/>
  <c r="D1633" i="7"/>
  <c r="E1632" i="7"/>
  <c r="D1632" i="7"/>
  <c r="B1632" i="7"/>
  <c r="D1605" i="7"/>
  <c r="D1606" i="7"/>
  <c r="D1607" i="7"/>
  <c r="D1608" i="7"/>
  <c r="D1609" i="7"/>
  <c r="D1610" i="7"/>
  <c r="D1611" i="7"/>
  <c r="D1612" i="7"/>
  <c r="D1613" i="7"/>
  <c r="D1614" i="7"/>
  <c r="D1604" i="7"/>
  <c r="D1560" i="7"/>
  <c r="D1561" i="7"/>
  <c r="D1562" i="7"/>
  <c r="D1563" i="7"/>
  <c r="D1564" i="7"/>
  <c r="D1565" i="7"/>
  <c r="D1566" i="7"/>
  <c r="D1567" i="7"/>
  <c r="D1568" i="7"/>
  <c r="D1569" i="7"/>
  <c r="D1559" i="7"/>
  <c r="D263" i="8"/>
  <c r="D812" i="7" l="1"/>
  <c r="B1204" i="7"/>
  <c r="F1204" i="7"/>
  <c r="B1202" i="7"/>
  <c r="B1203" i="7"/>
  <c r="E1203" i="7"/>
  <c r="F1203" i="7"/>
  <c r="B1205" i="7"/>
  <c r="C1205" i="7"/>
  <c r="D1205" i="7"/>
  <c r="E1205" i="7"/>
  <c r="F1205" i="7"/>
  <c r="B1206" i="7"/>
  <c r="B1207" i="7"/>
  <c r="C1207" i="7"/>
  <c r="D1207" i="7"/>
  <c r="E1207" i="7"/>
  <c r="F1207" i="7"/>
  <c r="B1208" i="7"/>
  <c r="C1208" i="7"/>
  <c r="D1208" i="7"/>
  <c r="E1208" i="7"/>
  <c r="F1208" i="7"/>
  <c r="F1209" i="7"/>
  <c r="F1210" i="7"/>
  <c r="F1211" i="7"/>
  <c r="F1212" i="7"/>
  <c r="F1213" i="7"/>
  <c r="F1214" i="7"/>
  <c r="F1215" i="7"/>
  <c r="F1216" i="7"/>
  <c r="F1217" i="7"/>
  <c r="F1218" i="7"/>
  <c r="B1219" i="7"/>
  <c r="F1219" i="7"/>
  <c r="B1220" i="7"/>
  <c r="C1221" i="7"/>
  <c r="D1221" i="7"/>
  <c r="F1222" i="7"/>
  <c r="F1223" i="7"/>
  <c r="F1224" i="7"/>
  <c r="B1225" i="7"/>
  <c r="B1226" i="7"/>
  <c r="B1227" i="7"/>
  <c r="C1227" i="7"/>
  <c r="D1227" i="7"/>
  <c r="B1228" i="7"/>
  <c r="B1229" i="7"/>
  <c r="B1230" i="7"/>
  <c r="C1230" i="7"/>
  <c r="D1230" i="7"/>
  <c r="E1230" i="7"/>
  <c r="F1230" i="7"/>
  <c r="B1231" i="7"/>
  <c r="C1231" i="7"/>
  <c r="D1231" i="7"/>
  <c r="E1231" i="7"/>
  <c r="F1231" i="7"/>
  <c r="B1232" i="7"/>
  <c r="C1232" i="7"/>
  <c r="D1232" i="7"/>
  <c r="E1232" i="7"/>
  <c r="F1232" i="7"/>
  <c r="F1233" i="7"/>
  <c r="F1234" i="7"/>
  <c r="F1235" i="7"/>
  <c r="F1236" i="7"/>
  <c r="F1237" i="7"/>
  <c r="F1238" i="7"/>
  <c r="F1239" i="7"/>
  <c r="F1240" i="7"/>
  <c r="F1241" i="7"/>
  <c r="B1242" i="7"/>
  <c r="B1243" i="7"/>
  <c r="B1244" i="7"/>
  <c r="C1244" i="7"/>
  <c r="D1244" i="7"/>
  <c r="E1244" i="7"/>
  <c r="F1244" i="7"/>
  <c r="B1245" i="7"/>
  <c r="C1245" i="7"/>
  <c r="D1245" i="7"/>
  <c r="F1246" i="7"/>
  <c r="B1247" i="7"/>
  <c r="B1248" i="7"/>
  <c r="J6" i="4" l="1"/>
  <c r="B1111" i="7"/>
  <c r="E589" i="7"/>
  <c r="B589" i="7"/>
  <c r="E588" i="7"/>
  <c r="E587" i="7"/>
  <c r="B587" i="7"/>
  <c r="E309" i="7"/>
  <c r="E1967" i="7" s="1"/>
  <c r="B309" i="7"/>
  <c r="B1967" i="7" s="1"/>
  <c r="E199" i="7"/>
  <c r="I5" i="4"/>
  <c r="D127" i="7" l="1"/>
  <c r="E140" i="7"/>
  <c r="E92" i="7"/>
  <c r="J76" i="3" l="1"/>
  <c r="D55" i="2" l="1"/>
  <c r="D32" i="2"/>
  <c r="D2038" i="7"/>
  <c r="F2038" i="7" s="1"/>
  <c r="E2028" i="7"/>
  <c r="B2028" i="7"/>
  <c r="B2027" i="7"/>
  <c r="E2026" i="7"/>
  <c r="F2026" i="7" s="1"/>
  <c r="B2026" i="7"/>
  <c r="E2025" i="7"/>
  <c r="F2025" i="7" s="1"/>
  <c r="B2025" i="7"/>
  <c r="B2024" i="7"/>
  <c r="B2015" i="7"/>
  <c r="B2001" i="7"/>
  <c r="F1998" i="7"/>
  <c r="E1998" i="7"/>
  <c r="B1998" i="7"/>
  <c r="F1950" i="7"/>
  <c r="E1950" i="7"/>
  <c r="F1902" i="7"/>
  <c r="E1902" i="7"/>
  <c r="B1902" i="7"/>
  <c r="F2040" i="7"/>
  <c r="F2039" i="7"/>
  <c r="F2035" i="7"/>
  <c r="F2034" i="7"/>
  <c r="F2033" i="7"/>
  <c r="F2032" i="7"/>
  <c r="F2031" i="7"/>
  <c r="F2030" i="7"/>
  <c r="F2029" i="7"/>
  <c r="F2028" i="7"/>
  <c r="F2018" i="7"/>
  <c r="F2017" i="7"/>
  <c r="F2016" i="7"/>
  <c r="F2012" i="7"/>
  <c r="F2011" i="7"/>
  <c r="F2010" i="7"/>
  <c r="F2009" i="7"/>
  <c r="F2008" i="7"/>
  <c r="F2007" i="7"/>
  <c r="F2006" i="7"/>
  <c r="F2005" i="7"/>
  <c r="F2004" i="7"/>
  <c r="F2003" i="7"/>
  <c r="F2002" i="7"/>
  <c r="F1992" i="7"/>
  <c r="F1991" i="7"/>
  <c r="F1990" i="7"/>
  <c r="F1987" i="7"/>
  <c r="F1986" i="7"/>
  <c r="F1985" i="7"/>
  <c r="F1984" i="7"/>
  <c r="F1983" i="7"/>
  <c r="F1982" i="7"/>
  <c r="F1981" i="7"/>
  <c r="F1980" i="7"/>
  <c r="F1979" i="7"/>
  <c r="F1978" i="7"/>
  <c r="F1977" i="7"/>
  <c r="F1976" i="7"/>
  <c r="F1970" i="7"/>
  <c r="F1969" i="7"/>
  <c r="F1968" i="7"/>
  <c r="F1967" i="7"/>
  <c r="F1964" i="7"/>
  <c r="F1963" i="7"/>
  <c r="F1962" i="7"/>
  <c r="F1961" i="7"/>
  <c r="F1960" i="7"/>
  <c r="F1959" i="7"/>
  <c r="F1958" i="7"/>
  <c r="F1957" i="7"/>
  <c r="F1956" i="7"/>
  <c r="F1955" i="7"/>
  <c r="F1954" i="7"/>
  <c r="F1944" i="7"/>
  <c r="F1943" i="7"/>
  <c r="F1942" i="7"/>
  <c r="F1939" i="7"/>
  <c r="F1938" i="7"/>
  <c r="F1937" i="7"/>
  <c r="F1936" i="7"/>
  <c r="F1935" i="7"/>
  <c r="F1934" i="7"/>
  <c r="F1933" i="7"/>
  <c r="F1932" i="7"/>
  <c r="F1931" i="7"/>
  <c r="F1930" i="7"/>
  <c r="F1929" i="7"/>
  <c r="F1928" i="7"/>
  <c r="F1922" i="7"/>
  <c r="F1921" i="7"/>
  <c r="F1920" i="7"/>
  <c r="F1919" i="7"/>
  <c r="F1916" i="7"/>
  <c r="F1915" i="7"/>
  <c r="F1914" i="7"/>
  <c r="F1913" i="7"/>
  <c r="F1912" i="7"/>
  <c r="F1911" i="7"/>
  <c r="F1910" i="7"/>
  <c r="F1909" i="7"/>
  <c r="F1908" i="7"/>
  <c r="F1907" i="7"/>
  <c r="F1906" i="7"/>
  <c r="E1149" i="7"/>
  <c r="D1149" i="7"/>
  <c r="B1149" i="7"/>
  <c r="E1140" i="7"/>
  <c r="B1140" i="7"/>
  <c r="B1139" i="7"/>
  <c r="F215" i="8"/>
  <c r="F217" i="8"/>
  <c r="F218" i="8"/>
  <c r="B1138" i="7"/>
  <c r="E1137" i="7"/>
  <c r="B1137" i="7"/>
  <c r="B1136" i="7"/>
  <c r="E1135" i="7"/>
  <c r="B1135" i="7"/>
  <c r="E1134" i="7"/>
  <c r="B1134" i="7"/>
  <c r="E2027" i="7" l="1"/>
  <c r="F2027" i="7" s="1"/>
  <c r="E1138" i="7"/>
  <c r="E1139" i="7"/>
  <c r="F1923" i="7"/>
  <c r="E1925" i="7" s="1"/>
  <c r="F1925" i="7" s="1"/>
  <c r="F1926" i="7" s="1"/>
  <c r="F1945" i="7"/>
  <c r="F1993" i="7"/>
  <c r="F1940" i="7"/>
  <c r="F1971" i="7"/>
  <c r="E1973" i="7" s="1"/>
  <c r="F1973" i="7" s="1"/>
  <c r="F1974" i="7" s="1"/>
  <c r="F1988" i="7"/>
  <c r="F2041" i="7"/>
  <c r="B1125" i="7" l="1"/>
  <c r="D1111" i="7"/>
  <c r="D1148" i="7" s="1"/>
  <c r="D1116" i="7"/>
  <c r="B1116" i="7"/>
  <c r="D1115" i="7"/>
  <c r="B1115" i="7"/>
  <c r="E1114" i="7"/>
  <c r="B1114" i="7"/>
  <c r="E1113" i="7"/>
  <c r="B1113" i="7"/>
  <c r="E1112" i="7"/>
  <c r="B1112" i="7"/>
  <c r="F1108" i="7"/>
  <c r="E1108" i="7"/>
  <c r="B1108" i="7" l="1"/>
  <c r="F1150" i="7" l="1"/>
  <c r="F1149" i="7"/>
  <c r="F1148" i="7"/>
  <c r="F1145" i="7"/>
  <c r="F1144" i="7"/>
  <c r="F1143" i="7"/>
  <c r="F1142" i="7"/>
  <c r="F1141" i="7"/>
  <c r="F1140" i="7"/>
  <c r="F1139" i="7"/>
  <c r="F1138" i="7"/>
  <c r="F1137" i="7"/>
  <c r="F1135" i="7"/>
  <c r="F1134" i="7"/>
  <c r="F1128" i="7"/>
  <c r="F1127" i="7"/>
  <c r="F1122" i="7"/>
  <c r="F1121" i="7"/>
  <c r="F1120" i="7"/>
  <c r="F1119" i="7"/>
  <c r="F1118" i="7"/>
  <c r="F1117" i="7"/>
  <c r="F1114" i="7"/>
  <c r="F1113" i="7"/>
  <c r="F1112" i="7"/>
  <c r="D43" i="2"/>
  <c r="D46" i="2"/>
  <c r="B1597" i="7"/>
  <c r="B1596" i="7"/>
  <c r="D1584" i="7"/>
  <c r="D1585" i="7" s="1"/>
  <c r="F1151" i="7" l="1"/>
  <c r="F1581" i="7" l="1"/>
  <c r="E1581" i="7"/>
  <c r="B1581" i="7"/>
  <c r="F1620" i="7"/>
  <c r="F1619" i="7"/>
  <c r="F1615" i="7"/>
  <c r="F1598" i="7"/>
  <c r="D1593" i="7"/>
  <c r="D45" i="2"/>
  <c r="D1618" i="7" l="1"/>
  <c r="F1618" i="7" s="1"/>
  <c r="F1621" i="7" s="1"/>
  <c r="B3017" i="7" l="1"/>
  <c r="F3000" i="7"/>
  <c r="E3000" i="7"/>
  <c r="B3000" i="7"/>
  <c r="E2992" i="7"/>
  <c r="B2983" i="7"/>
  <c r="E2982" i="7"/>
  <c r="F2982" i="7" s="1"/>
  <c r="B2982" i="7"/>
  <c r="E2981" i="7"/>
  <c r="F2981" i="7" s="1"/>
  <c r="B2981" i="7"/>
  <c r="E2965" i="7"/>
  <c r="F2965" i="7" s="1"/>
  <c r="B2965" i="7"/>
  <c r="D2964" i="7"/>
  <c r="B2964" i="7"/>
  <c r="B2963" i="7"/>
  <c r="B2962" i="7"/>
  <c r="B2961" i="7"/>
  <c r="B2960" i="7"/>
  <c r="B2959" i="7"/>
  <c r="D2958" i="7"/>
  <c r="D2960" i="7" s="1"/>
  <c r="B2958" i="7"/>
  <c r="F2955" i="7"/>
  <c r="E2955" i="7"/>
  <c r="B2955" i="7"/>
  <c r="F3234" i="7"/>
  <c r="F3233" i="7"/>
  <c r="F3232" i="7"/>
  <c r="F3229" i="7"/>
  <c r="F3228" i="7"/>
  <c r="F3227" i="7"/>
  <c r="F3226" i="7"/>
  <c r="F3225" i="7"/>
  <c r="F3224" i="7"/>
  <c r="F3223" i="7"/>
  <c r="F3222" i="7"/>
  <c r="F3221" i="7"/>
  <c r="F3220" i="7"/>
  <c r="F3219" i="7"/>
  <c r="F3218" i="7"/>
  <c r="F3212" i="7"/>
  <c r="F3211" i="7"/>
  <c r="F3210" i="7"/>
  <c r="E3209" i="7"/>
  <c r="F3209" i="7" s="1"/>
  <c r="B3209" i="7"/>
  <c r="F3206" i="7"/>
  <c r="F3205" i="7"/>
  <c r="F3204" i="7"/>
  <c r="F3203" i="7"/>
  <c r="F3202" i="7"/>
  <c r="F3201" i="7"/>
  <c r="F3200" i="7"/>
  <c r="F3199" i="7"/>
  <c r="F3198" i="7"/>
  <c r="F3197" i="7"/>
  <c r="F3196" i="7"/>
  <c r="F3195" i="7"/>
  <c r="F3192" i="7"/>
  <c r="E3192" i="7"/>
  <c r="B3192" i="7"/>
  <c r="F3186" i="7"/>
  <c r="F3185" i="7"/>
  <c r="F3184" i="7"/>
  <c r="F3181" i="7"/>
  <c r="F3180" i="7"/>
  <c r="F3179" i="7"/>
  <c r="F3178" i="7"/>
  <c r="F3177" i="7"/>
  <c r="F3176" i="7"/>
  <c r="F3175" i="7"/>
  <c r="F3174" i="7"/>
  <c r="F3173" i="7"/>
  <c r="F3172" i="7"/>
  <c r="F3171" i="7"/>
  <c r="F3170" i="7"/>
  <c r="F3164" i="7"/>
  <c r="F3163" i="7"/>
  <c r="F3162" i="7"/>
  <c r="E3161" i="7"/>
  <c r="F3161" i="7" s="1"/>
  <c r="B3161" i="7"/>
  <c r="F3158" i="7"/>
  <c r="F3157" i="7"/>
  <c r="F3156" i="7"/>
  <c r="F3155" i="7"/>
  <c r="F3154" i="7"/>
  <c r="F3153" i="7"/>
  <c r="F3152" i="7"/>
  <c r="F3151" i="7"/>
  <c r="F3150" i="7"/>
  <c r="F3149" i="7"/>
  <c r="F3148" i="7"/>
  <c r="F3147" i="7"/>
  <c r="F3144" i="7"/>
  <c r="E3144" i="7"/>
  <c r="B3144" i="7"/>
  <c r="F3138" i="7"/>
  <c r="F3137" i="7"/>
  <c r="F3136" i="7"/>
  <c r="F3133" i="7"/>
  <c r="F3132" i="7"/>
  <c r="F3131" i="7"/>
  <c r="F3130" i="7"/>
  <c r="F3129" i="7"/>
  <c r="F3128" i="7"/>
  <c r="F3127" i="7"/>
  <c r="F3126" i="7"/>
  <c r="F3125" i="7"/>
  <c r="F3124" i="7"/>
  <c r="F3123" i="7"/>
  <c r="F3122" i="7"/>
  <c r="F3116" i="7"/>
  <c r="F3115" i="7"/>
  <c r="F3114" i="7"/>
  <c r="E3113" i="7"/>
  <c r="F3113" i="7" s="1"/>
  <c r="B3113" i="7"/>
  <c r="F3110" i="7"/>
  <c r="F3109" i="7"/>
  <c r="F3108" i="7"/>
  <c r="F3107" i="7"/>
  <c r="F3106" i="7"/>
  <c r="F3105" i="7"/>
  <c r="F3104" i="7"/>
  <c r="F3103" i="7"/>
  <c r="F3102" i="7"/>
  <c r="F3101" i="7"/>
  <c r="F3100" i="7"/>
  <c r="F3099" i="7"/>
  <c r="F3096" i="7"/>
  <c r="E3096" i="7"/>
  <c r="B3096" i="7"/>
  <c r="B2924" i="7"/>
  <c r="E2910" i="7"/>
  <c r="F2910" i="7" s="1"/>
  <c r="B2910" i="7"/>
  <c r="F2907" i="7"/>
  <c r="E2907" i="7"/>
  <c r="B2907" i="7"/>
  <c r="B2876" i="7"/>
  <c r="E2868" i="7"/>
  <c r="F2868" i="7" s="1"/>
  <c r="B2868" i="7"/>
  <c r="B2867" i="7"/>
  <c r="B2866" i="7"/>
  <c r="B2865" i="7"/>
  <c r="B2864" i="7"/>
  <c r="E2863" i="7"/>
  <c r="F2863" i="7" s="1"/>
  <c r="B2863" i="7"/>
  <c r="D525" i="8"/>
  <c r="B2862" i="7"/>
  <c r="F2859" i="7"/>
  <c r="E2859" i="7"/>
  <c r="B2859" i="7"/>
  <c r="B2828" i="7"/>
  <c r="F2811" i="7"/>
  <c r="E2811" i="7"/>
  <c r="B2811" i="7"/>
  <c r="B2780" i="7"/>
  <c r="F2763" i="7"/>
  <c r="E2763" i="7"/>
  <c r="B2763" i="7"/>
  <c r="B2756" i="7"/>
  <c r="E2741" i="7"/>
  <c r="B2741" i="7"/>
  <c r="F3090" i="7"/>
  <c r="F3089" i="7"/>
  <c r="F3088" i="7"/>
  <c r="F3085" i="7"/>
  <c r="F3084" i="7"/>
  <c r="F3083" i="7"/>
  <c r="F3082" i="7"/>
  <c r="F3081" i="7"/>
  <c r="F3080" i="7"/>
  <c r="F3079" i="7"/>
  <c r="F3078" i="7"/>
  <c r="F3077" i="7"/>
  <c r="F3076" i="7"/>
  <c r="F3075" i="7"/>
  <c r="F3074" i="7"/>
  <c r="F3068" i="7"/>
  <c r="F3067" i="7"/>
  <c r="F3066" i="7"/>
  <c r="E3065" i="7"/>
  <c r="F3065" i="7" s="1"/>
  <c r="B3065" i="7"/>
  <c r="F3062" i="7"/>
  <c r="F3061" i="7"/>
  <c r="F3060" i="7"/>
  <c r="F3059" i="7"/>
  <c r="F3058" i="7"/>
  <c r="F3057" i="7"/>
  <c r="F3056" i="7"/>
  <c r="F3055" i="7"/>
  <c r="F3054" i="7"/>
  <c r="F3053" i="7"/>
  <c r="F3052" i="7"/>
  <c r="F3051" i="7"/>
  <c r="F3048" i="7"/>
  <c r="E3048" i="7"/>
  <c r="B3048" i="7"/>
  <c r="F3042" i="7"/>
  <c r="F3041" i="7"/>
  <c r="F3040" i="7"/>
  <c r="F3037" i="7"/>
  <c r="F3036" i="7"/>
  <c r="F3035" i="7"/>
  <c r="F3034" i="7"/>
  <c r="F3033" i="7"/>
  <c r="F3032" i="7"/>
  <c r="F3031" i="7"/>
  <c r="F3030" i="7"/>
  <c r="F3029" i="7"/>
  <c r="F3028" i="7"/>
  <c r="F3027" i="7"/>
  <c r="F3026" i="7"/>
  <c r="F3020" i="7"/>
  <c r="F3019" i="7"/>
  <c r="F3018" i="7"/>
  <c r="F3014" i="7"/>
  <c r="F3013" i="7"/>
  <c r="F3012" i="7"/>
  <c r="F3011" i="7"/>
  <c r="F3010" i="7"/>
  <c r="F3009" i="7"/>
  <c r="F3008" i="7"/>
  <c r="F3007" i="7"/>
  <c r="F3006" i="7"/>
  <c r="F3005" i="7"/>
  <c r="F3004" i="7"/>
  <c r="F3003" i="7"/>
  <c r="F2994" i="7"/>
  <c r="F2993" i="7"/>
  <c r="F2989" i="7"/>
  <c r="F2988" i="7"/>
  <c r="F2987" i="7"/>
  <c r="F2986" i="7"/>
  <c r="F2985" i="7"/>
  <c r="F2984" i="7"/>
  <c r="F2975" i="7"/>
  <c r="F2974" i="7"/>
  <c r="F2973" i="7"/>
  <c r="F2969" i="7"/>
  <c r="F2968" i="7"/>
  <c r="F2967" i="7"/>
  <c r="F2966" i="7"/>
  <c r="F2949" i="7"/>
  <c r="F2948" i="7"/>
  <c r="F2947" i="7"/>
  <c r="F2944" i="7"/>
  <c r="F2943" i="7"/>
  <c r="F2942" i="7"/>
  <c r="F2941" i="7"/>
  <c r="F2940" i="7"/>
  <c r="F2939" i="7"/>
  <c r="F2938" i="7"/>
  <c r="F2937" i="7"/>
  <c r="F2936" i="7"/>
  <c r="F2935" i="7"/>
  <c r="F2934" i="7"/>
  <c r="F2933" i="7"/>
  <c r="F2927" i="7"/>
  <c r="F2926" i="7"/>
  <c r="F2925" i="7"/>
  <c r="F2921" i="7"/>
  <c r="F2920" i="7"/>
  <c r="F2919" i="7"/>
  <c r="F2918" i="7"/>
  <c r="F2917" i="7"/>
  <c r="F2916" i="7"/>
  <c r="F2915" i="7"/>
  <c r="F2914" i="7"/>
  <c r="F2913" i="7"/>
  <c r="F2912" i="7"/>
  <c r="F2911" i="7"/>
  <c r="F2901" i="7"/>
  <c r="F2900" i="7"/>
  <c r="F2899" i="7"/>
  <c r="F2896" i="7"/>
  <c r="F2895" i="7"/>
  <c r="F2894" i="7"/>
  <c r="F2893" i="7"/>
  <c r="F2892" i="7"/>
  <c r="F2891" i="7"/>
  <c r="F2890" i="7"/>
  <c r="F2889" i="7"/>
  <c r="F2888" i="7"/>
  <c r="F2887" i="7"/>
  <c r="F2886" i="7"/>
  <c r="F2885" i="7"/>
  <c r="F2879" i="7"/>
  <c r="F2878" i="7"/>
  <c r="F2877" i="7"/>
  <c r="F2873" i="7"/>
  <c r="F2872" i="7"/>
  <c r="F2871" i="7"/>
  <c r="F2870" i="7"/>
  <c r="F2869" i="7"/>
  <c r="F3117" i="7" l="1"/>
  <c r="E3119" i="7" s="1"/>
  <c r="F3119" i="7" s="1"/>
  <c r="F3120" i="7" s="1"/>
  <c r="F3187" i="7"/>
  <c r="D2959" i="7"/>
  <c r="F3063" i="7"/>
  <c r="F3134" i="7"/>
  <c r="F2922" i="7"/>
  <c r="F2945" i="7"/>
  <c r="F3069" i="7"/>
  <c r="E3071" i="7" s="1"/>
  <c r="F3071" i="7" s="1"/>
  <c r="F3072" i="7" s="1"/>
  <c r="F3086" i="7"/>
  <c r="F3091" i="7"/>
  <c r="F3139" i="7"/>
  <c r="F3207" i="7"/>
  <c r="D2992" i="7"/>
  <c r="F2992" i="7" s="1"/>
  <c r="F2995" i="7" s="1"/>
  <c r="F2897" i="7"/>
  <c r="F2902" i="7"/>
  <c r="F3015" i="7"/>
  <c r="F3038" i="7"/>
  <c r="F3043" i="7"/>
  <c r="F3159" i="7"/>
  <c r="F3213" i="7"/>
  <c r="E3215" i="7" s="1"/>
  <c r="F3215" i="7" s="1"/>
  <c r="F3216" i="7" s="1"/>
  <c r="F3230" i="7"/>
  <c r="F3235" i="7"/>
  <c r="F3111" i="7"/>
  <c r="F3165" i="7"/>
  <c r="E3167" i="7" s="1"/>
  <c r="F3167" i="7" s="1"/>
  <c r="F3168" i="7" s="1"/>
  <c r="F3182" i="7"/>
  <c r="F2950" i="7"/>
  <c r="F3140" i="7" l="1"/>
  <c r="F3092" i="7"/>
  <c r="F3236" i="7"/>
  <c r="F3188" i="7"/>
  <c r="F2715" i="7" l="1"/>
  <c r="E2715" i="7"/>
  <c r="B2715" i="7"/>
  <c r="F2853" i="7"/>
  <c r="F2852" i="7"/>
  <c r="F2851" i="7"/>
  <c r="F2848" i="7"/>
  <c r="F2847" i="7"/>
  <c r="F2846" i="7"/>
  <c r="F2845" i="7"/>
  <c r="F2844" i="7"/>
  <c r="F2843" i="7"/>
  <c r="F2842" i="7"/>
  <c r="F2841" i="7"/>
  <c r="F2840" i="7"/>
  <c r="F2839" i="7"/>
  <c r="F2838" i="7"/>
  <c r="F2837" i="7"/>
  <c r="F2831" i="7"/>
  <c r="F2830" i="7"/>
  <c r="F2829" i="7"/>
  <c r="F2825" i="7"/>
  <c r="F2824" i="7"/>
  <c r="F2823" i="7"/>
  <c r="F2822" i="7"/>
  <c r="F2821" i="7"/>
  <c r="F2820" i="7"/>
  <c r="F2819" i="7"/>
  <c r="F2818" i="7"/>
  <c r="F2817" i="7"/>
  <c r="F2816" i="7"/>
  <c r="F2815" i="7"/>
  <c r="F2814" i="7"/>
  <c r="F2805" i="7"/>
  <c r="F2804" i="7"/>
  <c r="F2800" i="7"/>
  <c r="F2799" i="7"/>
  <c r="F2798" i="7"/>
  <c r="F2797" i="7"/>
  <c r="F2796" i="7"/>
  <c r="F2795" i="7"/>
  <c r="F2794" i="7"/>
  <c r="F2793" i="7"/>
  <c r="F2792" i="7"/>
  <c r="F2791" i="7"/>
  <c r="F2790" i="7"/>
  <c r="F2789" i="7"/>
  <c r="F2783" i="7"/>
  <c r="F2782" i="7"/>
  <c r="F2781" i="7"/>
  <c r="F2777" i="7"/>
  <c r="F2776" i="7"/>
  <c r="F2775" i="7"/>
  <c r="F2774" i="7"/>
  <c r="F2773" i="7"/>
  <c r="F2772" i="7"/>
  <c r="F2771" i="7"/>
  <c r="F2770" i="7"/>
  <c r="F2769" i="7"/>
  <c r="F2768" i="7"/>
  <c r="F2767" i="7"/>
  <c r="F2766" i="7"/>
  <c r="F2757" i="7"/>
  <c r="F2756" i="7"/>
  <c r="F2755" i="7"/>
  <c r="F2752" i="7"/>
  <c r="F2751" i="7"/>
  <c r="F2750" i="7"/>
  <c r="F2749" i="7"/>
  <c r="F2748" i="7"/>
  <c r="F2747" i="7"/>
  <c r="F2746" i="7"/>
  <c r="F2745" i="7"/>
  <c r="F2744" i="7"/>
  <c r="F2743" i="7"/>
  <c r="F2742" i="7"/>
  <c r="F2741" i="7"/>
  <c r="F2735" i="7"/>
  <c r="F2734" i="7"/>
  <c r="F2733" i="7"/>
  <c r="F2729" i="7"/>
  <c r="F2728" i="7"/>
  <c r="F2727" i="7"/>
  <c r="F2726" i="7"/>
  <c r="F2725" i="7"/>
  <c r="F2724" i="7"/>
  <c r="F2723" i="7"/>
  <c r="F2722" i="7"/>
  <c r="F2721" i="7"/>
  <c r="F2720" i="7"/>
  <c r="F2719" i="7"/>
  <c r="F2718" i="7"/>
  <c r="B2684" i="7"/>
  <c r="F2667" i="7"/>
  <c r="E2667" i="7"/>
  <c r="B2667" i="7"/>
  <c r="B608" i="7"/>
  <c r="E607" i="7"/>
  <c r="F607" i="7" s="1"/>
  <c r="B607" i="7"/>
  <c r="E606" i="7"/>
  <c r="B606" i="7"/>
  <c r="E586" i="7"/>
  <c r="F586" i="7" s="1"/>
  <c r="B586" i="7"/>
  <c r="D585" i="7"/>
  <c r="B585" i="7"/>
  <c r="B584" i="7"/>
  <c r="D583" i="7"/>
  <c r="D620" i="7" s="1"/>
  <c r="F620" i="7" s="1"/>
  <c r="B583" i="7"/>
  <c r="F580" i="7"/>
  <c r="E580" i="7"/>
  <c r="B580" i="7"/>
  <c r="F622" i="7"/>
  <c r="F621" i="7"/>
  <c r="F617" i="7"/>
  <c r="F616" i="7"/>
  <c r="F615" i="7"/>
  <c r="F614" i="7"/>
  <c r="F613" i="7"/>
  <c r="F612" i="7"/>
  <c r="F611" i="7"/>
  <c r="F610" i="7"/>
  <c r="F609" i="7"/>
  <c r="F600" i="7"/>
  <c r="F599" i="7"/>
  <c r="F598" i="7"/>
  <c r="F594" i="7"/>
  <c r="F593" i="7"/>
  <c r="F592" i="7"/>
  <c r="F591" i="7"/>
  <c r="F590" i="7"/>
  <c r="F589" i="7"/>
  <c r="F588" i="7"/>
  <c r="F587" i="7"/>
  <c r="F80" i="2"/>
  <c r="F79" i="2"/>
  <c r="F2826" i="7" l="1"/>
  <c r="F2730" i="7"/>
  <c r="F2753" i="7"/>
  <c r="F623" i="7"/>
  <c r="F2849" i="7"/>
  <c r="F2778" i="7"/>
  <c r="F2801" i="7"/>
  <c r="F2806" i="7"/>
  <c r="F2854" i="7"/>
  <c r="F2758" i="7"/>
  <c r="D35" i="2" l="1"/>
  <c r="B54" i="2" l="1"/>
  <c r="D53" i="2"/>
  <c r="B367" i="7"/>
  <c r="D343" i="7"/>
  <c r="B177" i="7"/>
  <c r="E219" i="8"/>
  <c r="E178" i="7"/>
  <c r="B178" i="7"/>
  <c r="E233" i="8"/>
  <c r="B1950" i="7" l="1"/>
  <c r="E367" i="7"/>
  <c r="E177" i="7"/>
  <c r="B165" i="7"/>
  <c r="D88" i="2" l="1"/>
  <c r="B2588" i="7"/>
  <c r="B2575" i="7"/>
  <c r="B2574" i="7"/>
  <c r="F74" i="3"/>
  <c r="E2504" i="7"/>
  <c r="B2504" i="7"/>
  <c r="B2503" i="7"/>
  <c r="E2502" i="7"/>
  <c r="B2502" i="7"/>
  <c r="E2501" i="7"/>
  <c r="B2501" i="7"/>
  <c r="B2492" i="7"/>
  <c r="B2478" i="7"/>
  <c r="E2467" i="7"/>
  <c r="E2454" i="7"/>
  <c r="B2454" i="7"/>
  <c r="E2453" i="7"/>
  <c r="B2453" i="7"/>
  <c r="B2445" i="7"/>
  <c r="B2444" i="7"/>
  <c r="E2420" i="7"/>
  <c r="E2419" i="7"/>
  <c r="B2419" i="7"/>
  <c r="E2405" i="7"/>
  <c r="B2405" i="7"/>
  <c r="B2396" i="7"/>
  <c r="B2348" i="7"/>
  <c r="B2337" i="7"/>
  <c r="E2337" i="7"/>
  <c r="B2336" i="7"/>
  <c r="B2335" i="7"/>
  <c r="B2334" i="7"/>
  <c r="B2297" i="7"/>
  <c r="D2323" i="7"/>
  <c r="E2296" i="7"/>
  <c r="B2296" i="7"/>
  <c r="E2311" i="7"/>
  <c r="B2311" i="7"/>
  <c r="E2310" i="7"/>
  <c r="B2310" i="7"/>
  <c r="B2309" i="7"/>
  <c r="B2301" i="7"/>
  <c r="E2295" i="7"/>
  <c r="B2295" i="7"/>
  <c r="D2294" i="7"/>
  <c r="B2294" i="7"/>
  <c r="B2293" i="7"/>
  <c r="D2292" i="7"/>
  <c r="B2292" i="7"/>
  <c r="B2291" i="7"/>
  <c r="D2290" i="7"/>
  <c r="B2290" i="7"/>
  <c r="B2289" i="7"/>
  <c r="B2255" i="7" l="1"/>
  <c r="B2244" i="7"/>
  <c r="D2243" i="7"/>
  <c r="B2243" i="7"/>
  <c r="D2242" i="7"/>
  <c r="B2242" i="7"/>
  <c r="D2241" i="7"/>
  <c r="D2278" i="7" s="1"/>
  <c r="B2241" i="7"/>
  <c r="D2230" i="7"/>
  <c r="B2207" i="7"/>
  <c r="B2197" i="7"/>
  <c r="D2196" i="7"/>
  <c r="B2196" i="7"/>
  <c r="B2195" i="7"/>
  <c r="B2194" i="7"/>
  <c r="B2193" i="7"/>
  <c r="B2159" i="7"/>
  <c r="B2148" i="7"/>
  <c r="B2149" i="7"/>
  <c r="B2147" i="7"/>
  <c r="B2146" i="7"/>
  <c r="B2145" i="7"/>
  <c r="D172" i="8"/>
  <c r="D171" i="8"/>
  <c r="D170" i="8"/>
  <c r="D169" i="8"/>
  <c r="D134" i="8"/>
  <c r="E2145" i="7" l="1"/>
  <c r="B2111" i="7"/>
  <c r="E2100" i="7"/>
  <c r="B2100" i="7"/>
  <c r="E2099" i="7"/>
  <c r="B2099" i="7"/>
  <c r="B2098" i="7"/>
  <c r="B2097" i="7"/>
  <c r="B2063" i="7"/>
  <c r="E2051" i="7"/>
  <c r="B2051" i="7"/>
  <c r="D254" i="8"/>
  <c r="E2050" i="7"/>
  <c r="B2050" i="7"/>
  <c r="B2049" i="7"/>
  <c r="D1858" i="7"/>
  <c r="B1858" i="7"/>
  <c r="D1857" i="7"/>
  <c r="B1857" i="7"/>
  <c r="E2049" i="7" l="1"/>
  <c r="D1810" i="7"/>
  <c r="B1824" i="7"/>
  <c r="B1823" i="7"/>
  <c r="E1813" i="7"/>
  <c r="B1813" i="7"/>
  <c r="B1812" i="7"/>
  <c r="B1811" i="7"/>
  <c r="B1810" i="7"/>
  <c r="D1809" i="7"/>
  <c r="B1809" i="7"/>
  <c r="C1785" i="7"/>
  <c r="D1785" i="7"/>
  <c r="C1786" i="7"/>
  <c r="D1786" i="7"/>
  <c r="C1787" i="7"/>
  <c r="D1787" i="7"/>
  <c r="C1788" i="7"/>
  <c r="D1788" i="7"/>
  <c r="C1789" i="7"/>
  <c r="D1789" i="7"/>
  <c r="C1790" i="7"/>
  <c r="D1790" i="7"/>
  <c r="C1791" i="7"/>
  <c r="D1791" i="7"/>
  <c r="C1792" i="7"/>
  <c r="D1792" i="7"/>
  <c r="C1793" i="7"/>
  <c r="D1793" i="7"/>
  <c r="C1794" i="7"/>
  <c r="C1764" i="7"/>
  <c r="C1765" i="7"/>
  <c r="C1766" i="7"/>
  <c r="C1767" i="7"/>
  <c r="D1768" i="7"/>
  <c r="D1769" i="7"/>
  <c r="C1771" i="7"/>
  <c r="D1771" i="7"/>
  <c r="C1772" i="7"/>
  <c r="D1772" i="7"/>
  <c r="C1773" i="7"/>
  <c r="E1747" i="7"/>
  <c r="B1747" i="7"/>
  <c r="E1746" i="7"/>
  <c r="B1746" i="7"/>
  <c r="E1745" i="7"/>
  <c r="B1745" i="7"/>
  <c r="B1744" i="7"/>
  <c r="B1743" i="7"/>
  <c r="E1742" i="7"/>
  <c r="B1742" i="7"/>
  <c r="B1734" i="7"/>
  <c r="B1733" i="7"/>
  <c r="E1727" i="7"/>
  <c r="B1727" i="7"/>
  <c r="E1726" i="7"/>
  <c r="B1726" i="7"/>
  <c r="B1725" i="7"/>
  <c r="B1724" i="7"/>
  <c r="D1722" i="7"/>
  <c r="D1723" i="7"/>
  <c r="B1723" i="7"/>
  <c r="B1722" i="7"/>
  <c r="B1721" i="7"/>
  <c r="C1721" i="7"/>
  <c r="B1720" i="7"/>
  <c r="D1719" i="7"/>
  <c r="D1753" i="7" s="1"/>
  <c r="B1719" i="7"/>
  <c r="D1704" i="7"/>
  <c r="D1794" i="7" s="1"/>
  <c r="E1703" i="7"/>
  <c r="E1793" i="7" s="1"/>
  <c r="B1703" i="7"/>
  <c r="B1793" i="7" s="1"/>
  <c r="B1701" i="7"/>
  <c r="B1791" i="7" s="1"/>
  <c r="E1701" i="7"/>
  <c r="E1791" i="7" s="1"/>
  <c r="B1702" i="7"/>
  <c r="B1792" i="7" s="1"/>
  <c r="E1702" i="7"/>
  <c r="E1792" i="7" s="1"/>
  <c r="B1700" i="7"/>
  <c r="B1790" i="7" s="1"/>
  <c r="B1699" i="7"/>
  <c r="B1789" i="7" s="1"/>
  <c r="B1698" i="7"/>
  <c r="B1788" i="7" s="1"/>
  <c r="E1697" i="7"/>
  <c r="E1787" i="7" s="1"/>
  <c r="B1697" i="7"/>
  <c r="B1787" i="7" s="1"/>
  <c r="E1696" i="7"/>
  <c r="E1786" i="7" s="1"/>
  <c r="B1696" i="7"/>
  <c r="B1786" i="7" s="1"/>
  <c r="B1695" i="7"/>
  <c r="B1785" i="7" s="1"/>
  <c r="B1688" i="7"/>
  <c r="B1687" i="7"/>
  <c r="D1683" i="7"/>
  <c r="D1773" i="7" s="1"/>
  <c r="B1683" i="7"/>
  <c r="B1773" i="7" s="1"/>
  <c r="E1682" i="7"/>
  <c r="E1772" i="7" s="1"/>
  <c r="E1681" i="7"/>
  <c r="E1771" i="7" s="1"/>
  <c r="B1682" i="7"/>
  <c r="B1772" i="7" s="1"/>
  <c r="B1681" i="7"/>
  <c r="B1771" i="7" s="1"/>
  <c r="D1680" i="7"/>
  <c r="D1770" i="7" s="1"/>
  <c r="D1677" i="7"/>
  <c r="D1767" i="7" s="1"/>
  <c r="B1677" i="7"/>
  <c r="B1767" i="7" s="1"/>
  <c r="B1676" i="7"/>
  <c r="B1766" i="7" s="1"/>
  <c r="D1674" i="7"/>
  <c r="D1708" i="7" s="1"/>
  <c r="B1675" i="7"/>
  <c r="B1765" i="7" s="1"/>
  <c r="B1674" i="7"/>
  <c r="B1764" i="7" s="1"/>
  <c r="E1656" i="7"/>
  <c r="E1704" i="7" s="1"/>
  <c r="E1794" i="7" s="1"/>
  <c r="B1656" i="7"/>
  <c r="B1704" i="7" s="1"/>
  <c r="B1794" i="7" s="1"/>
  <c r="E1655" i="7"/>
  <c r="B1655" i="7"/>
  <c r="B1654" i="7"/>
  <c r="B1653" i="7"/>
  <c r="B1652" i="7"/>
  <c r="B1644" i="7"/>
  <c r="B1643" i="7"/>
  <c r="B1638" i="7"/>
  <c r="E1637" i="7"/>
  <c r="B1637" i="7"/>
  <c r="E1636" i="7"/>
  <c r="B1636" i="7"/>
  <c r="B1635" i="7"/>
  <c r="E1634" i="7"/>
  <c r="B1634" i="7"/>
  <c r="B1633" i="7"/>
  <c r="B1631" i="7"/>
  <c r="B1630" i="7"/>
  <c r="D1663" i="7"/>
  <c r="B1629" i="7"/>
  <c r="B1552" i="7"/>
  <c r="C1559" i="7"/>
  <c r="C1604" i="7" s="1"/>
  <c r="C1560" i="7"/>
  <c r="C1605" i="7" s="1"/>
  <c r="C1561" i="7"/>
  <c r="C1606" i="7" s="1"/>
  <c r="C1562" i="7"/>
  <c r="C1607" i="7" s="1"/>
  <c r="C1563" i="7"/>
  <c r="C1608" i="7" s="1"/>
  <c r="C1564" i="7"/>
  <c r="C1609" i="7" s="1"/>
  <c r="C1565" i="7"/>
  <c r="C1610" i="7" s="1"/>
  <c r="C1566" i="7"/>
  <c r="C1611" i="7" s="1"/>
  <c r="C1567" i="7"/>
  <c r="C1612" i="7" s="1"/>
  <c r="C1568" i="7"/>
  <c r="C1613" i="7" s="1"/>
  <c r="C1569" i="7"/>
  <c r="C1614" i="7" s="1"/>
  <c r="B1551" i="7"/>
  <c r="D1539" i="7"/>
  <c r="D1540" i="7" s="1"/>
  <c r="D1548" i="7"/>
  <c r="D1504" i="7"/>
  <c r="C1539" i="7"/>
  <c r="C1584" i="7" s="1"/>
  <c r="C1540" i="7"/>
  <c r="C1585" i="7" s="1"/>
  <c r="C1541" i="7"/>
  <c r="C1586" i="7" s="1"/>
  <c r="C1542" i="7"/>
  <c r="C1543" i="7"/>
  <c r="D1543" i="7"/>
  <c r="D1588" i="7" s="1"/>
  <c r="C1544" i="7"/>
  <c r="C1545" i="7"/>
  <c r="C1590" i="7" s="1"/>
  <c r="C1546" i="7"/>
  <c r="C1591" i="7" s="1"/>
  <c r="C1547" i="7"/>
  <c r="C1592" i="7" s="1"/>
  <c r="D1547" i="7"/>
  <c r="D1592" i="7" s="1"/>
  <c r="C1548" i="7"/>
  <c r="C1593" i="7" s="1"/>
  <c r="E1525" i="7"/>
  <c r="E1569" i="7" s="1"/>
  <c r="E1614" i="7" s="1"/>
  <c r="B1525" i="7"/>
  <c r="B1569" i="7" s="1"/>
  <c r="B1614" i="7" s="1"/>
  <c r="E1524" i="7"/>
  <c r="E1568" i="7" s="1"/>
  <c r="E1613" i="7" s="1"/>
  <c r="B1524" i="7"/>
  <c r="B1568" i="7" s="1"/>
  <c r="B1613" i="7" s="1"/>
  <c r="E1523" i="7"/>
  <c r="E1567" i="7" s="1"/>
  <c r="E1612" i="7" s="1"/>
  <c r="B1523" i="7"/>
  <c r="B1567" i="7" s="1"/>
  <c r="B1612" i="7" s="1"/>
  <c r="B1522" i="7"/>
  <c r="B1566" i="7" s="1"/>
  <c r="B1611" i="7" s="1"/>
  <c r="E1521" i="7"/>
  <c r="E1565" i="7" s="1"/>
  <c r="E1610" i="7" s="1"/>
  <c r="B1521" i="7"/>
  <c r="B1565" i="7" s="1"/>
  <c r="B1610" i="7" s="1"/>
  <c r="E1520" i="7"/>
  <c r="E1564" i="7" s="1"/>
  <c r="E1609" i="7" s="1"/>
  <c r="B1520" i="7"/>
  <c r="B1564" i="7" s="1"/>
  <c r="B1609" i="7" s="1"/>
  <c r="B1519" i="7"/>
  <c r="B1563" i="7" s="1"/>
  <c r="B1608" i="7" s="1"/>
  <c r="B1518" i="7"/>
  <c r="B1562" i="7" s="1"/>
  <c r="B1607" i="7" s="1"/>
  <c r="D240" i="8"/>
  <c r="B1517" i="7"/>
  <c r="B1561" i="7" s="1"/>
  <c r="B1606" i="7" s="1"/>
  <c r="B1516" i="7"/>
  <c r="B1560" i="7" s="1"/>
  <c r="B1605" i="7" s="1"/>
  <c r="D1515" i="7"/>
  <c r="E1515" i="7"/>
  <c r="E1559" i="7" s="1"/>
  <c r="E1604" i="7" s="1"/>
  <c r="B1515" i="7"/>
  <c r="B1559" i="7" s="1"/>
  <c r="B1604" i="7" s="1"/>
  <c r="B1508" i="7"/>
  <c r="B1507" i="7"/>
  <c r="B1504" i="7"/>
  <c r="B1548" i="7" s="1"/>
  <c r="B1593" i="7" s="1"/>
  <c r="E1503" i="7"/>
  <c r="E1547" i="7" s="1"/>
  <c r="E1592" i="7" s="1"/>
  <c r="F1592" i="7" s="1"/>
  <c r="B1503" i="7"/>
  <c r="B1547" i="7" s="1"/>
  <c r="B1592" i="7" s="1"/>
  <c r="D1502" i="7"/>
  <c r="D1546" i="7" s="1"/>
  <c r="D1591" i="7" s="1"/>
  <c r="D1501" i="7"/>
  <c r="D1545" i="7" s="1"/>
  <c r="D1590" i="7" s="1"/>
  <c r="E1502" i="7"/>
  <c r="E1546" i="7" s="1"/>
  <c r="E1591" i="7" s="1"/>
  <c r="B1502" i="7"/>
  <c r="B1546" i="7" s="1"/>
  <c r="B1591" i="7" s="1"/>
  <c r="E1501" i="7"/>
  <c r="E1545" i="7" s="1"/>
  <c r="E1590" i="7" s="1"/>
  <c r="B1501" i="7"/>
  <c r="B1545" i="7" s="1"/>
  <c r="B1590" i="7" s="1"/>
  <c r="D1498" i="7"/>
  <c r="D1542" i="7" s="1"/>
  <c r="D1587" i="7" s="1"/>
  <c r="D1500" i="7"/>
  <c r="D1544" i="7" s="1"/>
  <c r="D1589" i="7" s="1"/>
  <c r="B1500" i="7"/>
  <c r="B1544" i="7" s="1"/>
  <c r="B1499" i="7"/>
  <c r="B1543" i="7" s="1"/>
  <c r="B1498" i="7"/>
  <c r="B1542" i="7" s="1"/>
  <c r="D1497" i="7"/>
  <c r="D1541" i="7" s="1"/>
  <c r="D1586" i="7" s="1"/>
  <c r="B1497" i="7"/>
  <c r="B1541" i="7" s="1"/>
  <c r="B1586" i="7" s="1"/>
  <c r="B1496" i="7"/>
  <c r="B1540" i="7" s="1"/>
  <c r="B1585" i="7" s="1"/>
  <c r="D1495" i="7"/>
  <c r="D1528" i="7" s="1"/>
  <c r="B1495" i="7"/>
  <c r="B1539" i="7" s="1"/>
  <c r="B1584" i="7" s="1"/>
  <c r="D1484" i="7"/>
  <c r="E1475" i="7"/>
  <c r="B1475" i="7"/>
  <c r="B1474" i="7"/>
  <c r="E1473" i="7"/>
  <c r="B1473" i="7"/>
  <c r="E1472" i="7"/>
  <c r="B1472" i="7"/>
  <c r="B1471" i="7"/>
  <c r="B1470" i="7"/>
  <c r="B1462" i="7"/>
  <c r="B1461" i="7"/>
  <c r="D1454" i="7"/>
  <c r="B1454" i="7"/>
  <c r="D1453" i="7"/>
  <c r="B1453" i="7"/>
  <c r="E1452" i="7"/>
  <c r="B1452" i="7"/>
  <c r="E1451" i="7"/>
  <c r="B1451" i="7"/>
  <c r="B1450" i="7"/>
  <c r="B1449" i="7"/>
  <c r="B1448" i="7"/>
  <c r="B1447" i="7"/>
  <c r="E1517" i="7" l="1"/>
  <c r="E1561" i="7" s="1"/>
  <c r="E1606" i="7" s="1"/>
  <c r="F1606" i="7" s="1"/>
  <c r="D1846" i="7"/>
  <c r="F1591" i="7"/>
  <c r="F1609" i="7"/>
  <c r="F1613" i="7"/>
  <c r="F1610" i="7"/>
  <c r="F1612" i="7"/>
  <c r="F1614" i="7"/>
  <c r="F1590" i="7"/>
  <c r="C1679" i="7"/>
  <c r="C1769" i="7" s="1"/>
  <c r="C1588" i="7"/>
  <c r="C1678" i="7"/>
  <c r="C1768" i="7" s="1"/>
  <c r="C1587" i="7"/>
  <c r="F1604" i="7"/>
  <c r="C1680" i="7"/>
  <c r="C1770" i="7" s="1"/>
  <c r="C1589" i="7"/>
  <c r="B1679" i="7"/>
  <c r="B1769" i="7" s="1"/>
  <c r="B1588" i="7"/>
  <c r="B1678" i="7"/>
  <c r="B1768" i="7" s="1"/>
  <c r="B1587" i="7"/>
  <c r="B1680" i="7"/>
  <c r="B1770" i="7" s="1"/>
  <c r="B1589" i="7"/>
  <c r="D1573" i="7"/>
  <c r="D1631" i="7"/>
  <c r="D1630" i="7"/>
  <c r="D1764" i="7"/>
  <c r="D1676" i="7"/>
  <c r="D1766" i="7" s="1"/>
  <c r="D1496" i="7"/>
  <c r="E1470" i="7"/>
  <c r="D1425" i="7" l="1"/>
  <c r="D1424" i="7"/>
  <c r="D1423" i="7"/>
  <c r="B1425" i="7"/>
  <c r="E1424" i="7"/>
  <c r="B1424" i="7"/>
  <c r="B1423" i="7"/>
  <c r="B1422" i="7"/>
  <c r="B1413" i="7"/>
  <c r="D1399" i="7"/>
  <c r="D1436" i="7" s="1"/>
  <c r="B1399" i="7"/>
  <c r="D1388" i="7"/>
  <c r="B1351" i="7"/>
  <c r="C1365" i="7"/>
  <c r="E1326" i="7"/>
  <c r="B1326" i="7"/>
  <c r="D228" i="8"/>
  <c r="E1340" i="7"/>
  <c r="B1340" i="7"/>
  <c r="B1317" i="7"/>
  <c r="E1304" i="7"/>
  <c r="B1304" i="7"/>
  <c r="E1303" i="7"/>
  <c r="B1303" i="7"/>
  <c r="B1292" i="7"/>
  <c r="B1269" i="7"/>
  <c r="E1183" i="7"/>
  <c r="B1183" i="7"/>
  <c r="F290" i="8"/>
  <c r="B1182" i="7"/>
  <c r="E290" i="8"/>
  <c r="D290" i="8"/>
  <c r="B1173" i="7"/>
  <c r="B1159" i="7"/>
  <c r="B1077" i="7"/>
  <c r="E1065" i="7"/>
  <c r="B1065" i="7"/>
  <c r="E1064" i="7"/>
  <c r="B1064" i="7"/>
  <c r="D1063" i="7"/>
  <c r="B1063" i="7"/>
  <c r="D1052" i="7"/>
  <c r="D1053" i="7" s="1"/>
  <c r="B1052" i="7"/>
  <c r="D1038" i="7"/>
  <c r="D1040" i="7" s="1"/>
  <c r="E1029" i="7"/>
  <c r="B1029" i="7"/>
  <c r="B1004" i="7"/>
  <c r="D990" i="7"/>
  <c r="D992" i="7" s="1"/>
  <c r="B981" i="7"/>
  <c r="C990" i="7"/>
  <c r="C1038" i="7" s="1"/>
  <c r="C991" i="7"/>
  <c r="C1039" i="7" s="1"/>
  <c r="C992" i="7"/>
  <c r="C1040" i="7" s="1"/>
  <c r="E942" i="7"/>
  <c r="B933" i="7"/>
  <c r="E944" i="7"/>
  <c r="E991" i="7" s="1"/>
  <c r="E1039" i="7" s="1"/>
  <c r="B945" i="7"/>
  <c r="B992" i="7" s="1"/>
  <c r="B1040" i="7" s="1"/>
  <c r="B944" i="7"/>
  <c r="B991" i="7" s="1"/>
  <c r="B1039" i="7" s="1"/>
  <c r="B943" i="7"/>
  <c r="B990" i="7" s="1"/>
  <c r="B1038" i="7" s="1"/>
  <c r="B942" i="7"/>
  <c r="E2503" i="7" l="1"/>
  <c r="E1182" i="7"/>
  <c r="D1039" i="7"/>
  <c r="D991" i="7"/>
  <c r="E896" i="7"/>
  <c r="B896" i="7"/>
  <c r="B885" i="7"/>
  <c r="C860" i="7"/>
  <c r="D860" i="7"/>
  <c r="B861" i="7"/>
  <c r="C861" i="7"/>
  <c r="E861" i="7"/>
  <c r="C846" i="7"/>
  <c r="C894" i="7" s="1"/>
  <c r="D846" i="7"/>
  <c r="C847" i="7"/>
  <c r="C895" i="7" s="1"/>
  <c r="D847" i="7"/>
  <c r="C848" i="7"/>
  <c r="C896" i="7" s="1"/>
  <c r="D848" i="7"/>
  <c r="C837" i="7"/>
  <c r="D837" i="7"/>
  <c r="B812" i="7"/>
  <c r="E798" i="7"/>
  <c r="B798" i="7"/>
  <c r="B741" i="7"/>
  <c r="B731" i="7"/>
  <c r="E730" i="7"/>
  <c r="B730" i="7"/>
  <c r="E729" i="7"/>
  <c r="B729" i="7"/>
  <c r="B728" i="7"/>
  <c r="D193" i="8"/>
  <c r="B727" i="7"/>
  <c r="C716" i="7"/>
  <c r="D716" i="7"/>
  <c r="C702" i="7"/>
  <c r="C693" i="7"/>
  <c r="C679" i="7"/>
  <c r="D679" i="7"/>
  <c r="B655" i="7"/>
  <c r="E655" i="7"/>
  <c r="E654" i="7"/>
  <c r="B654" i="7"/>
  <c r="B645" i="7"/>
  <c r="B633" i="7"/>
  <c r="B632" i="7"/>
  <c r="D402" i="8"/>
  <c r="E631" i="7"/>
  <c r="B631" i="7"/>
  <c r="D572" i="7"/>
  <c r="E538" i="7"/>
  <c r="B538" i="7"/>
  <c r="B537" i="7"/>
  <c r="B536" i="7"/>
  <c r="B535" i="7"/>
  <c r="E524" i="7"/>
  <c r="B501" i="7"/>
  <c r="B453" i="7"/>
  <c r="E36" i="8"/>
  <c r="B439" i="7"/>
  <c r="B405" i="7"/>
  <c r="B391" i="7"/>
  <c r="E346" i="7"/>
  <c r="B346" i="7"/>
  <c r="E345" i="7"/>
  <c r="B345" i="7"/>
  <c r="B344" i="7"/>
  <c r="D380" i="7"/>
  <c r="B366" i="7"/>
  <c r="B357" i="7"/>
  <c r="B343" i="7"/>
  <c r="E300" i="7"/>
  <c r="B300" i="7"/>
  <c r="E299" i="7"/>
  <c r="B299" i="7"/>
  <c r="B298" i="7"/>
  <c r="E297" i="7"/>
  <c r="B297" i="7"/>
  <c r="B296" i="7"/>
  <c r="D295" i="7"/>
  <c r="D332" i="7" s="1"/>
  <c r="B295" i="7"/>
  <c r="E727" i="7" l="1"/>
  <c r="E632" i="7"/>
  <c r="B261" i="7"/>
  <c r="D247" i="7"/>
  <c r="B247" i="7"/>
  <c r="B224" i="7"/>
  <c r="E223" i="7"/>
  <c r="B223" i="7"/>
  <c r="E222" i="7"/>
  <c r="B222" i="7"/>
  <c r="B213" i="7"/>
  <c r="B1221" i="7" s="1"/>
  <c r="E200" i="7"/>
  <c r="B200" i="7"/>
  <c r="B199" i="7"/>
  <c r="D141" i="7"/>
  <c r="D861" i="7" s="1"/>
  <c r="B128" i="7"/>
  <c r="B848" i="7" s="1"/>
  <c r="B140" i="7"/>
  <c r="B860" i="7" s="1"/>
  <c r="E127" i="7"/>
  <c r="E847" i="7" s="1"/>
  <c r="E895" i="7" s="1"/>
  <c r="B127" i="7"/>
  <c r="B847" i="7" s="1"/>
  <c r="B895" i="7" s="1"/>
  <c r="E126" i="7"/>
  <c r="E846" i="7" s="1"/>
  <c r="E894" i="7" s="1"/>
  <c r="B126" i="7"/>
  <c r="B846" i="7" s="1"/>
  <c r="B894" i="7" s="1"/>
  <c r="B117" i="7"/>
  <c r="B837" i="7" s="1"/>
  <c r="B78" i="7"/>
  <c r="B92" i="7"/>
  <c r="B44" i="7"/>
  <c r="B716" i="7" s="1"/>
  <c r="H29" i="4"/>
  <c r="K19" i="4"/>
  <c r="E15" i="4"/>
  <c r="K6" i="4"/>
  <c r="K12" i="4"/>
  <c r="K5" i="4"/>
  <c r="E30" i="7"/>
  <c r="E702" i="7" s="1"/>
  <c r="B30" i="7"/>
  <c r="B702" i="7" s="1"/>
  <c r="B21" i="7"/>
  <c r="B693" i="7" s="1"/>
  <c r="E7" i="7"/>
  <c r="E679" i="7" s="1"/>
  <c r="B7" i="7"/>
  <c r="B679" i="7" s="1"/>
  <c r="F2619" i="7"/>
  <c r="E2619" i="7"/>
  <c r="B2619" i="7"/>
  <c r="F2571" i="7"/>
  <c r="E2571" i="7"/>
  <c r="B2571" i="7"/>
  <c r="F2523" i="7"/>
  <c r="E2523" i="7"/>
  <c r="B2523" i="7"/>
  <c r="F2475" i="7"/>
  <c r="E2475" i="7"/>
  <c r="B2475" i="7"/>
  <c r="F2427" i="7"/>
  <c r="E2427" i="7"/>
  <c r="B2427" i="7"/>
  <c r="F2379" i="7"/>
  <c r="E2379" i="7"/>
  <c r="B2379" i="7"/>
  <c r="F2331" i="7"/>
  <c r="E2331" i="7"/>
  <c r="B2331" i="7"/>
  <c r="F2286" i="7"/>
  <c r="E2286" i="7"/>
  <c r="B2286" i="7"/>
  <c r="F2238" i="7"/>
  <c r="E2238" i="7"/>
  <c r="B2238" i="7"/>
  <c r="F2709" i="7"/>
  <c r="F2708" i="7"/>
  <c r="F2707" i="7"/>
  <c r="F2704" i="7"/>
  <c r="F2703" i="7"/>
  <c r="F2702" i="7"/>
  <c r="F2701" i="7"/>
  <c r="F2700" i="7"/>
  <c r="F2699" i="7"/>
  <c r="F2698" i="7"/>
  <c r="F2697" i="7"/>
  <c r="F2696" i="7"/>
  <c r="F2695" i="7"/>
  <c r="F2694" i="7"/>
  <c r="F2693" i="7"/>
  <c r="F2687" i="7"/>
  <c r="F2686" i="7"/>
  <c r="F2685" i="7"/>
  <c r="F2681" i="7"/>
  <c r="F2680" i="7"/>
  <c r="F2679" i="7"/>
  <c r="F2678" i="7"/>
  <c r="F2677" i="7"/>
  <c r="F2676" i="7"/>
  <c r="F2675" i="7"/>
  <c r="F2674" i="7"/>
  <c r="F2673" i="7"/>
  <c r="F2672" i="7"/>
  <c r="F2671" i="7"/>
  <c r="F2670" i="7"/>
  <c r="F2661" i="7"/>
  <c r="F2660" i="7"/>
  <c r="F2659" i="7"/>
  <c r="F2656" i="7"/>
  <c r="F2655" i="7"/>
  <c r="F2654" i="7"/>
  <c r="F2653" i="7"/>
  <c r="F2652" i="7"/>
  <c r="F2651" i="7"/>
  <c r="F2650" i="7"/>
  <c r="F2649" i="7"/>
  <c r="F2648" i="7"/>
  <c r="F2647" i="7"/>
  <c r="F2646" i="7"/>
  <c r="F2645" i="7"/>
  <c r="F2639" i="7"/>
  <c r="F2638" i="7"/>
  <c r="F2637" i="7"/>
  <c r="F2636" i="7"/>
  <c r="F2633" i="7"/>
  <c r="F2632" i="7"/>
  <c r="F2631" i="7"/>
  <c r="F2630" i="7"/>
  <c r="F2629" i="7"/>
  <c r="F2628" i="7"/>
  <c r="F2627" i="7"/>
  <c r="F2626" i="7"/>
  <c r="F2625" i="7"/>
  <c r="F2624" i="7"/>
  <c r="F2623" i="7"/>
  <c r="F2622" i="7"/>
  <c r="F2613" i="7"/>
  <c r="F2612" i="7"/>
  <c r="F2611" i="7"/>
  <c r="F2608" i="7"/>
  <c r="F2607" i="7"/>
  <c r="F2606" i="7"/>
  <c r="F2605" i="7"/>
  <c r="F2604" i="7"/>
  <c r="F2603" i="7"/>
  <c r="F2602" i="7"/>
  <c r="F2601" i="7"/>
  <c r="F2600" i="7"/>
  <c r="F2599" i="7"/>
  <c r="F2598" i="7"/>
  <c r="F2597" i="7"/>
  <c r="F2591" i="7"/>
  <c r="F2590" i="7"/>
  <c r="F2589" i="7"/>
  <c r="F2585" i="7"/>
  <c r="F2584" i="7"/>
  <c r="F2583" i="7"/>
  <c r="F2582" i="7"/>
  <c r="F2581" i="7"/>
  <c r="F2580" i="7"/>
  <c r="F2579" i="7"/>
  <c r="F2578" i="7"/>
  <c r="F2577" i="7"/>
  <c r="F2576" i="7"/>
  <c r="F2574" i="7"/>
  <c r="F2565" i="7"/>
  <c r="F2564" i="7"/>
  <c r="F2563" i="7"/>
  <c r="F2560" i="7"/>
  <c r="F2559" i="7"/>
  <c r="F2558" i="7"/>
  <c r="F2557" i="7"/>
  <c r="F2556" i="7"/>
  <c r="F2555" i="7"/>
  <c r="F2554" i="7"/>
  <c r="F2553" i="7"/>
  <c r="F2552" i="7"/>
  <c r="F2551" i="7"/>
  <c r="F2550" i="7"/>
  <c r="F2549" i="7"/>
  <c r="F2543" i="7"/>
  <c r="F2542" i="7"/>
  <c r="F2541" i="7"/>
  <c r="F2537" i="7"/>
  <c r="F2536" i="7"/>
  <c r="F2535" i="7"/>
  <c r="F2534" i="7"/>
  <c r="F2533" i="7"/>
  <c r="F2532" i="7"/>
  <c r="F2531" i="7"/>
  <c r="F2530" i="7"/>
  <c r="F2529" i="7"/>
  <c r="F2528" i="7"/>
  <c r="F2527" i="7"/>
  <c r="F2526" i="7"/>
  <c r="F2517" i="7"/>
  <c r="F2516" i="7"/>
  <c r="F2515" i="7"/>
  <c r="F2512" i="7"/>
  <c r="F2511" i="7"/>
  <c r="F2510" i="7"/>
  <c r="F2509" i="7"/>
  <c r="F2508" i="7"/>
  <c r="F2507" i="7"/>
  <c r="F2506" i="7"/>
  <c r="F2505" i="7"/>
  <c r="F2504" i="7"/>
  <c r="F2503" i="7"/>
  <c r="F2502" i="7"/>
  <c r="F2501" i="7"/>
  <c r="F2495" i="7"/>
  <c r="F2494" i="7"/>
  <c r="F2493" i="7"/>
  <c r="F2489" i="7"/>
  <c r="F2488" i="7"/>
  <c r="F2487" i="7"/>
  <c r="F2486" i="7"/>
  <c r="F2485" i="7"/>
  <c r="F2484" i="7"/>
  <c r="F2483" i="7"/>
  <c r="F2482" i="7"/>
  <c r="F2481" i="7"/>
  <c r="F2480" i="7"/>
  <c r="F2479" i="7"/>
  <c r="F2469" i="7"/>
  <c r="F2468" i="7"/>
  <c r="F2467" i="7"/>
  <c r="F2464" i="7"/>
  <c r="F2463" i="7"/>
  <c r="F2462" i="7"/>
  <c r="F2461" i="7"/>
  <c r="F2460" i="7"/>
  <c r="F2459" i="7"/>
  <c r="F2458" i="7"/>
  <c r="F2457" i="7"/>
  <c r="F2456" i="7"/>
  <c r="F2455" i="7"/>
  <c r="F2454" i="7"/>
  <c r="F2453" i="7"/>
  <c r="F2447" i="7"/>
  <c r="F2446" i="7"/>
  <c r="F2441" i="7"/>
  <c r="F2440" i="7"/>
  <c r="F2439" i="7"/>
  <c r="F2438" i="7"/>
  <c r="F2437" i="7"/>
  <c r="F2436" i="7"/>
  <c r="F2435" i="7"/>
  <c r="F2434" i="7"/>
  <c r="F2433" i="7"/>
  <c r="F2432" i="7"/>
  <c r="F2431" i="7"/>
  <c r="F2430" i="7"/>
  <c r="F2421" i="7"/>
  <c r="F2420" i="7"/>
  <c r="F2419" i="7"/>
  <c r="F2416" i="7"/>
  <c r="F2415" i="7"/>
  <c r="F2414" i="7"/>
  <c r="F2413" i="7"/>
  <c r="F2412" i="7"/>
  <c r="F2411" i="7"/>
  <c r="F2410" i="7"/>
  <c r="F2409" i="7"/>
  <c r="F2408" i="7"/>
  <c r="F2407" i="7"/>
  <c r="F2406" i="7"/>
  <c r="F2405" i="7"/>
  <c r="F2399" i="7"/>
  <c r="F2398" i="7"/>
  <c r="F2397" i="7"/>
  <c r="F2393" i="7"/>
  <c r="F2392" i="7"/>
  <c r="F2391" i="7"/>
  <c r="F2390" i="7"/>
  <c r="F2389" i="7"/>
  <c r="F2388" i="7"/>
  <c r="F2387" i="7"/>
  <c r="F2386" i="7"/>
  <c r="F2385" i="7"/>
  <c r="F2384" i="7"/>
  <c r="F2383" i="7"/>
  <c r="F2382" i="7"/>
  <c r="F2373" i="7"/>
  <c r="F2372" i="7"/>
  <c r="F2371" i="7"/>
  <c r="F2368" i="7"/>
  <c r="F2367" i="7"/>
  <c r="F2366" i="7"/>
  <c r="F2365" i="7"/>
  <c r="F2364" i="7"/>
  <c r="F2363" i="7"/>
  <c r="F2362" i="7"/>
  <c r="F2361" i="7"/>
  <c r="F2360" i="7"/>
  <c r="F2359" i="7"/>
  <c r="F2358" i="7"/>
  <c r="F2357" i="7"/>
  <c r="F2351" i="7"/>
  <c r="F2350" i="7"/>
  <c r="F2349" i="7"/>
  <c r="F2345" i="7"/>
  <c r="F2344" i="7"/>
  <c r="F2343" i="7"/>
  <c r="F2342" i="7"/>
  <c r="F2341" i="7"/>
  <c r="F2340" i="7"/>
  <c r="F2339" i="7"/>
  <c r="F2338" i="7"/>
  <c r="F2337" i="7"/>
  <c r="F2325" i="7"/>
  <c r="F2324" i="7"/>
  <c r="F2323" i="7"/>
  <c r="F2320" i="7"/>
  <c r="F2319" i="7"/>
  <c r="F2318" i="7"/>
  <c r="F2317" i="7"/>
  <c r="F2316" i="7"/>
  <c r="F2315" i="7"/>
  <c r="F2314" i="7"/>
  <c r="F2313" i="7"/>
  <c r="F2312" i="7"/>
  <c r="F2311" i="7"/>
  <c r="F2310" i="7"/>
  <c r="F2303" i="7"/>
  <c r="F2302" i="7"/>
  <c r="F2298" i="7"/>
  <c r="F2296" i="7"/>
  <c r="F2295" i="7"/>
  <c r="F2280" i="7"/>
  <c r="F2279" i="7"/>
  <c r="F2278" i="7"/>
  <c r="F2275" i="7"/>
  <c r="F2274" i="7"/>
  <c r="F2273" i="7"/>
  <c r="F2272" i="7"/>
  <c r="F2271" i="7"/>
  <c r="F2270" i="7"/>
  <c r="F2269" i="7"/>
  <c r="F2268" i="7"/>
  <c r="F2267" i="7"/>
  <c r="F2266" i="7"/>
  <c r="F2265" i="7"/>
  <c r="F2264" i="7"/>
  <c r="F2258" i="7"/>
  <c r="F2257" i="7"/>
  <c r="F2256" i="7"/>
  <c r="F2252" i="7"/>
  <c r="F2251" i="7"/>
  <c r="F2250" i="7"/>
  <c r="F2249" i="7"/>
  <c r="F2248" i="7"/>
  <c r="F2247" i="7"/>
  <c r="F2246" i="7"/>
  <c r="F2245" i="7"/>
  <c r="F2243" i="7"/>
  <c r="F2190" i="7"/>
  <c r="E2190" i="7"/>
  <c r="B2190" i="7"/>
  <c r="F2142" i="7"/>
  <c r="E2142" i="7"/>
  <c r="B2142" i="7"/>
  <c r="F2094" i="7"/>
  <c r="E2094" i="7"/>
  <c r="B2094" i="7"/>
  <c r="F2046" i="7"/>
  <c r="E2046" i="7"/>
  <c r="B2046" i="7"/>
  <c r="F1854" i="7"/>
  <c r="E1854" i="7"/>
  <c r="B1854" i="7"/>
  <c r="F1806" i="7"/>
  <c r="E1806" i="7"/>
  <c r="B1806" i="7"/>
  <c r="F1761" i="7"/>
  <c r="E1761" i="7"/>
  <c r="B1761" i="7"/>
  <c r="F1716" i="7"/>
  <c r="E1716" i="7"/>
  <c r="B1716" i="7"/>
  <c r="F1671" i="7"/>
  <c r="E1671" i="7"/>
  <c r="B1671" i="7"/>
  <c r="F1626" i="7"/>
  <c r="E1626" i="7"/>
  <c r="B1626" i="7"/>
  <c r="F1536" i="7"/>
  <c r="E1536" i="7"/>
  <c r="B1536" i="7"/>
  <c r="F1492" i="7"/>
  <c r="E1492" i="7"/>
  <c r="B1492" i="7"/>
  <c r="F1444" i="7"/>
  <c r="E1444" i="7"/>
  <c r="B1444" i="7"/>
  <c r="F1396" i="7"/>
  <c r="E1396" i="7"/>
  <c r="B1396" i="7"/>
  <c r="F1348" i="7"/>
  <c r="E1348" i="7"/>
  <c r="B1348" i="7"/>
  <c r="F1300" i="7"/>
  <c r="E1300" i="7"/>
  <c r="B1300" i="7"/>
  <c r="F1252" i="7"/>
  <c r="E1252" i="7"/>
  <c r="B1252" i="7"/>
  <c r="F1156" i="7"/>
  <c r="E1156" i="7"/>
  <c r="B1156" i="7"/>
  <c r="F1060" i="7"/>
  <c r="E1060" i="7"/>
  <c r="B1060" i="7"/>
  <c r="F1012" i="7"/>
  <c r="E1012" i="7"/>
  <c r="B1012" i="7"/>
  <c r="F964" i="7"/>
  <c r="E964" i="7"/>
  <c r="B964" i="7"/>
  <c r="F916" i="7"/>
  <c r="E916" i="7"/>
  <c r="B916" i="7"/>
  <c r="F868" i="7"/>
  <c r="E868" i="7"/>
  <c r="B868" i="7"/>
  <c r="F820" i="7"/>
  <c r="E820" i="7"/>
  <c r="B820" i="7"/>
  <c r="F772" i="7"/>
  <c r="E772" i="7"/>
  <c r="B772" i="7"/>
  <c r="F724" i="7"/>
  <c r="E724" i="7"/>
  <c r="B724" i="7"/>
  <c r="F676" i="7"/>
  <c r="E676" i="7"/>
  <c r="B676" i="7"/>
  <c r="F628" i="7"/>
  <c r="E628" i="7"/>
  <c r="B628" i="7"/>
  <c r="F532" i="7"/>
  <c r="E532" i="7"/>
  <c r="B532" i="7"/>
  <c r="F484" i="7"/>
  <c r="E484" i="7"/>
  <c r="B484" i="7"/>
  <c r="F436" i="7"/>
  <c r="E436" i="7"/>
  <c r="B436" i="7"/>
  <c r="F388" i="7"/>
  <c r="E388" i="7"/>
  <c r="B388" i="7"/>
  <c r="F340" i="7"/>
  <c r="E340" i="7"/>
  <c r="B340" i="7"/>
  <c r="F292" i="7"/>
  <c r="E292" i="7"/>
  <c r="B292" i="7"/>
  <c r="F244" i="7"/>
  <c r="E244" i="7"/>
  <c r="B244" i="7"/>
  <c r="F196" i="7"/>
  <c r="E196" i="7"/>
  <c r="E1204" i="7" s="1"/>
  <c r="B196" i="7"/>
  <c r="F148" i="7"/>
  <c r="E148" i="7"/>
  <c r="B148" i="7"/>
  <c r="F100" i="7"/>
  <c r="E100" i="7"/>
  <c r="B100" i="7"/>
  <c r="F52" i="7"/>
  <c r="E52" i="7"/>
  <c r="B52" i="7"/>
  <c r="F4" i="7"/>
  <c r="E4" i="7"/>
  <c r="B4" i="7"/>
  <c r="B1365" i="7" l="1"/>
  <c r="B1919" i="7"/>
  <c r="F2281" i="7"/>
  <c r="F2682" i="7"/>
  <c r="F2705" i="7"/>
  <c r="F2394" i="7"/>
  <c r="F2417" i="7"/>
  <c r="F2276" i="7"/>
  <c r="F2369" i="7"/>
  <c r="F2538" i="7"/>
  <c r="F2710" i="7"/>
  <c r="F2634" i="7"/>
  <c r="F2640" i="7"/>
  <c r="E2642" i="7" s="1"/>
  <c r="F2642" i="7" s="1"/>
  <c r="F2643" i="7" s="1"/>
  <c r="F2657" i="7"/>
  <c r="F2442" i="7"/>
  <c r="F2470" i="7"/>
  <c r="F2609" i="7"/>
  <c r="F2614" i="7"/>
  <c r="F2662" i="7"/>
  <c r="F2566" i="7"/>
  <c r="F2561" i="7"/>
  <c r="F2518" i="7"/>
  <c r="F2513" i="7"/>
  <c r="F2465" i="7"/>
  <c r="F2422" i="7"/>
  <c r="F2374" i="7"/>
  <c r="F2326" i="7"/>
  <c r="F2663" i="7" l="1"/>
  <c r="E70" i="2" s="1"/>
  <c r="F70" i="2" s="1"/>
  <c r="D520" i="8" l="1"/>
  <c r="D516" i="8"/>
  <c r="D507" i="8"/>
  <c r="D503" i="8"/>
  <c r="D502" i="8"/>
  <c r="D500" i="8"/>
  <c r="D498" i="8"/>
  <c r="E497" i="8"/>
  <c r="D495" i="8"/>
  <c r="D493" i="8"/>
  <c r="E493" i="8" s="1"/>
  <c r="D490" i="8"/>
  <c r="E490" i="8" s="1"/>
  <c r="D481" i="8"/>
  <c r="D474" i="8"/>
  <c r="D468" i="8"/>
  <c r="D466" i="8"/>
  <c r="F460" i="8"/>
  <c r="D459" i="8"/>
  <c r="H458" i="8"/>
  <c r="H460" i="8" s="1"/>
  <c r="J457" i="8"/>
  <c r="K457" i="8" s="1"/>
  <c r="I457" i="8"/>
  <c r="H457" i="8"/>
  <c r="D457" i="8"/>
  <c r="K456" i="8"/>
  <c r="I456" i="8"/>
  <c r="H456" i="8"/>
  <c r="D456" i="8"/>
  <c r="J455" i="8"/>
  <c r="K455" i="8" s="1"/>
  <c r="H455" i="8"/>
  <c r="D455" i="8"/>
  <c r="I455" i="8" s="1"/>
  <c r="J454" i="8"/>
  <c r="K454" i="8" s="1"/>
  <c r="H454" i="8"/>
  <c r="D454" i="8"/>
  <c r="I454" i="8" s="1"/>
  <c r="J453" i="8"/>
  <c r="K453" i="8" s="1"/>
  <c r="I453" i="8"/>
  <c r="H453" i="8"/>
  <c r="D453" i="8"/>
  <c r="J452" i="8"/>
  <c r="K452" i="8" s="1"/>
  <c r="I452" i="8"/>
  <c r="H452" i="8"/>
  <c r="D452" i="8"/>
  <c r="J451" i="8"/>
  <c r="K461" i="8" s="1"/>
  <c r="H451" i="8"/>
  <c r="D451" i="8"/>
  <c r="I451" i="8" s="1"/>
  <c r="D446" i="8"/>
  <c r="D445" i="8"/>
  <c r="D444" i="8"/>
  <c r="D442" i="8"/>
  <c r="E441" i="8"/>
  <c r="D437" i="8"/>
  <c r="D404" i="8"/>
  <c r="D403" i="8"/>
  <c r="D401" i="8"/>
  <c r="D399" i="8"/>
  <c r="D398" i="8"/>
  <c r="D397" i="8"/>
  <c r="E394" i="8"/>
  <c r="D394" i="8" s="1"/>
  <c r="D393" i="8"/>
  <c r="E392" i="8"/>
  <c r="D392" i="8" s="1"/>
  <c r="E391" i="8"/>
  <c r="D391" i="8"/>
  <c r="G390" i="8"/>
  <c r="D390" i="8"/>
  <c r="F380" i="8"/>
  <c r="D387" i="8" s="1"/>
  <c r="G379" i="8"/>
  <c r="D379" i="8"/>
  <c r="D378" i="8"/>
  <c r="D372" i="8"/>
  <c r="D371" i="8"/>
  <c r="D356" i="8"/>
  <c r="D347" i="8"/>
  <c r="D329" i="8"/>
  <c r="D328" i="8"/>
  <c r="D326" i="8"/>
  <c r="D318" i="8"/>
  <c r="D315" i="8"/>
  <c r="D294" i="8"/>
  <c r="D292" i="8"/>
  <c r="G283" i="8"/>
  <c r="D280" i="8"/>
  <c r="E279" i="8"/>
  <c r="D277" i="8"/>
  <c r="D275" i="8"/>
  <c r="D274" i="8"/>
  <c r="D273" i="8"/>
  <c r="E273" i="8" s="1"/>
  <c r="D272" i="8"/>
  <c r="D271" i="8"/>
  <c r="D270" i="8"/>
  <c r="D269" i="8"/>
  <c r="D268" i="8"/>
  <c r="D267" i="8"/>
  <c r="E1858" i="7" s="1"/>
  <c r="D266" i="8"/>
  <c r="D265" i="8"/>
  <c r="D264" i="8"/>
  <c r="E264" i="8" s="1"/>
  <c r="E263" i="8"/>
  <c r="E260" i="8"/>
  <c r="D248" i="8"/>
  <c r="D246" i="8"/>
  <c r="D245" i="8"/>
  <c r="D243" i="8"/>
  <c r="D242" i="8"/>
  <c r="D241" i="8"/>
  <c r="D239" i="8"/>
  <c r="E235" i="8"/>
  <c r="D234" i="8"/>
  <c r="D232" i="8"/>
  <c r="D230" i="8"/>
  <c r="D229" i="8"/>
  <c r="D226" i="8"/>
  <c r="D225" i="8"/>
  <c r="E225" i="8" s="1"/>
  <c r="D217" i="8"/>
  <c r="D216" i="8"/>
  <c r="D215" i="8"/>
  <c r="D214" i="8"/>
  <c r="D213" i="8"/>
  <c r="E211" i="8"/>
  <c r="D211" i="8"/>
  <c r="D210" i="8"/>
  <c r="E210" i="8" s="1"/>
  <c r="D203" i="8"/>
  <c r="D202" i="8"/>
  <c r="D200" i="8"/>
  <c r="D199" i="8"/>
  <c r="E199" i="8" s="1"/>
  <c r="D197" i="8"/>
  <c r="D195" i="8"/>
  <c r="D191" i="8"/>
  <c r="E191" i="8" s="1"/>
  <c r="D167" i="8"/>
  <c r="D146" i="8"/>
  <c r="D144" i="8"/>
  <c r="D143" i="8"/>
  <c r="D142" i="8"/>
  <c r="D141" i="8"/>
  <c r="D138" i="8"/>
  <c r="D137" i="8"/>
  <c r="D136" i="8"/>
  <c r="D135" i="8"/>
  <c r="D133" i="8"/>
  <c r="E81" i="8"/>
  <c r="E79" i="8"/>
  <c r="E80" i="8" s="1"/>
  <c r="E76" i="8"/>
  <c r="E77" i="8" s="1"/>
  <c r="E75" i="8"/>
  <c r="E74" i="8"/>
  <c r="E73" i="8"/>
  <c r="E50" i="8"/>
  <c r="D50" i="8"/>
  <c r="D49" i="8"/>
  <c r="G48" i="8"/>
  <c r="F48" i="8"/>
  <c r="E48" i="8"/>
  <c r="D48" i="8"/>
  <c r="G47" i="8"/>
  <c r="F47" i="8"/>
  <c r="D47" i="8"/>
  <c r="G46" i="8"/>
  <c r="E46" i="8"/>
  <c r="D46" i="8"/>
  <c r="E45" i="8"/>
  <c r="D45" i="8"/>
  <c r="E44" i="8"/>
  <c r="D44" i="8"/>
  <c r="E43" i="8"/>
  <c r="D43" i="8"/>
  <c r="E42" i="8"/>
  <c r="D42" i="8"/>
  <c r="E41" i="8"/>
  <c r="D41" i="8"/>
  <c r="E40" i="8"/>
  <c r="D40" i="8"/>
  <c r="E39" i="8"/>
  <c r="D39" i="8"/>
  <c r="E38" i="8"/>
  <c r="D38" i="8"/>
  <c r="E37" i="8"/>
  <c r="D37" i="8"/>
  <c r="D36" i="8"/>
  <c r="E35" i="8"/>
  <c r="D35" i="8"/>
  <c r="E34" i="8"/>
  <c r="D34" i="8"/>
  <c r="E33" i="8"/>
  <c r="D33" i="8"/>
  <c r="G7" i="8"/>
  <c r="D7" i="8"/>
  <c r="D6" i="8"/>
  <c r="D5" i="8"/>
  <c r="D4" i="8"/>
  <c r="D3" i="8"/>
  <c r="G2" i="8"/>
  <c r="D2" i="8"/>
  <c r="E125" i="4"/>
  <c r="F125" i="4" s="1"/>
  <c r="F123" i="4"/>
  <c r="E123" i="4"/>
  <c r="E122" i="4"/>
  <c r="F122" i="4" s="1"/>
  <c r="E117" i="4"/>
  <c r="F117" i="4" s="1"/>
  <c r="F115" i="4"/>
  <c r="E115" i="4"/>
  <c r="E111" i="4"/>
  <c r="F111" i="4" s="1"/>
  <c r="E104" i="4"/>
  <c r="F104" i="4" s="1"/>
  <c r="E102" i="4"/>
  <c r="F102" i="4" s="1"/>
  <c r="L99" i="4"/>
  <c r="M98" i="4"/>
  <c r="M97" i="4"/>
  <c r="E97" i="4"/>
  <c r="F97" i="4" s="1"/>
  <c r="M96" i="4"/>
  <c r="L95" i="4"/>
  <c r="M95" i="4" s="1"/>
  <c r="E95" i="4"/>
  <c r="F95" i="4" s="1"/>
  <c r="E90" i="4"/>
  <c r="F90" i="4" s="1"/>
  <c r="E88" i="4"/>
  <c r="F88" i="4" s="1"/>
  <c r="E83" i="4"/>
  <c r="F83" i="4" s="1"/>
  <c r="E81" i="4"/>
  <c r="F81" i="4" s="1"/>
  <c r="E76" i="4"/>
  <c r="F76" i="4" s="1"/>
  <c r="E74" i="4"/>
  <c r="F74" i="4" s="1"/>
  <c r="E69" i="4"/>
  <c r="F69" i="4" s="1"/>
  <c r="E67" i="4"/>
  <c r="F67" i="4" s="1"/>
  <c r="E62" i="4"/>
  <c r="F62" i="4" s="1"/>
  <c r="E60" i="4"/>
  <c r="F60" i="4" s="1"/>
  <c r="E52" i="4"/>
  <c r="F52" i="4" s="1"/>
  <c r="E51" i="4"/>
  <c r="F51" i="4" s="1"/>
  <c r="E47" i="4"/>
  <c r="F47" i="4" s="1"/>
  <c r="E45" i="4"/>
  <c r="F45" i="4" s="1"/>
  <c r="E41" i="4"/>
  <c r="F41" i="4" s="1"/>
  <c r="E39" i="4"/>
  <c r="F39" i="4" s="1"/>
  <c r="E35" i="4"/>
  <c r="F35" i="4" s="1"/>
  <c r="E33" i="4"/>
  <c r="F33" i="4" s="1"/>
  <c r="F29" i="4"/>
  <c r="E29" i="4"/>
  <c r="E27" i="4"/>
  <c r="F27" i="4" s="1"/>
  <c r="I25" i="4"/>
  <c r="E23" i="4"/>
  <c r="F23" i="4" s="1"/>
  <c r="E21" i="4"/>
  <c r="F21" i="4" s="1"/>
  <c r="K20" i="4"/>
  <c r="K17" i="4"/>
  <c r="E17" i="4"/>
  <c r="F17" i="4" s="1"/>
  <c r="K16" i="4"/>
  <c r="F15" i="4"/>
  <c r="L12" i="4"/>
  <c r="E108" i="4"/>
  <c r="F108" i="4" s="1"/>
  <c r="L11" i="4"/>
  <c r="J11" i="4"/>
  <c r="K11" i="4"/>
  <c r="K10" i="4"/>
  <c r="E10" i="4"/>
  <c r="F10" i="4" s="1"/>
  <c r="K9" i="4"/>
  <c r="L8" i="4"/>
  <c r="J8" i="4"/>
  <c r="D256" i="8" s="1"/>
  <c r="K8" i="4"/>
  <c r="E8" i="4"/>
  <c r="F8" i="4" s="1"/>
  <c r="K7" i="4"/>
  <c r="L6" i="4"/>
  <c r="L5" i="4"/>
  <c r="J5" i="4"/>
  <c r="L4" i="4"/>
  <c r="K4" i="4"/>
  <c r="F2232" i="7"/>
  <c r="F2231" i="7"/>
  <c r="F2230" i="7"/>
  <c r="F2227" i="7"/>
  <c r="F2226" i="7"/>
  <c r="F2225" i="7"/>
  <c r="F2224" i="7"/>
  <c r="F2223" i="7"/>
  <c r="F2222" i="7"/>
  <c r="F2221" i="7"/>
  <c r="F2220" i="7"/>
  <c r="F2219" i="7"/>
  <c r="F2218" i="7"/>
  <c r="F2217" i="7"/>
  <c r="F2216" i="7"/>
  <c r="F2210" i="7"/>
  <c r="F2209" i="7"/>
  <c r="F2208" i="7"/>
  <c r="F2204" i="7"/>
  <c r="F2203" i="7"/>
  <c r="F2202" i="7"/>
  <c r="F2201" i="7"/>
  <c r="F2200" i="7"/>
  <c r="F2199" i="7"/>
  <c r="F2198" i="7"/>
  <c r="F2184" i="7"/>
  <c r="F2183" i="7"/>
  <c r="F2182" i="7"/>
  <c r="F2179" i="7"/>
  <c r="F2178" i="7"/>
  <c r="F2177" i="7"/>
  <c r="F2176" i="7"/>
  <c r="F2175" i="7"/>
  <c r="F2174" i="7"/>
  <c r="F2173" i="7"/>
  <c r="F2172" i="7"/>
  <c r="F2171" i="7"/>
  <c r="F2170" i="7"/>
  <c r="F2169" i="7"/>
  <c r="F2168" i="7"/>
  <c r="F2162" i="7"/>
  <c r="F2161" i="7"/>
  <c r="F2160" i="7"/>
  <c r="F2156" i="7"/>
  <c r="F2155" i="7"/>
  <c r="F2154" i="7"/>
  <c r="F2153" i="7"/>
  <c r="F2152" i="7"/>
  <c r="F2151" i="7"/>
  <c r="F2150" i="7"/>
  <c r="F2145" i="7"/>
  <c r="F2136" i="7"/>
  <c r="F2135" i="7"/>
  <c r="F2134" i="7"/>
  <c r="F2131" i="7"/>
  <c r="F2130" i="7"/>
  <c r="F2129" i="7"/>
  <c r="F2128" i="7"/>
  <c r="F2127" i="7"/>
  <c r="F2126" i="7"/>
  <c r="F2125" i="7"/>
  <c r="F2124" i="7"/>
  <c r="F2123" i="7"/>
  <c r="F2122" i="7"/>
  <c r="F2121" i="7"/>
  <c r="F2120" i="7"/>
  <c r="F2114" i="7"/>
  <c r="F2113" i="7"/>
  <c r="F2112" i="7"/>
  <c r="F2108" i="7"/>
  <c r="F2107" i="7"/>
  <c r="F2106" i="7"/>
  <c r="F2105" i="7"/>
  <c r="F2104" i="7"/>
  <c r="F2103" i="7"/>
  <c r="F2102" i="7"/>
  <c r="F2101" i="7"/>
  <c r="F2100" i="7"/>
  <c r="F2099" i="7"/>
  <c r="F2088" i="7"/>
  <c r="F2087" i="7"/>
  <c r="F2086" i="7"/>
  <c r="F2083" i="7"/>
  <c r="F2082" i="7"/>
  <c r="F2081" i="7"/>
  <c r="F2080" i="7"/>
  <c r="F2079" i="7"/>
  <c r="F2078" i="7"/>
  <c r="F2077" i="7"/>
  <c r="F2076" i="7"/>
  <c r="F2075" i="7"/>
  <c r="F2074" i="7"/>
  <c r="F2073" i="7"/>
  <c r="F2072" i="7"/>
  <c r="F2066" i="7"/>
  <c r="F2065" i="7"/>
  <c r="F2064" i="7"/>
  <c r="F2060" i="7"/>
  <c r="F2059" i="7"/>
  <c r="F2058" i="7"/>
  <c r="F2057" i="7"/>
  <c r="F2056" i="7"/>
  <c r="F2055" i="7"/>
  <c r="F2054" i="7"/>
  <c r="F2053" i="7"/>
  <c r="F2052" i="7"/>
  <c r="F2051" i="7"/>
  <c r="F2050" i="7"/>
  <c r="F2049" i="7"/>
  <c r="F1896" i="7"/>
  <c r="F1895" i="7"/>
  <c r="F1894" i="7"/>
  <c r="F1891" i="7"/>
  <c r="F1890" i="7"/>
  <c r="F1889" i="7"/>
  <c r="F1888" i="7"/>
  <c r="F1887" i="7"/>
  <c r="F1886" i="7"/>
  <c r="F1885" i="7"/>
  <c r="F1884" i="7"/>
  <c r="F1883" i="7"/>
  <c r="F1882" i="7"/>
  <c r="F1881" i="7"/>
  <c r="F1880" i="7"/>
  <c r="F1874" i="7"/>
  <c r="F1873" i="7"/>
  <c r="F1872" i="7"/>
  <c r="F1868" i="7"/>
  <c r="F1867" i="7"/>
  <c r="F1866" i="7"/>
  <c r="F1865" i="7"/>
  <c r="F1864" i="7"/>
  <c r="F1863" i="7"/>
  <c r="F1862" i="7"/>
  <c r="F1861" i="7"/>
  <c r="F1860" i="7"/>
  <c r="F1859" i="7"/>
  <c r="F1858" i="7"/>
  <c r="F1848" i="7"/>
  <c r="F1847" i="7"/>
  <c r="F1846" i="7"/>
  <c r="F1843" i="7"/>
  <c r="F1842" i="7"/>
  <c r="F1841" i="7"/>
  <c r="F1840" i="7"/>
  <c r="F1839" i="7"/>
  <c r="F1838" i="7"/>
  <c r="F1837" i="7"/>
  <c r="F1836" i="7"/>
  <c r="F1835" i="7"/>
  <c r="F1834" i="7"/>
  <c r="F1833" i="7"/>
  <c r="F1832" i="7"/>
  <c r="F1826" i="7"/>
  <c r="F1825" i="7"/>
  <c r="F1820" i="7"/>
  <c r="F1819" i="7"/>
  <c r="F1818" i="7"/>
  <c r="F1817" i="7"/>
  <c r="F1816" i="7"/>
  <c r="F1815" i="7"/>
  <c r="F1814" i="7"/>
  <c r="F1813" i="7"/>
  <c r="F1800" i="7"/>
  <c r="F1799" i="7"/>
  <c r="F1798" i="7"/>
  <c r="F1795" i="7"/>
  <c r="F1794" i="7"/>
  <c r="F1793" i="7"/>
  <c r="F1792" i="7"/>
  <c r="F1791" i="7"/>
  <c r="F1787" i="7"/>
  <c r="F1786" i="7"/>
  <c r="F1779" i="7"/>
  <c r="F1778" i="7"/>
  <c r="F1777" i="7"/>
  <c r="F1774" i="7"/>
  <c r="F1772" i="7"/>
  <c r="F1771" i="7"/>
  <c r="F1755" i="7"/>
  <c r="F1754" i="7"/>
  <c r="F1753" i="7"/>
  <c r="F1750" i="7"/>
  <c r="F1749" i="7"/>
  <c r="F1748" i="7"/>
  <c r="F1747" i="7"/>
  <c r="F1746" i="7"/>
  <c r="F1745" i="7"/>
  <c r="F1742" i="7"/>
  <c r="F1736" i="7"/>
  <c r="F1735" i="7"/>
  <c r="F1730" i="7"/>
  <c r="F1729" i="7"/>
  <c r="F1728" i="7"/>
  <c r="F1727" i="7"/>
  <c r="F1726" i="7"/>
  <c r="F1710" i="7"/>
  <c r="F1709" i="7"/>
  <c r="F1708" i="7"/>
  <c r="F1705" i="7"/>
  <c r="F1704" i="7"/>
  <c r="F1703" i="7"/>
  <c r="F1702" i="7"/>
  <c r="F1701" i="7"/>
  <c r="F1697" i="7"/>
  <c r="F1696" i="7"/>
  <c r="F1689" i="7"/>
  <c r="F1684" i="7"/>
  <c r="F1682" i="7"/>
  <c r="F1681" i="7"/>
  <c r="F1665" i="7"/>
  <c r="F1664" i="7"/>
  <c r="F1663" i="7"/>
  <c r="F1660" i="7"/>
  <c r="F1659" i="7"/>
  <c r="F1658" i="7"/>
  <c r="F1657" i="7"/>
  <c r="F1656" i="7"/>
  <c r="F1655" i="7"/>
  <c r="F1646" i="7"/>
  <c r="F1645" i="7"/>
  <c r="F1640" i="7"/>
  <c r="F1639" i="7"/>
  <c r="F1637" i="7"/>
  <c r="F1636" i="7"/>
  <c r="F1634" i="7"/>
  <c r="F1575" i="7"/>
  <c r="F1574" i="7"/>
  <c r="F1573" i="7"/>
  <c r="F1570" i="7"/>
  <c r="F1569" i="7"/>
  <c r="F1568" i="7"/>
  <c r="F1567" i="7"/>
  <c r="F1565" i="7"/>
  <c r="F1564" i="7"/>
  <c r="F1561" i="7"/>
  <c r="F1559" i="7"/>
  <c r="F1553" i="7"/>
  <c r="F1547" i="7"/>
  <c r="F1546" i="7"/>
  <c r="F1545" i="7"/>
  <c r="F1530" i="7"/>
  <c r="F1529" i="7"/>
  <c r="F1528" i="7"/>
  <c r="F1525" i="7"/>
  <c r="F1524" i="7"/>
  <c r="F1523" i="7"/>
  <c r="F1521" i="7"/>
  <c r="F1520" i="7"/>
  <c r="F1517" i="7"/>
  <c r="F1515" i="7"/>
  <c r="F1509" i="7"/>
  <c r="F1503" i="7"/>
  <c r="F1502" i="7"/>
  <c r="F1501" i="7"/>
  <c r="F1486" i="7"/>
  <c r="F1485" i="7"/>
  <c r="F1484" i="7"/>
  <c r="F1481" i="7"/>
  <c r="F1480" i="7"/>
  <c r="F1479" i="7"/>
  <c r="F1478" i="7"/>
  <c r="F1477" i="7"/>
  <c r="F1476" i="7"/>
  <c r="F1475" i="7"/>
  <c r="F1473" i="7"/>
  <c r="F1472" i="7"/>
  <c r="F1470" i="7"/>
  <c r="F1464" i="7"/>
  <c r="F1463" i="7"/>
  <c r="F1458" i="7"/>
  <c r="F1457" i="7"/>
  <c r="F1456" i="7"/>
  <c r="F1455" i="7"/>
  <c r="F1452" i="7"/>
  <c r="F1451" i="7"/>
  <c r="F1438" i="7"/>
  <c r="F1437" i="7"/>
  <c r="F1436" i="7"/>
  <c r="F1433" i="7"/>
  <c r="F1432" i="7"/>
  <c r="F1431" i="7"/>
  <c r="F1430" i="7"/>
  <c r="F1429" i="7"/>
  <c r="F1428" i="7"/>
  <c r="F1427" i="7"/>
  <c r="F1426" i="7"/>
  <c r="F1424" i="7"/>
  <c r="F1416" i="7"/>
  <c r="F1415" i="7"/>
  <c r="F1414" i="7"/>
  <c r="F1410" i="7"/>
  <c r="F1409" i="7"/>
  <c r="F1408" i="7"/>
  <c r="F1407" i="7"/>
  <c r="F1406" i="7"/>
  <c r="F1405" i="7"/>
  <c r="F1404" i="7"/>
  <c r="F1403" i="7"/>
  <c r="F1402" i="7"/>
  <c r="F1401" i="7"/>
  <c r="F1400" i="7"/>
  <c r="F1390" i="7"/>
  <c r="F1389" i="7"/>
  <c r="F1388" i="7"/>
  <c r="F1385" i="7"/>
  <c r="F1384" i="7"/>
  <c r="F1383" i="7"/>
  <c r="F1382" i="7"/>
  <c r="F1381" i="7"/>
  <c r="F1380" i="7"/>
  <c r="F1379" i="7"/>
  <c r="F1378" i="7"/>
  <c r="F1377" i="7"/>
  <c r="F1376" i="7"/>
  <c r="F1375" i="7"/>
  <c r="F1374" i="7"/>
  <c r="F1368" i="7"/>
  <c r="F1367" i="7"/>
  <c r="F1366" i="7"/>
  <c r="F1362" i="7"/>
  <c r="F1361" i="7"/>
  <c r="F1360" i="7"/>
  <c r="F1359" i="7"/>
  <c r="F1358" i="7"/>
  <c r="F1357" i="7"/>
  <c r="F1356" i="7"/>
  <c r="F1355" i="7"/>
  <c r="F1354" i="7"/>
  <c r="F1353" i="7"/>
  <c r="F1352" i="7"/>
  <c r="F1342" i="7"/>
  <c r="F1341" i="7"/>
  <c r="F1340" i="7"/>
  <c r="F1337" i="7"/>
  <c r="F1336" i="7"/>
  <c r="F1335" i="7"/>
  <c r="F1334" i="7"/>
  <c r="F1333" i="7"/>
  <c r="F1332" i="7"/>
  <c r="F1331" i="7"/>
  <c r="F1330" i="7"/>
  <c r="F1329" i="7"/>
  <c r="F1328" i="7"/>
  <c r="F1327" i="7"/>
  <c r="F1326" i="7"/>
  <c r="F1320" i="7"/>
  <c r="F1319" i="7"/>
  <c r="F1318" i="7"/>
  <c r="F1314" i="7"/>
  <c r="F1313" i="7"/>
  <c r="F1312" i="7"/>
  <c r="F1311" i="7"/>
  <c r="F1310" i="7"/>
  <c r="F1309" i="7"/>
  <c r="F1308" i="7"/>
  <c r="F1307" i="7"/>
  <c r="F1306" i="7"/>
  <c r="F1305" i="7"/>
  <c r="F1304" i="7"/>
  <c r="F1303" i="7"/>
  <c r="F1294" i="7"/>
  <c r="F1293" i="7"/>
  <c r="F1292" i="7"/>
  <c r="F1289" i="7"/>
  <c r="F1288" i="7"/>
  <c r="F1287" i="7"/>
  <c r="F1286" i="7"/>
  <c r="F1285" i="7"/>
  <c r="F1284" i="7"/>
  <c r="F1283" i="7"/>
  <c r="F1282" i="7"/>
  <c r="F1281" i="7"/>
  <c r="F1280" i="7"/>
  <c r="F1279" i="7"/>
  <c r="F1278" i="7"/>
  <c r="F1272" i="7"/>
  <c r="F1271" i="7"/>
  <c r="F1270" i="7"/>
  <c r="F1266" i="7"/>
  <c r="F1265" i="7"/>
  <c r="F1264" i="7"/>
  <c r="F1263" i="7"/>
  <c r="F1262" i="7"/>
  <c r="F1261" i="7"/>
  <c r="F1260" i="7"/>
  <c r="F1259" i="7"/>
  <c r="F1258" i="7"/>
  <c r="F1257" i="7"/>
  <c r="F1256" i="7"/>
  <c r="F1255" i="7"/>
  <c r="F1198" i="7"/>
  <c r="F1197" i="7"/>
  <c r="F1196" i="7"/>
  <c r="F1193" i="7"/>
  <c r="F1192" i="7"/>
  <c r="F1191" i="7"/>
  <c r="F1190" i="7"/>
  <c r="F1189" i="7"/>
  <c r="F1188" i="7"/>
  <c r="F1187" i="7"/>
  <c r="F1186" i="7"/>
  <c r="F1185" i="7"/>
  <c r="F1184" i="7"/>
  <c r="F1183" i="7"/>
  <c r="F1182" i="7"/>
  <c r="F1176" i="7"/>
  <c r="F1175" i="7"/>
  <c r="F1174" i="7"/>
  <c r="F1170" i="7"/>
  <c r="F1169" i="7"/>
  <c r="F1168" i="7"/>
  <c r="F1167" i="7"/>
  <c r="F1166" i="7"/>
  <c r="F1165" i="7"/>
  <c r="F1164" i="7"/>
  <c r="F1163" i="7"/>
  <c r="F1162" i="7"/>
  <c r="F1161" i="7"/>
  <c r="F1160" i="7"/>
  <c r="F1159" i="7"/>
  <c r="F1102" i="7"/>
  <c r="F1101" i="7"/>
  <c r="F1100" i="7"/>
  <c r="F1097" i="7"/>
  <c r="F1096" i="7"/>
  <c r="F1095" i="7"/>
  <c r="F1094" i="7"/>
  <c r="F1093" i="7"/>
  <c r="F1092" i="7"/>
  <c r="F1091" i="7"/>
  <c r="F1090" i="7"/>
  <c r="F1089" i="7"/>
  <c r="F1088" i="7"/>
  <c r="F1087" i="7"/>
  <c r="F1086" i="7"/>
  <c r="F1080" i="7"/>
  <c r="F1079" i="7"/>
  <c r="F1078" i="7"/>
  <c r="F1074" i="7"/>
  <c r="F1073" i="7"/>
  <c r="F1072" i="7"/>
  <c r="F1071" i="7"/>
  <c r="F1070" i="7"/>
  <c r="F1069" i="7"/>
  <c r="F1068" i="7"/>
  <c r="F1067" i="7"/>
  <c r="F1066" i="7"/>
  <c r="F1065" i="7"/>
  <c r="F1064" i="7"/>
  <c r="F1054" i="7"/>
  <c r="F1053" i="7"/>
  <c r="F1049" i="7"/>
  <c r="F1048" i="7"/>
  <c r="F1047" i="7"/>
  <c r="F1046" i="7"/>
  <c r="F1045" i="7"/>
  <c r="F1044" i="7"/>
  <c r="F1043" i="7"/>
  <c r="F1042" i="7"/>
  <c r="F1041" i="7"/>
  <c r="F1039" i="7"/>
  <c r="F1032" i="7"/>
  <c r="F1031" i="7"/>
  <c r="F1030" i="7"/>
  <c r="F1029" i="7"/>
  <c r="F1026" i="7"/>
  <c r="F1025" i="7"/>
  <c r="F1024" i="7"/>
  <c r="F1023" i="7"/>
  <c r="F1022" i="7"/>
  <c r="F1021" i="7"/>
  <c r="F1020" i="7"/>
  <c r="F1019" i="7"/>
  <c r="F1018" i="7"/>
  <c r="F1017" i="7"/>
  <c r="F1016" i="7"/>
  <c r="F1015" i="7"/>
  <c r="F1006" i="7"/>
  <c r="F1005" i="7"/>
  <c r="F1001" i="7"/>
  <c r="F1000" i="7"/>
  <c r="F999" i="7"/>
  <c r="F998" i="7"/>
  <c r="F997" i="7"/>
  <c r="F996" i="7"/>
  <c r="F995" i="7"/>
  <c r="F994" i="7"/>
  <c r="F993" i="7"/>
  <c r="F991" i="7"/>
  <c r="F984" i="7"/>
  <c r="F983" i="7"/>
  <c r="F982" i="7"/>
  <c r="F978" i="7"/>
  <c r="F977" i="7"/>
  <c r="F976" i="7"/>
  <c r="F975" i="7"/>
  <c r="F974" i="7"/>
  <c r="F973" i="7"/>
  <c r="F972" i="7"/>
  <c r="F971" i="7"/>
  <c r="F970" i="7"/>
  <c r="F969" i="7"/>
  <c r="F968" i="7"/>
  <c r="F967" i="7"/>
  <c r="F958" i="7"/>
  <c r="F957" i="7"/>
  <c r="F956" i="7"/>
  <c r="F953" i="7"/>
  <c r="F952" i="7"/>
  <c r="F951" i="7"/>
  <c r="F950" i="7"/>
  <c r="F949" i="7"/>
  <c r="F948" i="7"/>
  <c r="F947" i="7"/>
  <c r="F946" i="7"/>
  <c r="F944" i="7"/>
  <c r="F942" i="7"/>
  <c r="F936" i="7"/>
  <c r="F935" i="7"/>
  <c r="F934" i="7"/>
  <c r="F930" i="7"/>
  <c r="F929" i="7"/>
  <c r="F928" i="7"/>
  <c r="F927" i="7"/>
  <c r="F926" i="7"/>
  <c r="F925" i="7"/>
  <c r="F924" i="7"/>
  <c r="F923" i="7"/>
  <c r="F922" i="7"/>
  <c r="F921" i="7"/>
  <c r="F920" i="7"/>
  <c r="F919" i="7"/>
  <c r="F910" i="7"/>
  <c r="F909" i="7"/>
  <c r="F905" i="7"/>
  <c r="F904" i="7"/>
  <c r="F903" i="7"/>
  <c r="F902" i="7"/>
  <c r="F901" i="7"/>
  <c r="F900" i="7"/>
  <c r="F899" i="7"/>
  <c r="F898" i="7"/>
  <c r="F897" i="7"/>
  <c r="F896" i="7"/>
  <c r="F895" i="7"/>
  <c r="F894" i="7"/>
  <c r="F888" i="7"/>
  <c r="F887" i="7"/>
  <c r="F886" i="7"/>
  <c r="F882" i="7"/>
  <c r="F881" i="7"/>
  <c r="F880" i="7"/>
  <c r="F879" i="7"/>
  <c r="F878" i="7"/>
  <c r="F877" i="7"/>
  <c r="F876" i="7"/>
  <c r="F875" i="7"/>
  <c r="F874" i="7"/>
  <c r="F873" i="7"/>
  <c r="F872" i="7"/>
  <c r="F871" i="7"/>
  <c r="F862" i="7"/>
  <c r="F861" i="7"/>
  <c r="F857" i="7"/>
  <c r="F856" i="7"/>
  <c r="F855" i="7"/>
  <c r="F854" i="7"/>
  <c r="F853" i="7"/>
  <c r="F852" i="7"/>
  <c r="F851" i="7"/>
  <c r="F850" i="7"/>
  <c r="F849" i="7"/>
  <c r="F847" i="7"/>
  <c r="F846" i="7"/>
  <c r="F840" i="7"/>
  <c r="F839" i="7"/>
  <c r="F838" i="7"/>
  <c r="F834" i="7"/>
  <c r="F833" i="7"/>
  <c r="F832" i="7"/>
  <c r="F831" i="7"/>
  <c r="F830" i="7"/>
  <c r="F829" i="7"/>
  <c r="F828" i="7"/>
  <c r="F827" i="7"/>
  <c r="F826" i="7"/>
  <c r="F825" i="7"/>
  <c r="F824" i="7"/>
  <c r="F823" i="7"/>
  <c r="F814" i="7"/>
  <c r="F813" i="7"/>
  <c r="F809" i="7"/>
  <c r="F808" i="7"/>
  <c r="F807" i="7"/>
  <c r="F806" i="7"/>
  <c r="F805" i="7"/>
  <c r="F804" i="7"/>
  <c r="F803" i="7"/>
  <c r="F802" i="7"/>
  <c r="F801" i="7"/>
  <c r="F800" i="7"/>
  <c r="F799" i="7"/>
  <c r="F798" i="7"/>
  <c r="F792" i="7"/>
  <c r="F791" i="7"/>
  <c r="F790" i="7"/>
  <c r="F786" i="7"/>
  <c r="F785" i="7"/>
  <c r="F784" i="7"/>
  <c r="F783" i="7"/>
  <c r="F782" i="7"/>
  <c r="F781" i="7"/>
  <c r="F780" i="7"/>
  <c r="F779" i="7"/>
  <c r="F778" i="7"/>
  <c r="F777" i="7"/>
  <c r="F776" i="7"/>
  <c r="F775" i="7"/>
  <c r="F766" i="7"/>
  <c r="F765" i="7"/>
  <c r="F764" i="7"/>
  <c r="F761" i="7"/>
  <c r="F760" i="7"/>
  <c r="F759" i="7"/>
  <c r="F758" i="7"/>
  <c r="F757" i="7"/>
  <c r="F756" i="7"/>
  <c r="F755" i="7"/>
  <c r="F754" i="7"/>
  <c r="F753" i="7"/>
  <c r="F752" i="7"/>
  <c r="F751" i="7"/>
  <c r="F750" i="7"/>
  <c r="F744" i="7"/>
  <c r="F743" i="7"/>
  <c r="F742" i="7"/>
  <c r="F738" i="7"/>
  <c r="F737" i="7"/>
  <c r="F736" i="7"/>
  <c r="F735" i="7"/>
  <c r="F734" i="7"/>
  <c r="F733" i="7"/>
  <c r="F732" i="7"/>
  <c r="F730" i="7"/>
  <c r="F729" i="7"/>
  <c r="F727" i="7"/>
  <c r="F718" i="7"/>
  <c r="F717" i="7"/>
  <c r="F713" i="7"/>
  <c r="F712" i="7"/>
  <c r="F711" i="7"/>
  <c r="F710" i="7"/>
  <c r="F709" i="7"/>
  <c r="F708" i="7"/>
  <c r="F707" i="7"/>
  <c r="F706" i="7"/>
  <c r="F705" i="7"/>
  <c r="F704" i="7"/>
  <c r="F703" i="7"/>
  <c r="F702" i="7"/>
  <c r="F696" i="7"/>
  <c r="F695" i="7"/>
  <c r="F694" i="7"/>
  <c r="F690" i="7"/>
  <c r="F689" i="7"/>
  <c r="F688" i="7"/>
  <c r="F687" i="7"/>
  <c r="F686" i="7"/>
  <c r="F685" i="7"/>
  <c r="F684" i="7"/>
  <c r="F683" i="7"/>
  <c r="F682" i="7"/>
  <c r="F681" i="7"/>
  <c r="F680" i="7"/>
  <c r="F679" i="7"/>
  <c r="F670" i="7"/>
  <c r="F669" i="7"/>
  <c r="F668" i="7"/>
  <c r="F665" i="7"/>
  <c r="F664" i="7"/>
  <c r="F663" i="7"/>
  <c r="F662" i="7"/>
  <c r="F661" i="7"/>
  <c r="F660" i="7"/>
  <c r="F659" i="7"/>
  <c r="F658" i="7"/>
  <c r="F657" i="7"/>
  <c r="F656" i="7"/>
  <c r="F655" i="7"/>
  <c r="F654" i="7"/>
  <c r="F648" i="7"/>
  <c r="F647" i="7"/>
  <c r="F646" i="7"/>
  <c r="F642" i="7"/>
  <c r="F641" i="7"/>
  <c r="F640" i="7"/>
  <c r="F639" i="7"/>
  <c r="F638" i="7"/>
  <c r="F637" i="7"/>
  <c r="F636" i="7"/>
  <c r="F635" i="7"/>
  <c r="F634" i="7"/>
  <c r="F632" i="7"/>
  <c r="F631" i="7"/>
  <c r="F574" i="7"/>
  <c r="F573" i="7"/>
  <c r="F572" i="7"/>
  <c r="F569" i="7"/>
  <c r="F568" i="7"/>
  <c r="F567" i="7"/>
  <c r="F566" i="7"/>
  <c r="F565" i="7"/>
  <c r="F564" i="7"/>
  <c r="F563" i="7"/>
  <c r="F562" i="7"/>
  <c r="F561" i="7"/>
  <c r="F560" i="7"/>
  <c r="F559" i="7"/>
  <c r="F558" i="7"/>
  <c r="F552" i="7"/>
  <c r="F551" i="7"/>
  <c r="F550" i="7"/>
  <c r="F546" i="7"/>
  <c r="F545" i="7"/>
  <c r="F544" i="7"/>
  <c r="F543" i="7"/>
  <c r="F542" i="7"/>
  <c r="F541" i="7"/>
  <c r="F540" i="7"/>
  <c r="F539" i="7"/>
  <c r="F538" i="7"/>
  <c r="F526" i="7"/>
  <c r="F525" i="7"/>
  <c r="F524" i="7"/>
  <c r="F521" i="7"/>
  <c r="F520" i="7"/>
  <c r="F519" i="7"/>
  <c r="F518" i="7"/>
  <c r="F517" i="7"/>
  <c r="F516" i="7"/>
  <c r="F515" i="7"/>
  <c r="F514" i="7"/>
  <c r="F513" i="7"/>
  <c r="F512" i="7"/>
  <c r="F511" i="7"/>
  <c r="F510" i="7"/>
  <c r="F504" i="7"/>
  <c r="F503" i="7"/>
  <c r="F502" i="7"/>
  <c r="F498" i="7"/>
  <c r="F497" i="7"/>
  <c r="F496" i="7"/>
  <c r="F495" i="7"/>
  <c r="F494" i="7"/>
  <c r="F493" i="7"/>
  <c r="F492" i="7"/>
  <c r="F491" i="7"/>
  <c r="F490" i="7"/>
  <c r="F489" i="7"/>
  <c r="F488" i="7"/>
  <c r="F478" i="7"/>
  <c r="F477" i="7"/>
  <c r="F476" i="7"/>
  <c r="F473" i="7"/>
  <c r="F472" i="7"/>
  <c r="F471" i="7"/>
  <c r="F470" i="7"/>
  <c r="F469" i="7"/>
  <c r="F468" i="7"/>
  <c r="F467" i="7"/>
  <c r="F466" i="7"/>
  <c r="F465" i="7"/>
  <c r="F464" i="7"/>
  <c r="F463" i="7"/>
  <c r="F462" i="7"/>
  <c r="F456" i="7"/>
  <c r="F455" i="7"/>
  <c r="F454" i="7"/>
  <c r="F450" i="7"/>
  <c r="F449" i="7"/>
  <c r="F448" i="7"/>
  <c r="F447" i="7"/>
  <c r="F446" i="7"/>
  <c r="F445" i="7"/>
  <c r="F444" i="7"/>
  <c r="F443" i="7"/>
  <c r="F442" i="7"/>
  <c r="F441" i="7"/>
  <c r="F440" i="7"/>
  <c r="F430" i="7"/>
  <c r="F429" i="7"/>
  <c r="F428" i="7"/>
  <c r="F425" i="7"/>
  <c r="F424" i="7"/>
  <c r="F423" i="7"/>
  <c r="F422" i="7"/>
  <c r="F421" i="7"/>
  <c r="F420" i="7"/>
  <c r="F419" i="7"/>
  <c r="F418" i="7"/>
  <c r="F417" i="7"/>
  <c r="F416" i="7"/>
  <c r="F415" i="7"/>
  <c r="F414" i="7"/>
  <c r="F408" i="7"/>
  <c r="F407" i="7"/>
  <c r="F406" i="7"/>
  <c r="F402" i="7"/>
  <c r="F401" i="7"/>
  <c r="F400" i="7"/>
  <c r="F399" i="7"/>
  <c r="F398" i="7"/>
  <c r="F397" i="7"/>
  <c r="F396" i="7"/>
  <c r="F395" i="7"/>
  <c r="F394" i="7"/>
  <c r="F393" i="7"/>
  <c r="F382" i="7"/>
  <c r="F381" i="7"/>
  <c r="F380" i="7"/>
  <c r="F377" i="7"/>
  <c r="F376" i="7"/>
  <c r="F375" i="7"/>
  <c r="F374" i="7"/>
  <c r="F373" i="7"/>
  <c r="F372" i="7"/>
  <c r="F371" i="7"/>
  <c r="F370" i="7"/>
  <c r="F369" i="7"/>
  <c r="F368" i="7"/>
  <c r="F367" i="7"/>
  <c r="F360" i="7"/>
  <c r="F359" i="7"/>
  <c r="F358" i="7"/>
  <c r="F354" i="7"/>
  <c r="F353" i="7"/>
  <c r="F352" i="7"/>
  <c r="F351" i="7"/>
  <c r="F350" i="7"/>
  <c r="F349" i="7"/>
  <c r="F348" i="7"/>
  <c r="F347" i="7"/>
  <c r="F346" i="7"/>
  <c r="F345" i="7"/>
  <c r="F334" i="7"/>
  <c r="F333" i="7"/>
  <c r="F332" i="7"/>
  <c r="F329" i="7"/>
  <c r="F328" i="7"/>
  <c r="F327" i="7"/>
  <c r="F326" i="7"/>
  <c r="F325" i="7"/>
  <c r="F324" i="7"/>
  <c r="F323" i="7"/>
  <c r="F322" i="7"/>
  <c r="F321" i="7"/>
  <c r="F320" i="7"/>
  <c r="F319" i="7"/>
  <c r="F318" i="7"/>
  <c r="F312" i="7"/>
  <c r="F311" i="7"/>
  <c r="F310" i="7"/>
  <c r="F306" i="7"/>
  <c r="F305" i="7"/>
  <c r="F304" i="7"/>
  <c r="F303" i="7"/>
  <c r="F302" i="7"/>
  <c r="F301" i="7"/>
  <c r="F300" i="7"/>
  <c r="F299" i="7"/>
  <c r="F297" i="7"/>
  <c r="F286" i="7"/>
  <c r="F285" i="7"/>
  <c r="F284" i="7"/>
  <c r="F281" i="7"/>
  <c r="F280" i="7"/>
  <c r="F279" i="7"/>
  <c r="F278" i="7"/>
  <c r="F277" i="7"/>
  <c r="F276" i="7"/>
  <c r="F275" i="7"/>
  <c r="F274" i="7"/>
  <c r="F273" i="7"/>
  <c r="F272" i="7"/>
  <c r="F271" i="7"/>
  <c r="F270" i="7"/>
  <c r="F264" i="7"/>
  <c r="F263" i="7"/>
  <c r="F262" i="7"/>
  <c r="F258" i="7"/>
  <c r="F257" i="7"/>
  <c r="F256" i="7"/>
  <c r="F255" i="7"/>
  <c r="F254" i="7"/>
  <c r="F253" i="7"/>
  <c r="F252" i="7"/>
  <c r="F251" i="7"/>
  <c r="F250" i="7"/>
  <c r="F249" i="7"/>
  <c r="F248" i="7"/>
  <c r="F238" i="7"/>
  <c r="F237" i="7"/>
  <c r="F1245" i="7" s="1"/>
  <c r="F236" i="7"/>
  <c r="F233" i="7"/>
  <c r="F232" i="7"/>
  <c r="F231" i="7"/>
  <c r="F230" i="7"/>
  <c r="F229" i="7"/>
  <c r="F228" i="7"/>
  <c r="F227" i="7"/>
  <c r="F226" i="7"/>
  <c r="F225" i="7"/>
  <c r="F223" i="7"/>
  <c r="F222" i="7"/>
  <c r="F216" i="7"/>
  <c r="F215" i="7"/>
  <c r="F214" i="7"/>
  <c r="F210" i="7"/>
  <c r="F209" i="7"/>
  <c r="F208" i="7"/>
  <c r="F207" i="7"/>
  <c r="F206" i="7"/>
  <c r="F205" i="7"/>
  <c r="F204" i="7"/>
  <c r="F203" i="7"/>
  <c r="F202" i="7"/>
  <c r="F201" i="7"/>
  <c r="F200" i="7"/>
  <c r="F199" i="7"/>
  <c r="F190" i="7"/>
  <c r="F189" i="7"/>
  <c r="F185" i="7"/>
  <c r="F184" i="7"/>
  <c r="F183" i="7"/>
  <c r="F182" i="7"/>
  <c r="F181" i="7"/>
  <c r="F180" i="7"/>
  <c r="F179" i="7"/>
  <c r="F178" i="7"/>
  <c r="F177" i="7"/>
  <c r="F176" i="7"/>
  <c r="F175" i="7"/>
  <c r="F168" i="7"/>
  <c r="F167" i="7"/>
  <c r="F166" i="7"/>
  <c r="F162" i="7"/>
  <c r="F161" i="7"/>
  <c r="F160" i="7"/>
  <c r="F159" i="7"/>
  <c r="F158" i="7"/>
  <c r="F157" i="7"/>
  <c r="F156" i="7"/>
  <c r="F155" i="7"/>
  <c r="F154" i="7"/>
  <c r="F153" i="7"/>
  <c r="F152" i="7"/>
  <c r="F151" i="7"/>
  <c r="F142" i="7"/>
  <c r="F141" i="7"/>
  <c r="F137" i="7"/>
  <c r="F136" i="7"/>
  <c r="F135" i="7"/>
  <c r="F134" i="7"/>
  <c r="F133" i="7"/>
  <c r="F132" i="7"/>
  <c r="F131" i="7"/>
  <c r="F130" i="7"/>
  <c r="F129" i="7"/>
  <c r="F127" i="7"/>
  <c r="F126" i="7"/>
  <c r="F120" i="7"/>
  <c r="F119" i="7"/>
  <c r="F118" i="7"/>
  <c r="F114" i="7"/>
  <c r="F113" i="7"/>
  <c r="F112" i="7"/>
  <c r="F111" i="7"/>
  <c r="F110" i="7"/>
  <c r="F109" i="7"/>
  <c r="F108" i="7"/>
  <c r="F107" i="7"/>
  <c r="F106" i="7"/>
  <c r="F105" i="7"/>
  <c r="F104" i="7"/>
  <c r="F103" i="7"/>
  <c r="F94" i="7"/>
  <c r="F93" i="7"/>
  <c r="F89" i="7"/>
  <c r="F88" i="7"/>
  <c r="F87" i="7"/>
  <c r="F86" i="7"/>
  <c r="F85" i="7"/>
  <c r="F84" i="7"/>
  <c r="F83" i="7"/>
  <c r="F82" i="7"/>
  <c r="F81" i="7"/>
  <c r="F80" i="7"/>
  <c r="F79" i="7"/>
  <c r="F72" i="7"/>
  <c r="F71" i="7"/>
  <c r="F70" i="7"/>
  <c r="F66" i="7"/>
  <c r="F65" i="7"/>
  <c r="F64" i="7"/>
  <c r="F63" i="7"/>
  <c r="F62" i="7"/>
  <c r="F61" i="7"/>
  <c r="F60" i="7"/>
  <c r="F59" i="7"/>
  <c r="F58" i="7"/>
  <c r="F57" i="7"/>
  <c r="F56" i="7"/>
  <c r="F55" i="7"/>
  <c r="F45" i="7"/>
  <c r="F46" i="7"/>
  <c r="F41" i="7"/>
  <c r="F40" i="7"/>
  <c r="F39" i="7"/>
  <c r="F38" i="7"/>
  <c r="F37" i="7"/>
  <c r="F36" i="7"/>
  <c r="F35" i="7"/>
  <c r="F34" i="7"/>
  <c r="F33" i="7"/>
  <c r="F32" i="7"/>
  <c r="F31" i="7"/>
  <c r="F30" i="7"/>
  <c r="F24" i="7"/>
  <c r="F23" i="7"/>
  <c r="F22" i="7"/>
  <c r="F18" i="7"/>
  <c r="F17" i="7"/>
  <c r="F16" i="7"/>
  <c r="F15" i="7"/>
  <c r="F14" i="7"/>
  <c r="F13" i="7"/>
  <c r="F12" i="7"/>
  <c r="F11" i="7"/>
  <c r="F10" i="7"/>
  <c r="F9" i="7"/>
  <c r="F8" i="7"/>
  <c r="F7" i="7"/>
  <c r="F2478" i="7" l="1"/>
  <c r="F2490" i="7" s="1"/>
  <c r="E391" i="7"/>
  <c r="F391" i="7" s="1"/>
  <c r="F403" i="7" s="1"/>
  <c r="E2146" i="7"/>
  <c r="F2146" i="7" s="1"/>
  <c r="E269" i="8"/>
  <c r="E2960" i="7"/>
  <c r="F2960" i="7" s="1"/>
  <c r="E2291" i="7"/>
  <c r="F2291" i="7" s="1"/>
  <c r="E1676" i="7"/>
  <c r="E1721" i="7"/>
  <c r="F1721" i="7" s="1"/>
  <c r="E1631" i="7"/>
  <c r="F1631" i="7" s="1"/>
  <c r="E224" i="7"/>
  <c r="F234" i="7" s="1"/>
  <c r="F1242" i="7" s="1"/>
  <c r="E128" i="7"/>
  <c r="J10" i="4"/>
  <c r="E26" i="4" s="1"/>
  <c r="F26" i="4" s="1"/>
  <c r="M99" i="4"/>
  <c r="E2862" i="7"/>
  <c r="F2862" i="7" s="1"/>
  <c r="E439" i="7"/>
  <c r="F439" i="7" s="1"/>
  <c r="F451" i="7" s="1"/>
  <c r="E2147" i="7"/>
  <c r="F2147" i="7" s="1"/>
  <c r="E1115" i="7"/>
  <c r="F1115" i="7" s="1"/>
  <c r="E1063" i="7"/>
  <c r="F1063" i="7" s="1"/>
  <c r="E1654" i="7"/>
  <c r="F1654" i="7" s="1"/>
  <c r="E1423" i="7"/>
  <c r="F1423" i="7" s="1"/>
  <c r="E945" i="7"/>
  <c r="E2024" i="7"/>
  <c r="F2024" i="7" s="1"/>
  <c r="F2036" i="7" s="1"/>
  <c r="E2983" i="7"/>
  <c r="F2983" i="7" s="1"/>
  <c r="F2990" i="7" s="1"/>
  <c r="E608" i="7"/>
  <c r="F608" i="7" s="1"/>
  <c r="F618" i="7" s="1"/>
  <c r="E2309" i="7"/>
  <c r="F2309" i="7" s="1"/>
  <c r="F2321" i="7" s="1"/>
  <c r="E1695" i="7"/>
  <c r="E1744" i="7"/>
  <c r="F1744" i="7" s="1"/>
  <c r="E1474" i="7"/>
  <c r="F1474" i="7" s="1"/>
  <c r="E1652" i="7"/>
  <c r="F1652" i="7" s="1"/>
  <c r="E1516" i="7"/>
  <c r="E1425" i="7"/>
  <c r="F1425" i="7" s="1"/>
  <c r="E366" i="7"/>
  <c r="F366" i="7" s="1"/>
  <c r="E1519" i="7"/>
  <c r="E1471" i="7"/>
  <c r="F1471" i="7" s="1"/>
  <c r="F1482" i="7" s="1"/>
  <c r="E1699" i="7"/>
  <c r="E2865" i="7"/>
  <c r="F2865" i="7" s="1"/>
  <c r="E2098" i="7"/>
  <c r="F2098" i="7" s="1"/>
  <c r="E1857" i="7"/>
  <c r="F1857" i="7" s="1"/>
  <c r="E1136" i="7"/>
  <c r="F1136" i="7" s="1"/>
  <c r="F1146" i="7" s="1"/>
  <c r="K451" i="8"/>
  <c r="F2097" i="7"/>
  <c r="F2109" i="7" s="1"/>
  <c r="E2197" i="7"/>
  <c r="F2197" i="7" s="1"/>
  <c r="L10" i="4"/>
  <c r="F2242" i="7"/>
  <c r="F1810" i="7"/>
  <c r="E2148" i="7"/>
  <c r="F2148" i="7" s="1"/>
  <c r="E2961" i="7"/>
  <c r="F2961" i="7" s="1"/>
  <c r="E584" i="7"/>
  <c r="F584" i="7" s="1"/>
  <c r="E2292" i="7"/>
  <c r="F2292" i="7" s="1"/>
  <c r="E1722" i="7"/>
  <c r="F1722" i="7" s="1"/>
  <c r="F1632" i="7"/>
  <c r="E1677" i="7"/>
  <c r="E1497" i="7"/>
  <c r="E1116" i="7"/>
  <c r="F1116" i="7" s="1"/>
  <c r="E2964" i="7"/>
  <c r="F2964" i="7" s="1"/>
  <c r="E585" i="7"/>
  <c r="F585" i="7" s="1"/>
  <c r="E2294" i="7"/>
  <c r="F2294" i="7" s="1"/>
  <c r="E1500" i="7"/>
  <c r="E1453" i="7"/>
  <c r="F1453" i="7" s="1"/>
  <c r="E1635" i="7"/>
  <c r="F1635" i="7" s="1"/>
  <c r="E1724" i="7"/>
  <c r="F1724" i="7" s="1"/>
  <c r="E78" i="7"/>
  <c r="F78" i="7" s="1"/>
  <c r="E1698" i="7"/>
  <c r="E1743" i="7"/>
  <c r="F1743" i="7" s="1"/>
  <c r="F1751" i="7" s="1"/>
  <c r="E1518" i="7"/>
  <c r="E2866" i="7"/>
  <c r="F2866" i="7" s="1"/>
  <c r="E1450" i="7"/>
  <c r="F1450" i="7" s="1"/>
  <c r="E296" i="7"/>
  <c r="F296" i="7" s="1"/>
  <c r="E2959" i="7"/>
  <c r="F2959" i="7" s="1"/>
  <c r="E2290" i="7"/>
  <c r="F2290" i="7" s="1"/>
  <c r="E2196" i="7"/>
  <c r="F2196" i="7" s="1"/>
  <c r="E1630" i="7"/>
  <c r="F1630" i="7" s="1"/>
  <c r="E1720" i="7"/>
  <c r="F1720" i="7" s="1"/>
  <c r="E1496" i="7"/>
  <c r="E1675" i="7"/>
  <c r="E1700" i="7"/>
  <c r="E1522" i="7"/>
  <c r="E2149" i="7"/>
  <c r="F2149" i="7" s="1"/>
  <c r="E731" i="7"/>
  <c r="F731" i="7" s="1"/>
  <c r="E2962" i="7"/>
  <c r="F2962" i="7" s="1"/>
  <c r="E2293" i="7"/>
  <c r="F2293" i="7" s="1"/>
  <c r="E2336" i="7"/>
  <c r="F2336" i="7" s="1"/>
  <c r="E2194" i="7"/>
  <c r="F2194" i="7" s="1"/>
  <c r="E1498" i="7"/>
  <c r="E1812" i="7"/>
  <c r="F1812" i="7" s="1"/>
  <c r="E1633" i="7"/>
  <c r="F1633" i="7" s="1"/>
  <c r="E1449" i="7"/>
  <c r="F1449" i="7" s="1"/>
  <c r="E1723" i="7"/>
  <c r="F1723" i="7" s="1"/>
  <c r="E633" i="7"/>
  <c r="F633" i="7" s="1"/>
  <c r="F643" i="7" s="1"/>
  <c r="E537" i="7"/>
  <c r="F537" i="7" s="1"/>
  <c r="E298" i="7"/>
  <c r="F298" i="7" s="1"/>
  <c r="E1653" i="7"/>
  <c r="F1653" i="7" s="1"/>
  <c r="E943" i="7"/>
  <c r="E1422" i="7"/>
  <c r="F1422" i="7" s="1"/>
  <c r="F1434" i="7" s="1"/>
  <c r="E2867" i="7"/>
  <c r="F2867" i="7" s="1"/>
  <c r="E2963" i="7"/>
  <c r="F2963" i="7" s="1"/>
  <c r="E2297" i="7"/>
  <c r="F2297" i="7" s="1"/>
  <c r="E2335" i="7"/>
  <c r="F2335" i="7" s="1"/>
  <c r="E2244" i="7"/>
  <c r="F2244" i="7" s="1"/>
  <c r="E2195" i="7"/>
  <c r="F2195" i="7" s="1"/>
  <c r="E1448" i="7"/>
  <c r="F1448" i="7" s="1"/>
  <c r="E1499" i="7"/>
  <c r="E1811" i="7"/>
  <c r="F1811" i="7" s="1"/>
  <c r="E536" i="7"/>
  <c r="F536" i="7" s="1"/>
  <c r="E344" i="7"/>
  <c r="F344" i="7" s="1"/>
  <c r="E1725" i="7"/>
  <c r="F1725" i="7" s="1"/>
  <c r="E1504" i="7"/>
  <c r="E1683" i="7"/>
  <c r="E1638" i="7"/>
  <c r="F1638" i="7" s="1"/>
  <c r="E1454" i="7"/>
  <c r="F1454" i="7" s="1"/>
  <c r="H461" i="8"/>
  <c r="F1897" i="7"/>
  <c r="F1666" i="7"/>
  <c r="F1756" i="7"/>
  <c r="F1849" i="7"/>
  <c r="F287" i="7"/>
  <c r="F959" i="7"/>
  <c r="F2233" i="7"/>
  <c r="F1844" i="7"/>
  <c r="F383" i="7"/>
  <c r="F479" i="7"/>
  <c r="F575" i="7"/>
  <c r="F767" i="7"/>
  <c r="F762" i="7"/>
  <c r="F979" i="7"/>
  <c r="F1098" i="7"/>
  <c r="F570" i="7"/>
  <c r="F67" i="7"/>
  <c r="F90" i="7"/>
  <c r="F163" i="7"/>
  <c r="F282" i="7"/>
  <c r="F835" i="7"/>
  <c r="F931" i="7"/>
  <c r="F1199" i="7"/>
  <c r="F1338" i="7"/>
  <c r="F1343" i="7"/>
  <c r="F2180" i="7"/>
  <c r="F2185" i="7"/>
  <c r="F239" i="7"/>
  <c r="F1247" i="7" s="1"/>
  <c r="F335" i="7"/>
  <c r="F527" i="7"/>
  <c r="F691" i="7"/>
  <c r="F714" i="7"/>
  <c r="F1027" i="7"/>
  <c r="F1033" i="7"/>
  <c r="E1035" i="7" s="1"/>
  <c r="F1035" i="7" s="1"/>
  <c r="F1036" i="7" s="1"/>
  <c r="F1267" i="7"/>
  <c r="F1290" i="7"/>
  <c r="F1295" i="7"/>
  <c r="F1780" i="7"/>
  <c r="E1782" i="7" s="1"/>
  <c r="F1782" i="7" s="1"/>
  <c r="F1783" i="7" s="1"/>
  <c r="F2132" i="7"/>
  <c r="F431" i="7"/>
  <c r="F787" i="7"/>
  <c r="F810" i="7"/>
  <c r="F883" i="7"/>
  <c r="F1171" i="7"/>
  <c r="F1386" i="7"/>
  <c r="F1892" i="7"/>
  <c r="F2084" i="7"/>
  <c r="F2089" i="7"/>
  <c r="F2137" i="7"/>
  <c r="F2228" i="7"/>
  <c r="F19" i="7"/>
  <c r="F42" i="7"/>
  <c r="F115" i="7"/>
  <c r="F330" i="7"/>
  <c r="F474" i="7"/>
  <c r="F522" i="7"/>
  <c r="F426" i="7"/>
  <c r="F186" i="7"/>
  <c r="F2061" i="7"/>
  <c r="F1869" i="7"/>
  <c r="F1801" i="7"/>
  <c r="F1711" i="7"/>
  <c r="F1531" i="7"/>
  <c r="F1576" i="7"/>
  <c r="F1487" i="7"/>
  <c r="F1439" i="7"/>
  <c r="F1391" i="7"/>
  <c r="F378" i="7"/>
  <c r="F1315" i="7"/>
  <c r="F1194" i="7"/>
  <c r="F1103" i="7"/>
  <c r="F1075" i="7"/>
  <c r="K18" i="4"/>
  <c r="F906" i="7"/>
  <c r="F671" i="7"/>
  <c r="F666" i="7"/>
  <c r="E44" i="4"/>
  <c r="F44" i="4" s="1"/>
  <c r="E50" i="4"/>
  <c r="F50" i="4" s="1"/>
  <c r="F211" i="7"/>
  <c r="J461" i="8"/>
  <c r="I461" i="8"/>
  <c r="H462" i="8"/>
  <c r="H459" i="8"/>
  <c r="D384" i="8"/>
  <c r="D388" i="8"/>
  <c r="D381" i="8"/>
  <c r="D385" i="8"/>
  <c r="D389" i="8"/>
  <c r="D382" i="8"/>
  <c r="D386" i="8"/>
  <c r="D380" i="8"/>
  <c r="D383" i="8"/>
  <c r="L9" i="4"/>
  <c r="J9" i="4"/>
  <c r="M94" i="4"/>
  <c r="E121" i="4"/>
  <c r="F121" i="4" s="1"/>
  <c r="L7" i="4"/>
  <c r="J7" i="4"/>
  <c r="D483" i="8" l="1"/>
  <c r="E72" i="4"/>
  <c r="E7" i="4"/>
  <c r="F7" i="4" s="1"/>
  <c r="F1661" i="7"/>
  <c r="F2157" i="7"/>
  <c r="E1773" i="7"/>
  <c r="F1773" i="7" s="1"/>
  <c r="F1683" i="7"/>
  <c r="E1562" i="7"/>
  <c r="F1518" i="7"/>
  <c r="E1541" i="7"/>
  <c r="F1497" i="7"/>
  <c r="E1789" i="7"/>
  <c r="F1789" i="7" s="1"/>
  <c r="F1699" i="7"/>
  <c r="E1560" i="7"/>
  <c r="F1516" i="7"/>
  <c r="E1785" i="7"/>
  <c r="F1785" i="7" s="1"/>
  <c r="F1695" i="7"/>
  <c r="E992" i="7"/>
  <c r="F945" i="7"/>
  <c r="E1766" i="7"/>
  <c r="F1766" i="7" s="1"/>
  <c r="F1676" i="7"/>
  <c r="F487" i="7"/>
  <c r="F499" i="7" s="1"/>
  <c r="E1548" i="7"/>
  <c r="F1504" i="7"/>
  <c r="E1767" i="7"/>
  <c r="F1767" i="7" s="1"/>
  <c r="F1677" i="7"/>
  <c r="E32" i="4"/>
  <c r="F32" i="4" s="1"/>
  <c r="E120" i="4"/>
  <c r="F120" i="4" s="1"/>
  <c r="E990" i="7"/>
  <c r="F943" i="7"/>
  <c r="F954" i="7" s="1"/>
  <c r="E1542" i="7"/>
  <c r="F1498" i="7"/>
  <c r="E1566" i="7"/>
  <c r="F1522" i="7"/>
  <c r="E1765" i="7"/>
  <c r="F1765" i="7" s="1"/>
  <c r="F1675" i="7"/>
  <c r="E1788" i="7"/>
  <c r="F1788" i="7" s="1"/>
  <c r="F1698" i="7"/>
  <c r="E1563" i="7"/>
  <c r="F1519" i="7"/>
  <c r="E848" i="7"/>
  <c r="F858" i="7" s="1"/>
  <c r="F138" i="7"/>
  <c r="E38" i="4"/>
  <c r="F38" i="4" s="1"/>
  <c r="F728" i="7"/>
  <c r="F739" i="7" s="1"/>
  <c r="E20" i="4"/>
  <c r="F20" i="4" s="1"/>
  <c r="E14" i="4"/>
  <c r="F14" i="4" s="1"/>
  <c r="E114" i="4"/>
  <c r="F114" i="4" s="1"/>
  <c r="E1543" i="7"/>
  <c r="F1499" i="7"/>
  <c r="E1790" i="7"/>
  <c r="F1790" i="7" s="1"/>
  <c r="F1700" i="7"/>
  <c r="E1540" i="7"/>
  <c r="F1496" i="7"/>
  <c r="E1544" i="7"/>
  <c r="F1500" i="7"/>
  <c r="H463" i="8"/>
  <c r="H464" i="8" s="1"/>
  <c r="E94" i="4"/>
  <c r="F94" i="4" s="1"/>
  <c r="E66" i="4"/>
  <c r="F66" i="4" s="1"/>
  <c r="E87" i="4"/>
  <c r="F87" i="4" s="1"/>
  <c r="E101" i="4"/>
  <c r="F101" i="4" s="1"/>
  <c r="E73" i="4"/>
  <c r="F73" i="4" s="1"/>
  <c r="E80" i="4"/>
  <c r="F80" i="4" s="1"/>
  <c r="E59" i="4"/>
  <c r="F59" i="4" s="1"/>
  <c r="E79" i="4"/>
  <c r="F79" i="4" s="1"/>
  <c r="E100" i="4"/>
  <c r="F100" i="4" s="1"/>
  <c r="E86" i="4"/>
  <c r="F86" i="4" s="1"/>
  <c r="E58" i="4"/>
  <c r="F58" i="4" s="1"/>
  <c r="E93" i="4"/>
  <c r="F93" i="4" s="1"/>
  <c r="E65" i="4"/>
  <c r="F65" i="4" s="1"/>
  <c r="F72" i="4"/>
  <c r="E110" i="4"/>
  <c r="F110" i="4" s="1"/>
  <c r="E68" i="4"/>
  <c r="F68" i="4" s="1"/>
  <c r="E53" i="4"/>
  <c r="F53" i="4" s="1"/>
  <c r="F49" i="4" s="1"/>
  <c r="E40" i="4"/>
  <c r="F40" i="4" s="1"/>
  <c r="E103" i="4"/>
  <c r="F103" i="4" s="1"/>
  <c r="E96" i="4"/>
  <c r="F96" i="4" s="1"/>
  <c r="E75" i="4"/>
  <c r="F75" i="4" s="1"/>
  <c r="E34" i="4"/>
  <c r="F34" i="4" s="1"/>
  <c r="E22" i="4"/>
  <c r="F22" i="4" s="1"/>
  <c r="E16" i="4"/>
  <c r="F16" i="4" s="1"/>
  <c r="E9" i="4"/>
  <c r="F9" i="4" s="1"/>
  <c r="E124" i="4"/>
  <c r="F124" i="4" s="1"/>
  <c r="E82" i="4"/>
  <c r="F82" i="4" s="1"/>
  <c r="E28" i="4"/>
  <c r="F28" i="4" s="1"/>
  <c r="F25" i="4" s="1"/>
  <c r="E116" i="4"/>
  <c r="F116" i="4" s="1"/>
  <c r="E89" i="4"/>
  <c r="F89" i="4" s="1"/>
  <c r="F85" i="4" s="1"/>
  <c r="E46" i="4"/>
  <c r="F46" i="4" s="1"/>
  <c r="F43" i="4" s="1"/>
  <c r="E61" i="4"/>
  <c r="F61" i="4" s="1"/>
  <c r="F57" i="4" s="1"/>
  <c r="F119" i="4" l="1"/>
  <c r="F37" i="4"/>
  <c r="F6" i="4"/>
  <c r="F71" i="4"/>
  <c r="E2193" i="7" s="1"/>
  <c r="F2193" i="7" s="1"/>
  <c r="F2205" i="7" s="1"/>
  <c r="F13" i="4"/>
  <c r="F19" i="4"/>
  <c r="E2575" i="7"/>
  <c r="F2575" i="7" s="1"/>
  <c r="F2586" i="7" s="1"/>
  <c r="E1605" i="7"/>
  <c r="F1605" i="7" s="1"/>
  <c r="F1560" i="7"/>
  <c r="E1586" i="7"/>
  <c r="F1586" i="7" s="1"/>
  <c r="F1541" i="7"/>
  <c r="E1589" i="7"/>
  <c r="F1589" i="7" s="1"/>
  <c r="E1680" i="7"/>
  <c r="F1544" i="7"/>
  <c r="E1585" i="7"/>
  <c r="F1585" i="7" s="1"/>
  <c r="F1540" i="7"/>
  <c r="E1679" i="7"/>
  <c r="E1588" i="7"/>
  <c r="F1588" i="7" s="1"/>
  <c r="F1543" i="7"/>
  <c r="E1608" i="7"/>
  <c r="F1608" i="7" s="1"/>
  <c r="F1563" i="7"/>
  <c r="E1611" i="7"/>
  <c r="F1611" i="7" s="1"/>
  <c r="F1566" i="7"/>
  <c r="F1706" i="7"/>
  <c r="E1607" i="7"/>
  <c r="F1607" i="7" s="1"/>
  <c r="F1562" i="7"/>
  <c r="F31" i="4"/>
  <c r="E1038" i="7"/>
  <c r="F1038" i="7" s="1"/>
  <c r="F990" i="7"/>
  <c r="E1040" i="7"/>
  <c r="F1040" i="7" s="1"/>
  <c r="F992" i="7"/>
  <c r="F1796" i="7"/>
  <c r="E1593" i="7"/>
  <c r="F1593" i="7" s="1"/>
  <c r="F1548" i="7"/>
  <c r="F113" i="4"/>
  <c r="E1587" i="7"/>
  <c r="F1587" i="7" s="1"/>
  <c r="E1678" i="7"/>
  <c r="F1542" i="7"/>
  <c r="F1526" i="7"/>
  <c r="E1004" i="7"/>
  <c r="F1004" i="7" s="1"/>
  <c r="F1007" i="7" s="1"/>
  <c r="E1052" i="7"/>
  <c r="F1052" i="7" s="1"/>
  <c r="F1055" i="7" s="1"/>
  <c r="E812" i="7"/>
  <c r="F812" i="7" s="1"/>
  <c r="F815" i="7" s="1"/>
  <c r="F908" i="7"/>
  <c r="F911" i="7" s="1"/>
  <c r="F92" i="7"/>
  <c r="F95" i="7" s="1"/>
  <c r="E188" i="7"/>
  <c r="F188" i="7" s="1"/>
  <c r="F191" i="7" s="1"/>
  <c r="E44" i="7"/>
  <c r="F92" i="4"/>
  <c r="F78" i="4"/>
  <c r="F99" i="4"/>
  <c r="F64" i="4"/>
  <c r="E1111" i="7" s="1"/>
  <c r="E109" i="4" l="1"/>
  <c r="F109" i="4" s="1"/>
  <c r="F107" i="4" s="1"/>
  <c r="E1768" i="7"/>
  <c r="F1768" i="7" s="1"/>
  <c r="F1678" i="7"/>
  <c r="F1002" i="7"/>
  <c r="E2001" i="7"/>
  <c r="F2001" i="7" s="1"/>
  <c r="F2013" i="7" s="1"/>
  <c r="F1111" i="7"/>
  <c r="F1123" i="7" s="1"/>
  <c r="E2958" i="7"/>
  <c r="F2958" i="7" s="1"/>
  <c r="F2970" i="7" s="1"/>
  <c r="E583" i="7"/>
  <c r="F583" i="7" s="1"/>
  <c r="F595" i="7" s="1"/>
  <c r="E535" i="7"/>
  <c r="F535" i="7" s="1"/>
  <c r="F547" i="7" s="1"/>
  <c r="F1050" i="7"/>
  <c r="F1056" i="7" s="1"/>
  <c r="E30" i="2" s="1"/>
  <c r="F30" i="2" s="1"/>
  <c r="E1769" i="7"/>
  <c r="F1769" i="7" s="1"/>
  <c r="F1679" i="7"/>
  <c r="E1770" i="7"/>
  <c r="F1770" i="7" s="1"/>
  <c r="F1680" i="7"/>
  <c r="F1571" i="7"/>
  <c r="E2864" i="7"/>
  <c r="F2864" i="7" s="1"/>
  <c r="F2874" i="7" s="1"/>
  <c r="F1616" i="7"/>
  <c r="E1399" i="7"/>
  <c r="F1399" i="7" s="1"/>
  <c r="F1411" i="7" s="1"/>
  <c r="E2334" i="7"/>
  <c r="F2334" i="7" s="1"/>
  <c r="F2346" i="7" s="1"/>
  <c r="E2289" i="7"/>
  <c r="F2289" i="7" s="1"/>
  <c r="F2299" i="7" s="1"/>
  <c r="E2241" i="7"/>
  <c r="F2241" i="7" s="1"/>
  <c r="F2253" i="7" s="1"/>
  <c r="E1719" i="7"/>
  <c r="F1719" i="7" s="1"/>
  <c r="F1731" i="7" s="1"/>
  <c r="E1629" i="7"/>
  <c r="F1629" i="7" s="1"/>
  <c r="F1641" i="7" s="1"/>
  <c r="E1809" i="7"/>
  <c r="F1809" i="7" s="1"/>
  <c r="F1821" i="7" s="1"/>
  <c r="E1447" i="7"/>
  <c r="F1447" i="7" s="1"/>
  <c r="F1459" i="7" s="1"/>
  <c r="E1674" i="7"/>
  <c r="E1495" i="7"/>
  <c r="E247" i="7"/>
  <c r="E1351" i="7"/>
  <c r="F1351" i="7" s="1"/>
  <c r="F1363" i="7" s="1"/>
  <c r="E716" i="7"/>
  <c r="F716" i="7" s="1"/>
  <c r="F719" i="7" s="1"/>
  <c r="F44" i="7"/>
  <c r="F47" i="7" s="1"/>
  <c r="E860" i="7"/>
  <c r="F860" i="7" s="1"/>
  <c r="F863" i="7" s="1"/>
  <c r="F140" i="7"/>
  <c r="F143" i="7" s="1"/>
  <c r="E343" i="7"/>
  <c r="F343" i="7" s="1"/>
  <c r="F355" i="7" s="1"/>
  <c r="E295" i="7"/>
  <c r="C64" i="6"/>
  <c r="C58" i="6"/>
  <c r="C50" i="6"/>
  <c r="C48" i="6"/>
  <c r="C69" i="6" s="1"/>
  <c r="C70" i="6" s="1"/>
  <c r="B100" i="6" s="1"/>
  <c r="L36" i="6"/>
  <c r="K36" i="6"/>
  <c r="J36" i="6"/>
  <c r="L35" i="6"/>
  <c r="K35" i="6"/>
  <c r="J35" i="6"/>
  <c r="L34" i="6"/>
  <c r="K34" i="6"/>
  <c r="J34" i="6"/>
  <c r="B34" i="6"/>
  <c r="L33" i="6"/>
  <c r="K33" i="6"/>
  <c r="J33" i="6"/>
  <c r="J32" i="6"/>
  <c r="L31" i="6"/>
  <c r="H31" i="6"/>
  <c r="J31" i="6" s="1"/>
  <c r="L30" i="6"/>
  <c r="K30" i="6"/>
  <c r="J30" i="6"/>
  <c r="L29" i="6"/>
  <c r="K29" i="6"/>
  <c r="J29" i="6"/>
  <c r="L28" i="6"/>
  <c r="K28" i="6"/>
  <c r="J28" i="6"/>
  <c r="L27" i="6"/>
  <c r="K27" i="6"/>
  <c r="J27" i="6"/>
  <c r="L26" i="6"/>
  <c r="K26" i="6"/>
  <c r="J26" i="6"/>
  <c r="L25" i="6"/>
  <c r="K25" i="6"/>
  <c r="J25" i="6"/>
  <c r="B25" i="6"/>
  <c r="L24" i="6"/>
  <c r="K24" i="6"/>
  <c r="J24" i="6"/>
  <c r="L23" i="6"/>
  <c r="K23" i="6"/>
  <c r="J23" i="6"/>
  <c r="L22" i="6"/>
  <c r="K22" i="6"/>
  <c r="J22" i="6"/>
  <c r="L21" i="6"/>
  <c r="K21" i="6"/>
  <c r="J21" i="6"/>
  <c r="L20" i="6"/>
  <c r="K20" i="6"/>
  <c r="J20" i="6"/>
  <c r="B20" i="6"/>
  <c r="L19" i="6"/>
  <c r="K19" i="6"/>
  <c r="J19" i="6"/>
  <c r="D19" i="6"/>
  <c r="E19" i="6" s="1"/>
  <c r="L18" i="6"/>
  <c r="K18" i="6"/>
  <c r="J18" i="6"/>
  <c r="L17" i="6"/>
  <c r="K17" i="6"/>
  <c r="J17" i="6"/>
  <c r="L16" i="6"/>
  <c r="K16" i="6"/>
  <c r="J16" i="6"/>
  <c r="D16" i="6"/>
  <c r="C16" i="6"/>
  <c r="L15" i="6"/>
  <c r="K15" i="6"/>
  <c r="J15" i="6"/>
  <c r="L14" i="6"/>
  <c r="K14" i="6"/>
  <c r="J14" i="6"/>
  <c r="L13" i="6"/>
  <c r="K13" i="6"/>
  <c r="J13" i="6"/>
  <c r="L12" i="6"/>
  <c r="K12" i="6"/>
  <c r="J12" i="6"/>
  <c r="L11" i="6"/>
  <c r="K11" i="6"/>
  <c r="J11" i="6"/>
  <c r="L10" i="6"/>
  <c r="K10" i="6"/>
  <c r="J10" i="6"/>
  <c r="C10" i="6"/>
  <c r="L9" i="6"/>
  <c r="K9" i="6"/>
  <c r="J9" i="6"/>
  <c r="L8" i="6"/>
  <c r="K8" i="6"/>
  <c r="J8" i="6"/>
  <c r="L7" i="6"/>
  <c r="K7" i="6"/>
  <c r="J7" i="6"/>
  <c r="C7" i="6"/>
  <c r="B7" i="6"/>
  <c r="L6" i="6"/>
  <c r="K6" i="6"/>
  <c r="J6" i="6"/>
  <c r="L5" i="6"/>
  <c r="L44" i="6" s="1"/>
  <c r="K5" i="6"/>
  <c r="J5" i="6"/>
  <c r="B5" i="6"/>
  <c r="D26" i="6" s="1"/>
  <c r="J4" i="6"/>
  <c r="B4" i="6"/>
  <c r="B13" i="6" s="1"/>
  <c r="B3" i="6"/>
  <c r="B41" i="6" s="1"/>
  <c r="F16" i="5"/>
  <c r="F15" i="5"/>
  <c r="F14" i="5"/>
  <c r="F13" i="5"/>
  <c r="F12" i="5"/>
  <c r="F11" i="5"/>
  <c r="F10" i="5"/>
  <c r="F9" i="5"/>
  <c r="F8" i="5"/>
  <c r="F7" i="5"/>
  <c r="F6" i="5"/>
  <c r="F5" i="5"/>
  <c r="F4" i="5"/>
  <c r="F3" i="5"/>
  <c r="F2" i="5"/>
  <c r="F295" i="7" l="1"/>
  <c r="F307" i="7" s="1"/>
  <c r="E1953" i="7"/>
  <c r="F1953" i="7" s="1"/>
  <c r="F1965" i="7" s="1"/>
  <c r="F1994" i="7" s="1"/>
  <c r="F247" i="7"/>
  <c r="F259" i="7" s="1"/>
  <c r="E1905" i="7"/>
  <c r="F1905" i="7" s="1"/>
  <c r="F1917" i="7" s="1"/>
  <c r="F1946" i="7" s="1"/>
  <c r="F33" i="11" s="1"/>
  <c r="D12" i="6"/>
  <c r="K44" i="6"/>
  <c r="D13" i="6"/>
  <c r="E13" i="6" s="1"/>
  <c r="B40" i="6"/>
  <c r="E1539" i="7"/>
  <c r="F1495" i="7"/>
  <c r="F1505" i="7" s="1"/>
  <c r="E1764" i="7"/>
  <c r="F1764" i="7" s="1"/>
  <c r="F1775" i="7" s="1"/>
  <c r="F1802" i="7" s="1"/>
  <c r="F1674" i="7"/>
  <c r="F1685" i="7" s="1"/>
  <c r="F17" i="5"/>
  <c r="E71" i="2" s="1"/>
  <c r="F71" i="2" s="1"/>
  <c r="B42" i="6"/>
  <c r="B8" i="6"/>
  <c r="B10" i="6" s="1"/>
  <c r="B12" i="6"/>
  <c r="E12" i="6" s="1"/>
  <c r="D20" i="6"/>
  <c r="B21" i="6"/>
  <c r="B24" i="6"/>
  <c r="B26" i="6"/>
  <c r="C2" i="6"/>
  <c r="B6" i="6"/>
  <c r="D25" i="6"/>
  <c r="E25" i="6" s="1"/>
  <c r="B19" i="6"/>
  <c r="D21" i="6"/>
  <c r="E21" i="6" s="1"/>
  <c r="D24" i="6"/>
  <c r="E24" i="6" s="1"/>
  <c r="B27" i="6"/>
  <c r="B32" i="6"/>
  <c r="B33" i="6"/>
  <c r="B35" i="6"/>
  <c r="E50" i="2" l="1"/>
  <c r="F50" i="2" s="1"/>
  <c r="F30" i="11"/>
  <c r="F1539" i="7"/>
  <c r="F1549" i="7" s="1"/>
  <c r="E1584" i="7"/>
  <c r="F1584" i="7" s="1"/>
  <c r="F1594" i="7" s="1"/>
  <c r="E27" i="6"/>
  <c r="C27" i="6"/>
  <c r="D27" i="6" s="1"/>
  <c r="B36" i="6"/>
  <c r="D10" i="6"/>
  <c r="D11" i="6" s="1"/>
  <c r="B11" i="6"/>
  <c r="E11" i="6" s="1"/>
  <c r="E10" i="6"/>
  <c r="E28" i="6" l="1"/>
  <c r="C41" i="6"/>
  <c r="E41" i="6" s="1"/>
  <c r="B37" i="6"/>
  <c r="B39" i="6"/>
  <c r="B38" i="6"/>
  <c r="C36" i="6"/>
  <c r="E36" i="6" s="1"/>
  <c r="C35" i="6" l="1"/>
  <c r="E35" i="6" s="1"/>
  <c r="B74" i="6" s="1"/>
  <c r="C42" i="6"/>
  <c r="E42" i="6" s="1"/>
  <c r="C38" i="6"/>
  <c r="E38" i="6" s="1"/>
  <c r="B89" i="6" s="1"/>
  <c r="C40" i="6"/>
  <c r="E40" i="6" s="1"/>
  <c r="C32" i="6"/>
  <c r="E32" i="6" s="1"/>
  <c r="B73" i="6" s="1"/>
  <c r="C39" i="6"/>
  <c r="E39" i="6" s="1"/>
  <c r="C34" i="6"/>
  <c r="E34" i="6" s="1"/>
  <c r="B85" i="6" s="1"/>
  <c r="C33" i="6"/>
  <c r="E33" i="6" s="1"/>
  <c r="B91" i="6" s="1"/>
  <c r="C37" i="6"/>
  <c r="E37" i="6" s="1"/>
  <c r="B102" i="6" s="1"/>
  <c r="B77" i="6"/>
  <c r="B101" i="6"/>
  <c r="B76" i="6"/>
  <c r="B75" i="6"/>
  <c r="B72" i="6"/>
  <c r="B78" i="6"/>
  <c r="B92" i="6"/>
  <c r="B97" i="6"/>
  <c r="B79" i="6"/>
  <c r="B96" i="6"/>
  <c r="B88" i="6"/>
  <c r="B99" i="6"/>
  <c r="B87" i="6"/>
  <c r="F2540" i="7" l="1"/>
  <c r="F2544" i="7" s="1"/>
  <c r="E3017" i="7"/>
  <c r="F3017" i="7" s="1"/>
  <c r="F3021" i="7" s="1"/>
  <c r="E2492" i="7"/>
  <c r="F2492" i="7" s="1"/>
  <c r="F2496" i="7" s="1"/>
  <c r="E981" i="7"/>
  <c r="F981" i="7" s="1"/>
  <c r="F985" i="7" s="1"/>
  <c r="E213" i="7"/>
  <c r="F2732" i="7"/>
  <c r="F2736" i="7" s="1"/>
  <c r="E2876" i="7"/>
  <c r="F2876" i="7" s="1"/>
  <c r="F2880" i="7" s="1"/>
  <c r="E1077" i="7"/>
  <c r="F1077" i="7" s="1"/>
  <c r="F1081" i="7" s="1"/>
  <c r="E1413" i="7"/>
  <c r="F1413" i="7" s="1"/>
  <c r="F1417" i="7" s="1"/>
  <c r="E885" i="7"/>
  <c r="F885" i="7" s="1"/>
  <c r="F889" i="7" s="1"/>
  <c r="E357" i="7"/>
  <c r="F357" i="7" s="1"/>
  <c r="F361" i="7" s="1"/>
  <c r="F789" i="7"/>
  <c r="F793" i="7" s="1"/>
  <c r="F549" i="7"/>
  <c r="F553" i="7" s="1"/>
  <c r="E261" i="7"/>
  <c r="E117" i="7"/>
  <c r="F69" i="7"/>
  <c r="F73" i="7" s="1"/>
  <c r="E2588" i="7"/>
  <c r="F2588" i="7" s="1"/>
  <c r="F2592" i="7" s="1"/>
  <c r="E2159" i="7"/>
  <c r="F2159" i="7" s="1"/>
  <c r="F2163" i="7" s="1"/>
  <c r="E453" i="7"/>
  <c r="F453" i="7" s="1"/>
  <c r="F457" i="7" s="1"/>
  <c r="E405" i="7"/>
  <c r="F405" i="7" s="1"/>
  <c r="F409" i="7" s="1"/>
  <c r="E645" i="7"/>
  <c r="F645" i="7" s="1"/>
  <c r="F649" i="7" s="1"/>
  <c r="E2828" i="7"/>
  <c r="F2828" i="7" s="1"/>
  <c r="F2832" i="7" s="1"/>
  <c r="E2444" i="7"/>
  <c r="F2444" i="7" s="1"/>
  <c r="E2348" i="7"/>
  <c r="F2348" i="7" s="1"/>
  <c r="F2352" i="7" s="1"/>
  <c r="E2255" i="7"/>
  <c r="F2255" i="7" s="1"/>
  <c r="F2259" i="7" s="1"/>
  <c r="E2207" i="7"/>
  <c r="F2207" i="7" s="1"/>
  <c r="F2211" i="7" s="1"/>
  <c r="E2063" i="7"/>
  <c r="F2063" i="7" s="1"/>
  <c r="F2067" i="7" s="1"/>
  <c r="F1871" i="7"/>
  <c r="F1875" i="7" s="1"/>
  <c r="E2111" i="7"/>
  <c r="F2111" i="7" s="1"/>
  <c r="F2115" i="7" s="1"/>
  <c r="E1173" i="7"/>
  <c r="F1173" i="7" s="1"/>
  <c r="F1177" i="7" s="1"/>
  <c r="E741" i="7"/>
  <c r="F741" i="7" s="1"/>
  <c r="F745" i="7" s="1"/>
  <c r="E501" i="7"/>
  <c r="F501" i="7" s="1"/>
  <c r="F505" i="7" s="1"/>
  <c r="E21" i="7"/>
  <c r="E2015" i="7"/>
  <c r="F2015" i="7" s="1"/>
  <c r="F2019" i="7" s="1"/>
  <c r="E1596" i="7"/>
  <c r="F1596" i="7" s="1"/>
  <c r="F2972" i="7"/>
  <c r="F2976" i="7" s="1"/>
  <c r="F597" i="7"/>
  <c r="F601" i="7" s="1"/>
  <c r="E2301" i="7"/>
  <c r="F2301" i="7" s="1"/>
  <c r="F2304" i="7" s="1"/>
  <c r="E1461" i="7"/>
  <c r="F1461" i="7" s="1"/>
  <c r="E1507" i="7"/>
  <c r="F1507" i="7" s="1"/>
  <c r="E1687" i="7"/>
  <c r="F1687" i="7" s="1"/>
  <c r="E1551" i="7"/>
  <c r="F1551" i="7" s="1"/>
  <c r="E1823" i="7"/>
  <c r="F1823" i="7" s="1"/>
  <c r="E1733" i="7"/>
  <c r="F1733" i="7" s="1"/>
  <c r="E1643" i="7"/>
  <c r="F1643" i="7" s="1"/>
  <c r="F309" i="7"/>
  <c r="F313" i="7" s="1"/>
  <c r="B94" i="6"/>
  <c r="E1125" i="7"/>
  <c r="F1125" i="7" s="1"/>
  <c r="F1129" i="7" s="1"/>
  <c r="B90" i="6"/>
  <c r="B95" i="6"/>
  <c r="B98" i="6"/>
  <c r="B93" i="6"/>
  <c r="B80" i="6"/>
  <c r="B86" i="6"/>
  <c r="I12" i="3"/>
  <c r="I49" i="3" s="1"/>
  <c r="J49" i="3" s="1"/>
  <c r="F48" i="3"/>
  <c r="J48" i="3" s="1"/>
  <c r="E95" i="3"/>
  <c r="J84" i="3"/>
  <c r="J74" i="3"/>
  <c r="J72" i="3"/>
  <c r="J70" i="3"/>
  <c r="J69" i="3"/>
  <c r="J68" i="3"/>
  <c r="J65" i="3"/>
  <c r="J64" i="3"/>
  <c r="I62" i="3"/>
  <c r="J62" i="3" s="1"/>
  <c r="J60" i="3"/>
  <c r="J59" i="3"/>
  <c r="J54" i="3"/>
  <c r="J52" i="3"/>
  <c r="F51" i="3"/>
  <c r="J51" i="3" s="1"/>
  <c r="J50" i="3"/>
  <c r="J45" i="3"/>
  <c r="J44" i="3"/>
  <c r="G30" i="3"/>
  <c r="G34" i="3" s="1"/>
  <c r="G35" i="3" s="1"/>
  <c r="F30" i="3"/>
  <c r="G26" i="3"/>
  <c r="F26" i="3"/>
  <c r="F46" i="3" s="1"/>
  <c r="G24" i="3"/>
  <c r="G46" i="3" s="1"/>
  <c r="G17" i="3"/>
  <c r="F213" i="7" l="1"/>
  <c r="E1221" i="7"/>
  <c r="E1317" i="7"/>
  <c r="F1317" i="7" s="1"/>
  <c r="F1321" i="7" s="1"/>
  <c r="E1131" i="7"/>
  <c r="F1131" i="7" s="1"/>
  <c r="F1132" i="7" s="1"/>
  <c r="F1152" i="7" s="1"/>
  <c r="E603" i="7"/>
  <c r="F603" i="7" s="1"/>
  <c r="F604" i="7" s="1"/>
  <c r="F624" i="7" s="1"/>
  <c r="E693" i="7"/>
  <c r="F693" i="7" s="1"/>
  <c r="F697" i="7" s="1"/>
  <c r="F21" i="7"/>
  <c r="F25" i="7" s="1"/>
  <c r="E2117" i="7"/>
  <c r="F2117" i="7" s="1"/>
  <c r="F2118" i="7" s="1"/>
  <c r="F2138" i="7" s="1"/>
  <c r="E58" i="2" s="1"/>
  <c r="F58" i="2" s="1"/>
  <c r="E2261" i="7"/>
  <c r="F2261" i="7" s="1"/>
  <c r="F2262" i="7" s="1"/>
  <c r="F2282" i="7"/>
  <c r="E555" i="7"/>
  <c r="F555" i="7" s="1"/>
  <c r="F556" i="7" s="1"/>
  <c r="F576" i="7" s="1"/>
  <c r="E1419" i="7"/>
  <c r="F1419" i="7" s="1"/>
  <c r="F1420" i="7" s="1"/>
  <c r="F1440" i="7"/>
  <c r="E2546" i="7"/>
  <c r="F2546" i="7" s="1"/>
  <c r="F2547" i="7" s="1"/>
  <c r="F2567" i="7"/>
  <c r="E2978" i="7"/>
  <c r="F2978" i="7" s="1"/>
  <c r="F2979" i="7" s="1"/>
  <c r="F2996" i="7" s="1"/>
  <c r="E507" i="7"/>
  <c r="F507" i="7" s="1"/>
  <c r="F508" i="7" s="1"/>
  <c r="F528" i="7"/>
  <c r="E1877" i="7"/>
  <c r="F1877" i="7" s="1"/>
  <c r="F1878" i="7" s="1"/>
  <c r="F1898" i="7" s="1"/>
  <c r="E2354" i="7"/>
  <c r="F2354" i="7" s="1"/>
  <c r="F2355" i="7" s="1"/>
  <c r="F2375" i="7" s="1"/>
  <c r="E63" i="2" s="1"/>
  <c r="F63" i="2" s="1"/>
  <c r="E411" i="7"/>
  <c r="F411" i="7" s="1"/>
  <c r="F412" i="7" s="1"/>
  <c r="F432" i="7"/>
  <c r="E14" i="2" s="1"/>
  <c r="F14" i="2" s="1"/>
  <c r="E75" i="7"/>
  <c r="F75" i="7" s="1"/>
  <c r="F76" i="7" s="1"/>
  <c r="F96" i="7" s="1"/>
  <c r="E795" i="7"/>
  <c r="F795" i="7" s="1"/>
  <c r="F796" i="7" s="1"/>
  <c r="F816" i="7" s="1"/>
  <c r="E24" i="2" s="1"/>
  <c r="F24" i="2" s="1"/>
  <c r="E1083" i="7"/>
  <c r="F1083" i="7" s="1"/>
  <c r="F1084" i="7" s="1"/>
  <c r="F1104" i="7" s="1"/>
  <c r="E31" i="2" s="1"/>
  <c r="F31" i="2" s="1"/>
  <c r="E987" i="7"/>
  <c r="F987" i="7" s="1"/>
  <c r="F988" i="7" s="1"/>
  <c r="F1008" i="7" s="1"/>
  <c r="E29" i="2" s="1"/>
  <c r="F29" i="2" s="1"/>
  <c r="E747" i="7"/>
  <c r="F747" i="7" s="1"/>
  <c r="F748" i="7" s="1"/>
  <c r="F768" i="7"/>
  <c r="E22" i="2" s="1"/>
  <c r="F22" i="2" s="1"/>
  <c r="E2069" i="7"/>
  <c r="F2069" i="7" s="1"/>
  <c r="F2070" i="7" s="1"/>
  <c r="F2090" i="7" s="1"/>
  <c r="E57" i="2" s="1"/>
  <c r="F57" i="2" s="1"/>
  <c r="E459" i="7"/>
  <c r="F459" i="7" s="1"/>
  <c r="F460" i="7" s="1"/>
  <c r="F480" i="7" s="1"/>
  <c r="E15" i="2" s="1"/>
  <c r="F15" i="2" s="1"/>
  <c r="E837" i="7"/>
  <c r="F837" i="7" s="1"/>
  <c r="F841" i="7" s="1"/>
  <c r="F117" i="7"/>
  <c r="F121" i="7" s="1"/>
  <c r="E363" i="7"/>
  <c r="F363" i="7" s="1"/>
  <c r="F364" i="7" s="1"/>
  <c r="F384" i="7" s="1"/>
  <c r="E2882" i="7"/>
  <c r="F2882" i="7" s="1"/>
  <c r="F2883" i="7" s="1"/>
  <c r="F2903" i="7" s="1"/>
  <c r="E78" i="2" s="1"/>
  <c r="F78" i="2" s="1"/>
  <c r="E2498" i="7"/>
  <c r="F2498" i="7" s="1"/>
  <c r="F2499" i="7" s="1"/>
  <c r="F2519" i="7" s="1"/>
  <c r="E67" i="2" s="1"/>
  <c r="E1597" i="7"/>
  <c r="F1597" i="7" s="1"/>
  <c r="F1599" i="7" s="1"/>
  <c r="E2684" i="7"/>
  <c r="F2684" i="7" s="1"/>
  <c r="F2688" i="7" s="1"/>
  <c r="E165" i="7"/>
  <c r="F165" i="7" s="1"/>
  <c r="F169" i="7" s="1"/>
  <c r="E2396" i="7"/>
  <c r="F2396" i="7" s="1"/>
  <c r="F2400" i="7" s="1"/>
  <c r="E2445" i="7"/>
  <c r="F2445" i="7" s="1"/>
  <c r="F2448" i="7" s="1"/>
  <c r="E1734" i="7"/>
  <c r="F1734" i="7" s="1"/>
  <c r="F1737" i="7" s="1"/>
  <c r="E1644" i="7"/>
  <c r="F1644" i="7" s="1"/>
  <c r="F1647" i="7" s="1"/>
  <c r="E1552" i="7"/>
  <c r="F1552" i="7" s="1"/>
  <c r="E1508" i="7"/>
  <c r="F1508" i="7" s="1"/>
  <c r="F1510" i="7" s="1"/>
  <c r="E1688" i="7"/>
  <c r="F1688" i="7" s="1"/>
  <c r="F1690" i="7" s="1"/>
  <c r="E1462" i="7"/>
  <c r="F1462" i="7" s="1"/>
  <c r="F1465" i="7" s="1"/>
  <c r="E1824" i="7"/>
  <c r="F1824" i="7" s="1"/>
  <c r="F1827" i="7" s="1"/>
  <c r="E933" i="7"/>
  <c r="F933" i="7" s="1"/>
  <c r="F937" i="7" s="1"/>
  <c r="B82" i="6"/>
  <c r="E315" i="7"/>
  <c r="F315" i="7" s="1"/>
  <c r="F316" i="7" s="1"/>
  <c r="F336" i="7" s="1"/>
  <c r="F9" i="11" s="1"/>
  <c r="F1554" i="7"/>
  <c r="E2306" i="7"/>
  <c r="F2306" i="7" s="1"/>
  <c r="F2307" i="7" s="1"/>
  <c r="F2327" i="7"/>
  <c r="E62" i="2" s="1"/>
  <c r="F62" i="2" s="1"/>
  <c r="E2021" i="7"/>
  <c r="F2021" i="7" s="1"/>
  <c r="F2022" i="7" s="1"/>
  <c r="F2042" i="7" s="1"/>
  <c r="E55" i="2" s="1"/>
  <c r="F55" i="2" s="1"/>
  <c r="E1179" i="7"/>
  <c r="F1179" i="7" s="1"/>
  <c r="F1180" i="7" s="1"/>
  <c r="F1200" i="7" s="1"/>
  <c r="E2213" i="7"/>
  <c r="F2213" i="7" s="1"/>
  <c r="F2214" i="7" s="1"/>
  <c r="F2234" i="7" s="1"/>
  <c r="E60" i="2" s="1"/>
  <c r="F60" i="2" s="1"/>
  <c r="E2834" i="7"/>
  <c r="F2834" i="7" s="1"/>
  <c r="F2835" i="7" s="1"/>
  <c r="F2855" i="7" s="1"/>
  <c r="F77" i="2" s="1"/>
  <c r="E651" i="7"/>
  <c r="F651" i="7" s="1"/>
  <c r="F652" i="7" s="1"/>
  <c r="F672" i="7"/>
  <c r="E20" i="2" s="1"/>
  <c r="F20" i="2" s="1"/>
  <c r="E2165" i="7"/>
  <c r="F2165" i="7" s="1"/>
  <c r="F2166" i="7" s="1"/>
  <c r="F2186" i="7" s="1"/>
  <c r="E59" i="2" s="1"/>
  <c r="F59" i="2" s="1"/>
  <c r="E2594" i="7"/>
  <c r="F2594" i="7" s="1"/>
  <c r="F2595" i="7" s="1"/>
  <c r="F2615" i="7" s="1"/>
  <c r="E1365" i="7"/>
  <c r="F1365" i="7" s="1"/>
  <c r="F1369" i="7" s="1"/>
  <c r="F261" i="7"/>
  <c r="F265" i="7" s="1"/>
  <c r="E891" i="7"/>
  <c r="F891" i="7" s="1"/>
  <c r="F892" i="7" s="1"/>
  <c r="F912" i="7" s="1"/>
  <c r="E26" i="2" s="1"/>
  <c r="F26" i="2" s="1"/>
  <c r="E2738" i="7"/>
  <c r="F2738" i="7" s="1"/>
  <c r="F2739" i="7" s="1"/>
  <c r="F2759" i="7" s="1"/>
  <c r="E75" i="2" s="1"/>
  <c r="F75" i="2" s="1"/>
  <c r="E3023" i="7"/>
  <c r="F3023" i="7" s="1"/>
  <c r="F3024" i="7" s="1"/>
  <c r="F3044" i="7" s="1"/>
  <c r="F83" i="2" s="1"/>
  <c r="G33" i="3"/>
  <c r="G37" i="3" s="1"/>
  <c r="I19" i="3"/>
  <c r="I15" i="3"/>
  <c r="I37" i="3"/>
  <c r="I13" i="3"/>
  <c r="J13" i="3" s="1"/>
  <c r="I18" i="3"/>
  <c r="I14" i="3"/>
  <c r="I41" i="3"/>
  <c r="J41" i="3" s="1"/>
  <c r="I55" i="3"/>
  <c r="J55" i="3" s="1"/>
  <c r="I21" i="3"/>
  <c r="J21" i="3" s="1"/>
  <c r="I17" i="3"/>
  <c r="J17" i="3" s="1"/>
  <c r="I46" i="3"/>
  <c r="J46" i="3" s="1"/>
  <c r="I20" i="3"/>
  <c r="I16" i="3"/>
  <c r="I31" i="3"/>
  <c r="J31" i="3" s="1"/>
  <c r="J12" i="3"/>
  <c r="I32" i="3"/>
  <c r="J32" i="3" s="1"/>
  <c r="I38" i="3"/>
  <c r="J38" i="3" s="1"/>
  <c r="E82" i="2" l="1"/>
  <c r="F52" i="11"/>
  <c r="E69" i="2"/>
  <c r="F69" i="2" s="1"/>
  <c r="F42" i="11"/>
  <c r="E68" i="2"/>
  <c r="F68" i="2" s="1"/>
  <c r="F41" i="11"/>
  <c r="E61" i="2"/>
  <c r="F61" i="2" s="1"/>
  <c r="F36" i="11"/>
  <c r="E52" i="2"/>
  <c r="F52" i="2" s="1"/>
  <c r="F32" i="11"/>
  <c r="E17" i="2"/>
  <c r="F17" i="2" s="1"/>
  <c r="F12" i="11"/>
  <c r="E32" i="2"/>
  <c r="F32" i="2" s="1"/>
  <c r="F18" i="11"/>
  <c r="E16" i="2"/>
  <c r="F16" i="2" s="1"/>
  <c r="F11" i="11"/>
  <c r="E13" i="2"/>
  <c r="F13" i="2" s="1"/>
  <c r="F10" i="11"/>
  <c r="E42" i="2"/>
  <c r="F42" i="2" s="1"/>
  <c r="F22" i="11"/>
  <c r="E34" i="2"/>
  <c r="F34" i="2" s="1"/>
  <c r="F19" i="11"/>
  <c r="E18" i="2"/>
  <c r="F18" i="2" s="1"/>
  <c r="F13" i="11"/>
  <c r="E7" i="2"/>
  <c r="F7" i="2" s="1"/>
  <c r="F4" i="11"/>
  <c r="F217" i="7"/>
  <c r="F1221" i="7"/>
  <c r="E12" i="2"/>
  <c r="F12" i="2" s="1"/>
  <c r="E54" i="2"/>
  <c r="F54" i="2" s="1"/>
  <c r="E1467" i="7"/>
  <c r="F1467" i="7" s="1"/>
  <c r="F1468" i="7" s="1"/>
  <c r="F1488" i="7"/>
  <c r="E1649" i="7"/>
  <c r="F1649" i="7" s="1"/>
  <c r="F1650" i="7" s="1"/>
  <c r="F1667" i="7" s="1"/>
  <c r="F47" i="2" s="1"/>
  <c r="E1739" i="7"/>
  <c r="F1739" i="7" s="1"/>
  <c r="F1740" i="7" s="1"/>
  <c r="F1757" i="7" s="1"/>
  <c r="E1512" i="7"/>
  <c r="F1512" i="7" s="1"/>
  <c r="F1513" i="7" s="1"/>
  <c r="F1532" i="7" s="1"/>
  <c r="E2450" i="7"/>
  <c r="F2450" i="7" s="1"/>
  <c r="F2451" i="7" s="1"/>
  <c r="F2471" i="7" s="1"/>
  <c r="E66" i="2" s="1"/>
  <c r="F66" i="2" s="1"/>
  <c r="E1829" i="7"/>
  <c r="F1829" i="7" s="1"/>
  <c r="F1830" i="7" s="1"/>
  <c r="F1850" i="7" s="1"/>
  <c r="E1371" i="7"/>
  <c r="F1371" i="7" s="1"/>
  <c r="F1372" i="7" s="1"/>
  <c r="F1392" i="7" s="1"/>
  <c r="E41" i="2" s="1"/>
  <c r="F41" i="2" s="1"/>
  <c r="E171" i="7"/>
  <c r="F171" i="7" s="1"/>
  <c r="F172" i="7" s="1"/>
  <c r="F192" i="7"/>
  <c r="E9" i="2" s="1"/>
  <c r="F9" i="2" s="1"/>
  <c r="E843" i="7"/>
  <c r="F843" i="7" s="1"/>
  <c r="F844" i="7" s="1"/>
  <c r="F864" i="7" s="1"/>
  <c r="E25" i="2" s="1"/>
  <c r="F25" i="2" s="1"/>
  <c r="F82" i="2"/>
  <c r="E1692" i="7"/>
  <c r="F1692" i="7" s="1"/>
  <c r="F1693" i="7" s="1"/>
  <c r="F1712" i="7" s="1"/>
  <c r="E1323" i="7"/>
  <c r="F1323" i="7" s="1"/>
  <c r="F1324" i="7" s="1"/>
  <c r="F1344" i="7"/>
  <c r="E39" i="2" s="1"/>
  <c r="F39" i="2" s="1"/>
  <c r="B83" i="6"/>
  <c r="E1269" i="7"/>
  <c r="F1269" i="7" s="1"/>
  <c r="F1273" i="7" s="1"/>
  <c r="E2690" i="7"/>
  <c r="F2690" i="7" s="1"/>
  <c r="F2691" i="7" s="1"/>
  <c r="F2711" i="7" s="1"/>
  <c r="E74" i="2" s="1"/>
  <c r="F74" i="2" s="1"/>
  <c r="E1601" i="7"/>
  <c r="F1601" i="7" s="1"/>
  <c r="F1602" i="7" s="1"/>
  <c r="F1622" i="7" s="1"/>
  <c r="E46" i="2" s="1"/>
  <c r="F46" i="2" s="1"/>
  <c r="E1556" i="7"/>
  <c r="F1556" i="7" s="1"/>
  <c r="F1557" i="7" s="1"/>
  <c r="F1577" i="7" s="1"/>
  <c r="E939" i="7"/>
  <c r="F939" i="7" s="1"/>
  <c r="F940" i="7" s="1"/>
  <c r="F960" i="7" s="1"/>
  <c r="E28" i="2" s="1"/>
  <c r="F28" i="2" s="1"/>
  <c r="E27" i="7"/>
  <c r="F27" i="7" s="1"/>
  <c r="F28" i="7" s="1"/>
  <c r="F48" i="7" s="1"/>
  <c r="E6" i="2" s="1"/>
  <c r="F6" i="2" s="1"/>
  <c r="E267" i="7"/>
  <c r="F267" i="7" s="1"/>
  <c r="F268" i="7" s="1"/>
  <c r="F288" i="7" s="1"/>
  <c r="E2402" i="7"/>
  <c r="F2402" i="7" s="1"/>
  <c r="F2403" i="7" s="1"/>
  <c r="F2423" i="7" s="1"/>
  <c r="E65" i="2" s="1"/>
  <c r="F65" i="2" s="1"/>
  <c r="E123" i="7"/>
  <c r="F123" i="7" s="1"/>
  <c r="F124" i="7" s="1"/>
  <c r="F144" i="7" s="1"/>
  <c r="E8" i="2" s="1"/>
  <c r="F8" i="2" s="1"/>
  <c r="E699" i="7"/>
  <c r="F699" i="7" s="1"/>
  <c r="F700" i="7" s="1"/>
  <c r="F720" i="7" s="1"/>
  <c r="E21" i="2" s="1"/>
  <c r="F21" i="2" s="1"/>
  <c r="J37" i="3"/>
  <c r="F67" i="2"/>
  <c r="J20" i="3"/>
  <c r="I30" i="3"/>
  <c r="J30" i="3" s="1"/>
  <c r="I42" i="3"/>
  <c r="J42" i="3" s="1"/>
  <c r="I56" i="3"/>
  <c r="J56" i="3" s="1"/>
  <c r="I23" i="3"/>
  <c r="I57" i="3"/>
  <c r="J57" i="3" s="1"/>
  <c r="J14" i="3"/>
  <c r="I24" i="3"/>
  <c r="I25" i="3"/>
  <c r="I58" i="3"/>
  <c r="J58" i="3" s="1"/>
  <c r="J15" i="3"/>
  <c r="I26" i="3"/>
  <c r="J16" i="3"/>
  <c r="I28" i="3"/>
  <c r="J28" i="3" s="1"/>
  <c r="J18" i="3"/>
  <c r="I29" i="3"/>
  <c r="J29" i="3" s="1"/>
  <c r="J19" i="3"/>
  <c r="E51" i="2" l="1"/>
  <c r="F51" i="2" s="1"/>
  <c r="F31" i="11"/>
  <c r="E49" i="2"/>
  <c r="F49" i="2" s="1"/>
  <c r="F29" i="11"/>
  <c r="E48" i="2"/>
  <c r="F48" i="2" s="1"/>
  <c r="F28" i="11"/>
  <c r="E45" i="2"/>
  <c r="F45" i="2" s="1"/>
  <c r="F25" i="11"/>
  <c r="E43" i="2"/>
  <c r="F43" i="2" s="1"/>
  <c r="F23" i="11"/>
  <c r="E44" i="2"/>
  <c r="F44" i="2" s="1"/>
  <c r="F24" i="11"/>
  <c r="F1225" i="7"/>
  <c r="E219" i="7"/>
  <c r="E53" i="2"/>
  <c r="F53" i="2" s="1"/>
  <c r="E11" i="2"/>
  <c r="F11" i="2" s="1"/>
  <c r="E1275" i="7"/>
  <c r="F1275" i="7" s="1"/>
  <c r="F1276" i="7" s="1"/>
  <c r="F1296" i="7" s="1"/>
  <c r="F37" i="2" s="1"/>
  <c r="E2924" i="7"/>
  <c r="F2924" i="7" s="1"/>
  <c r="F2928" i="7" s="1"/>
  <c r="E2780" i="7"/>
  <c r="F2780" i="7" s="1"/>
  <c r="F2784" i="7" s="1"/>
  <c r="I35" i="3"/>
  <c r="J35" i="3" s="1"/>
  <c r="J25" i="3"/>
  <c r="I33" i="3"/>
  <c r="J33" i="3" s="1"/>
  <c r="J23" i="3"/>
  <c r="I36" i="3"/>
  <c r="J36" i="3" s="1"/>
  <c r="J26" i="3"/>
  <c r="I34" i="3"/>
  <c r="J34" i="3" s="1"/>
  <c r="J24" i="3"/>
  <c r="F219" i="7" l="1"/>
  <c r="E1227" i="7"/>
  <c r="E2786" i="7"/>
  <c r="F2786" i="7" s="1"/>
  <c r="F2787" i="7" s="1"/>
  <c r="F2807" i="7" s="1"/>
  <c r="E2930" i="7"/>
  <c r="F2930" i="7" s="1"/>
  <c r="F2931" i="7" s="1"/>
  <c r="F2951" i="7" s="1"/>
  <c r="E81" i="2" s="1"/>
  <c r="E76" i="2" l="1"/>
  <c r="F47" i="11"/>
  <c r="F220" i="7"/>
  <c r="F1227" i="7"/>
  <c r="F81" i="2"/>
  <c r="F83" i="3"/>
  <c r="J83" i="3" s="1"/>
  <c r="F81" i="3"/>
  <c r="J81" i="3" s="1"/>
  <c r="F82" i="3"/>
  <c r="J82" i="3" s="1"/>
  <c r="F79" i="3"/>
  <c r="J79" i="3" s="1"/>
  <c r="F77" i="3"/>
  <c r="J77" i="3" s="1"/>
  <c r="F78" i="3"/>
  <c r="J78" i="3" s="1"/>
  <c r="F80" i="3"/>
  <c r="J80" i="3" s="1"/>
  <c r="F76" i="2" l="1"/>
  <c r="D47" i="11"/>
  <c r="F1228" i="7"/>
  <c r="F240" i="7"/>
  <c r="E10" i="2" l="1"/>
  <c r="F1248" i="7"/>
  <c r="J39" i="3"/>
  <c r="J85" i="3" s="1"/>
  <c r="E35" i="2" l="1"/>
  <c r="F35" i="2" s="1"/>
  <c r="F10" i="2"/>
  <c r="F86" i="2" s="1"/>
  <c r="H4" i="3"/>
  <c r="E92" i="3" l="1"/>
  <c r="H3" i="3"/>
  <c r="H5" i="3" s="1"/>
  <c r="J88" i="3"/>
  <c r="F88" i="2"/>
  <c r="F89" i="2" s="1"/>
  <c r="H6" i="3" l="1"/>
  <c r="E94" i="3"/>
  <c r="J86" i="3"/>
  <c r="J87" i="3" s="1"/>
  <c r="J89" i="3" s="1"/>
  <c r="I85" i="3"/>
  <c r="D93" i="3"/>
  <c r="E93" i="3" s="1"/>
  <c r="G4" i="3"/>
  <c r="E97" i="3" l="1"/>
  <c r="D87" i="2"/>
  <c r="F87" i="2" s="1"/>
  <c r="F90" i="2" s="1"/>
  <c r="I87" i="3"/>
</calcChain>
</file>

<file path=xl/comments1.xml><?xml version="1.0" encoding="utf-8"?>
<comments xmlns="http://schemas.openxmlformats.org/spreadsheetml/2006/main">
  <authors>
    <author>Proyectos</author>
  </authors>
  <commentList>
    <comment ref="B1115" authorId="0" shapeId="0">
      <text>
        <r>
          <rPr>
            <b/>
            <sz val="9"/>
            <color indexed="81"/>
            <rFont val="Tahoma"/>
            <charset val="1"/>
          </rPr>
          <t>Proyectos:</t>
        </r>
        <r>
          <rPr>
            <sz val="9"/>
            <color indexed="81"/>
            <rFont val="Tahoma"/>
            <charset val="1"/>
          </rPr>
          <t xml:space="preserve">
3USOS
</t>
        </r>
      </text>
    </comment>
  </commentList>
</comments>
</file>

<file path=xl/comments2.xml><?xml version="1.0" encoding="utf-8"?>
<comments xmlns="http://schemas.openxmlformats.org/spreadsheetml/2006/main">
  <authors>
    <author>Proyectos</author>
  </authors>
  <commentList>
    <comment ref="B10" authorId="0" shapeId="0">
      <text>
        <r>
          <rPr>
            <b/>
            <sz val="9"/>
            <color indexed="81"/>
            <rFont val="Tahoma"/>
            <family val="2"/>
          </rPr>
          <t>Proyectos:</t>
        </r>
        <r>
          <rPr>
            <sz val="9"/>
            <color indexed="81"/>
            <rFont val="Tahoma"/>
            <family val="2"/>
          </rPr>
          <t xml:space="preserve">
</t>
        </r>
        <r>
          <rPr>
            <sz val="8"/>
            <color indexed="81"/>
            <rFont val="Tahoma"/>
            <family val="2"/>
          </rPr>
          <t>CAGB: El Art. 310 del código sustantivo del trabajo establece que el pago de las cesantias se hará a razón de tres días de salario por cada mes de trabajo. Por esta razón, se debe liquidar las cesantias sobre 36 días al año. (12x3=36)</t>
        </r>
      </text>
    </comment>
    <comment ref="C24" authorId="0" shapeId="0">
      <text>
        <r>
          <rPr>
            <b/>
            <sz val="9"/>
            <color indexed="81"/>
            <rFont val="Tahoma"/>
            <family val="2"/>
          </rPr>
          <t>Proyectos:</t>
        </r>
        <r>
          <rPr>
            <sz val="9"/>
            <color indexed="81"/>
            <rFont val="Tahoma"/>
            <family val="2"/>
          </rPr>
          <t xml:space="preserve">
Se toma el mpuesto ya que éste fue transformado en el Crec, 0.8% de la facturación</t>
        </r>
      </text>
    </comment>
  </commentList>
</comments>
</file>

<file path=xl/comments3.xml><?xml version="1.0" encoding="utf-8"?>
<comments xmlns="http://schemas.openxmlformats.org/spreadsheetml/2006/main">
  <authors>
    <author>Proyectos</author>
  </authors>
  <commentList>
    <comment ref="D228" authorId="0" shapeId="0">
      <text>
        <r>
          <rPr>
            <b/>
            <sz val="9"/>
            <color indexed="81"/>
            <rFont val="Tahoma"/>
            <family val="2"/>
          </rPr>
          <t>Proyectos:</t>
        </r>
        <r>
          <rPr>
            <sz val="9"/>
            <color indexed="81"/>
            <rFont val="Tahoma"/>
            <family val="2"/>
          </rPr>
          <t xml:space="preserve">
Maxiequipos sin Disco</t>
        </r>
      </text>
    </comment>
    <comment ref="D290" authorId="0" shapeId="0">
      <text>
        <r>
          <rPr>
            <b/>
            <sz val="9"/>
            <color indexed="81"/>
            <rFont val="Tahoma"/>
            <family val="2"/>
          </rPr>
          <t>Proyectos:</t>
        </r>
        <r>
          <rPr>
            <sz val="9"/>
            <color indexed="81"/>
            <rFont val="Tahoma"/>
            <family val="2"/>
          </rPr>
          <t xml:space="preserve">
Andamios América</t>
        </r>
      </text>
    </comment>
    <comment ref="E290" authorId="0" shapeId="0">
      <text>
        <r>
          <rPr>
            <b/>
            <sz val="9"/>
            <color indexed="81"/>
            <rFont val="Tahoma"/>
            <family val="2"/>
          </rPr>
          <t>Proyectos:</t>
        </r>
        <r>
          <rPr>
            <sz val="9"/>
            <color indexed="81"/>
            <rFont val="Tahoma"/>
            <family val="2"/>
          </rPr>
          <t xml:space="preserve">
Gaviequipos</t>
        </r>
      </text>
    </comment>
    <comment ref="F290" authorId="0" shapeId="0">
      <text>
        <r>
          <rPr>
            <b/>
            <sz val="9"/>
            <color indexed="81"/>
            <rFont val="Tahoma"/>
            <family val="2"/>
          </rPr>
          <t>Proyectos:</t>
        </r>
        <r>
          <rPr>
            <sz val="9"/>
            <color indexed="81"/>
            <rFont val="Tahoma"/>
            <family val="2"/>
          </rPr>
          <t xml:space="preserve">
Maxiequipos</t>
        </r>
      </text>
    </comment>
  </commentList>
</comments>
</file>

<file path=xl/comments4.xml><?xml version="1.0" encoding="utf-8"?>
<comments xmlns="http://schemas.openxmlformats.org/spreadsheetml/2006/main">
  <authors>
    <author>Gustavo</author>
    <author>Proyectos</author>
  </authors>
  <commentList>
    <comment ref="H2" authorId="0" shapeId="0">
      <text>
        <r>
          <rPr>
            <b/>
            <sz val="9"/>
            <color indexed="81"/>
            <rFont val="Tahoma"/>
            <family val="2"/>
          </rPr>
          <t>Gustavo:</t>
        </r>
        <r>
          <rPr>
            <sz val="9"/>
            <color indexed="81"/>
            <rFont val="Tahoma"/>
            <family val="2"/>
          </rPr>
          <t xml:space="preserve">
Tarifa m3 - Km</t>
        </r>
      </text>
    </comment>
    <comment ref="J3" authorId="1" shapeId="0">
      <text>
        <r>
          <rPr>
            <b/>
            <sz val="9"/>
            <color indexed="81"/>
            <rFont val="Tahoma"/>
            <family val="2"/>
          </rPr>
          <t>Proyectos:</t>
        </r>
        <r>
          <rPr>
            <sz val="9"/>
            <color indexed="81"/>
            <rFont val="Tahoma"/>
            <family val="2"/>
          </rPr>
          <t xml:space="preserve">
Se toma 40 km</t>
        </r>
      </text>
    </comment>
    <comment ref="I4" authorId="0" shapeId="0">
      <text>
        <r>
          <rPr>
            <b/>
            <sz val="9"/>
            <color indexed="81"/>
            <rFont val="Tahoma"/>
            <family val="2"/>
          </rPr>
          <t>Gustavo:</t>
        </r>
        <r>
          <rPr>
            <sz val="9"/>
            <color indexed="81"/>
            <rFont val="Tahoma"/>
            <family val="2"/>
          </rPr>
          <t xml:space="preserve">
Ingresar Valor</t>
        </r>
      </text>
    </comment>
  </commentList>
</comments>
</file>

<file path=xl/sharedStrings.xml><?xml version="1.0" encoding="utf-8"?>
<sst xmlns="http://schemas.openxmlformats.org/spreadsheetml/2006/main" count="3963" uniqueCount="1031">
  <si>
    <t>COSTO DIRECTO</t>
  </si>
  <si>
    <t>PLAZO</t>
  </si>
  <si>
    <t>ADMINISTRACIÓN</t>
  </si>
  <si>
    <t>UTILIDAD</t>
  </si>
  <si>
    <t>VALOR TOTAL</t>
  </si>
  <si>
    <t>REPOSICIÓN DE COBERTURA EXISTENTE - QUEBRADA SIN NOMBRE
Carrera 45A Calles 78 Sur y 82 Sur
MUNICIPIO DE SABANETA</t>
  </si>
  <si>
    <t xml:space="preserve">DISCRIMINACION AU </t>
  </si>
  <si>
    <t>Item</t>
  </si>
  <si>
    <t>Descripción</t>
  </si>
  <si>
    <t>Unidad</t>
  </si>
  <si>
    <t>Cantidad</t>
  </si>
  <si>
    <t>valor unitario</t>
  </si>
  <si>
    <t>Factor prestacional</t>
  </si>
  <si>
    <t>Dedicación</t>
  </si>
  <si>
    <t>Meses</t>
  </si>
  <si>
    <t>V/Parcial</t>
  </si>
  <si>
    <t>Personal Profesional y Técnico</t>
  </si>
  <si>
    <t>un</t>
  </si>
  <si>
    <t>Residente Social</t>
  </si>
  <si>
    <t>Ingeniero Civil (especialización Estructural) Asesor</t>
  </si>
  <si>
    <t>Auxiliar de Residencia</t>
  </si>
  <si>
    <t>Ingeniero Electrico</t>
  </si>
  <si>
    <t>Ingeniero Sanitario</t>
  </si>
  <si>
    <t>Arqueólogo</t>
  </si>
  <si>
    <t>Personal Operativo</t>
  </si>
  <si>
    <t>Maestro de Obra (Encargado)</t>
  </si>
  <si>
    <t>Almacenista</t>
  </si>
  <si>
    <t>Auxiliar Almacenista</t>
  </si>
  <si>
    <t>Ayudantes por Administración</t>
  </si>
  <si>
    <t>Personal Administrativo</t>
  </si>
  <si>
    <t>Director de Poryectos</t>
  </si>
  <si>
    <t>Coordinador Proyectos</t>
  </si>
  <si>
    <t>Secretaria</t>
  </si>
  <si>
    <t>Asesor Jurìdico</t>
  </si>
  <si>
    <t>Contador</t>
  </si>
  <si>
    <t>Auxiliar Contable</t>
  </si>
  <si>
    <t>Coordinador de Compras</t>
  </si>
  <si>
    <t>Auxiliar de compras</t>
  </si>
  <si>
    <t>Administrador</t>
  </si>
  <si>
    <t>Mensajero</t>
  </si>
  <si>
    <t>Desarrollo Humano</t>
  </si>
  <si>
    <t>Administración Central</t>
  </si>
  <si>
    <t>Celaduría 24 horas</t>
  </si>
  <si>
    <t>mes</t>
  </si>
  <si>
    <t>Inversión SocioAmbiental</t>
  </si>
  <si>
    <t>PMSA</t>
  </si>
  <si>
    <t>UN</t>
  </si>
  <si>
    <t>Ayudante por Administración para realizar actividades de PMSA</t>
  </si>
  <si>
    <t>Instalaciones Provisionales</t>
  </si>
  <si>
    <t>glb</t>
  </si>
  <si>
    <t>Servicios públicos y/o provisionales</t>
  </si>
  <si>
    <t>Campamento - personal operativo</t>
  </si>
  <si>
    <t>Planta eléctrica</t>
  </si>
  <si>
    <t>un/mes</t>
  </si>
  <si>
    <t>Tablero electrico móvil obra</t>
  </si>
  <si>
    <t>Papelería y Equipos de Oficina</t>
  </si>
  <si>
    <t>Equipo o alquiler de equipo oficina (incluye alquiler muebles y enseres)</t>
  </si>
  <si>
    <t>Dotación oficina (alquiler fax- impresoras - computadores)</t>
  </si>
  <si>
    <t>Papelería, tinta, fotocopias y otros</t>
  </si>
  <si>
    <t>Caja menor</t>
  </si>
  <si>
    <t>Celulares</t>
  </si>
  <si>
    <t>un-mes</t>
  </si>
  <si>
    <t>Impresión de planos de diseño</t>
  </si>
  <si>
    <t>Elaboración de planos necesarios para el recibo de la obra, en planchas de 1 m * 0,7 m (Planos record)</t>
  </si>
  <si>
    <t>PMT</t>
  </si>
  <si>
    <t>Transporte de Profesionales y Personal</t>
  </si>
  <si>
    <t>Auxilio transporte / vehiculos</t>
  </si>
  <si>
    <t>Laboratorio y Trámites y Permisos</t>
  </si>
  <si>
    <t>Ensayos de laboratorio (incluye diseños de mezclas para concreto, fallo de cilindros de concreto, ensayo de proctor modificado, toma de densidades de campo, ensayos a bloques, adobes, ensayos a elementos prefabricados, ensayos de resistencia al acero de refuerzo y estructuras metálicas y todos los ensayos y diseños necesarios para la correcta ejecucion y funcionamiento de las obras.</t>
  </si>
  <si>
    <t>Permiso de rotura</t>
  </si>
  <si>
    <t>Bancarios</t>
  </si>
  <si>
    <t>Chequeras (100 cheques)</t>
  </si>
  <si>
    <t>Transacciones Internet (valor por transacción)</t>
  </si>
  <si>
    <t>Costos Financieros</t>
  </si>
  <si>
    <t>Global</t>
  </si>
  <si>
    <t>Impacto Comunitario - Valla</t>
  </si>
  <si>
    <t>Suministro, transporte, instalación y mantenimiento de Valla 1X2</t>
  </si>
  <si>
    <t>Pólizas</t>
  </si>
  <si>
    <t>Pólizas (0,6% al 1 % del costo total)</t>
  </si>
  <si>
    <t>Impuestos</t>
  </si>
  <si>
    <t>Impuesto 4/1000 (del costo total incluido AU)</t>
  </si>
  <si>
    <t xml:space="preserve">Estampilla del Adulto Mayor 2% </t>
  </si>
  <si>
    <t>Estampilla Pro Universidad U de A. (0,20% del costo total incluido AU)</t>
  </si>
  <si>
    <t>N.A.</t>
  </si>
  <si>
    <t>Estampilla Pro Hospital Dpto Antioquia (0,50%)</t>
  </si>
  <si>
    <t>Estampilla Procultura 1,0%</t>
  </si>
  <si>
    <t>Impuesto de Contribucion especial 5% (del costo total incluido AU)</t>
  </si>
  <si>
    <t xml:space="preserve">Industria y comercio (1%) </t>
  </si>
  <si>
    <t>REEMBOLSABLE</t>
  </si>
  <si>
    <t>Fondo Industria construccion (0,25%) SENA</t>
  </si>
  <si>
    <t>Otros</t>
  </si>
  <si>
    <r>
      <t>Administración</t>
    </r>
    <r>
      <rPr>
        <sz val="10"/>
        <rFont val="Calibri"/>
        <family val="2"/>
      </rPr>
      <t xml:space="preserve"> </t>
    </r>
  </si>
  <si>
    <t>A</t>
  </si>
  <si>
    <t>Utilidad</t>
  </si>
  <si>
    <t>U</t>
  </si>
  <si>
    <r>
      <t xml:space="preserve">TOTAL AU </t>
    </r>
    <r>
      <rPr>
        <sz val="16"/>
        <rFont val="Calibri"/>
        <family val="2"/>
      </rPr>
      <t>(Suma de A + U)</t>
    </r>
  </si>
  <si>
    <r>
      <t xml:space="preserve">COSTO TOTAL  </t>
    </r>
    <r>
      <rPr>
        <sz val="16"/>
        <rFont val="Calibri"/>
        <family val="2"/>
      </rPr>
      <t>(Costo Directo + Total AU)</t>
    </r>
  </si>
  <si>
    <t>TOTAL COSTO DIRECTO</t>
  </si>
  <si>
    <t xml:space="preserve">TOTAL COSTO ADMINISTRACION </t>
  </si>
  <si>
    <t xml:space="preserve">UTILIDAD 5% </t>
  </si>
  <si>
    <t>COSTO TOTAL</t>
  </si>
  <si>
    <t>RECUPERACIÓN BANCA VÍA CALLE 58 SUR, CARRERA 38, MUNICIPIO DE SABANETA - ANTIOQUIA.</t>
  </si>
  <si>
    <t>PRESUPUESTO DE OBRA</t>
  </si>
  <si>
    <t>ÍTEM</t>
  </si>
  <si>
    <t>DESCRIPCIÓN</t>
  </si>
  <si>
    <t>UNIDAD</t>
  </si>
  <si>
    <t>CANTIDAD</t>
  </si>
  <si>
    <t>VR. UNITARIO</t>
  </si>
  <si>
    <t>PRELIMINARES</t>
  </si>
  <si>
    <t>LOCALIZACIÓN, TRAZADO Y REPLANTEO. Se utilizará personal experto con equipo de precisión. Se hará con la frecuencia que lo indique la interventoría. Incluye demarcación con pintura, línea de trazado, corte de piso, libretas y planos.</t>
  </si>
  <si>
    <t>día</t>
  </si>
  <si>
    <t>m</t>
  </si>
  <si>
    <t>DEMOLICIONES</t>
  </si>
  <si>
    <t>DEMOLICIÓN DE BORDILLOS O CUNETAS EN CONCRETO, manual o mecánicamente, de cualquier tamaño. Incluye retiro de refuerzo e instalaciones embebidas. La disposición final de los materiales provenientes de las demoliciones se deben realizar en sitios que cumplan con los requisitos exigidos por la autoridad ambiental. Incluye cargue transporte y botada.</t>
  </si>
  <si>
    <t>DEMOLICIÓN PAVIMENTO ASFÁLTICO, CUALQUIER ESPESOR. Incluye compresor neumático con martillo, además recuperación de los materiales aprovechables y/o su transporte hasta el sitio que lo indique la interventoría, y/o cargue transporte y botada, corte de pavimento con máquina.</t>
  </si>
  <si>
    <t>m2</t>
  </si>
  <si>
    <t>MOVIMIENTO DE TIERRA Y LLENOS</t>
  </si>
  <si>
    <t>m3</t>
  </si>
  <si>
    <t>LLENOS</t>
  </si>
  <si>
    <t>CARGUE, RETIRO Y BOTADA DE MATERIAL SOBRANTE.</t>
  </si>
  <si>
    <t>CARGUE MANUAL y/o MECÁNICO,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</si>
  <si>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</si>
  <si>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</si>
  <si>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CONCRETOS</t>
  </si>
  <si>
    <t>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t>
  </si>
  <si>
    <t>DRENES Y FILTROS</t>
  </si>
  <si>
    <t>Instalación de GEOTEXTIL NT 2000 tipo Pavco para filtro o equivalente. Incluye suministro y transporte de los materiales, traslapos, costuras y todos los elementos necesarios para su correcta instalación y funcionamiento. Según diseño.</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</si>
  <si>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 INCLUYE SOBREACARREO.</t>
  </si>
  <si>
    <t>Construcción de CUNETA EN "V" en concreto de 21 Mpa., DESARROLLO DE 0.50 m., ESPESOR DE 0.10 m. Incluye suministro, transporte y colocación del concreto, entresuelo 15 cm de piedra y 5 cm de arenilla y todos los demás elementos necesarios para su correcta construcción. Según diseño.</t>
  </si>
  <si>
    <t>URBANISMOS - VÍAS</t>
  </si>
  <si>
    <t>EXCAVACIÓN MECÁNICA PARA CAJEO DE VIA  de material heterogéneo DE 0.0 - 2.0  m., bajo cualquier grado de humedad. Incluye: roca descompuesta, bolas de roca de volumen inferior a 0.35 m³., el cargue, transporte interno, botada de material proveniente de las excavaciones en los sitios donde lo indique la interventoría y su medida será en el sitio. No incluye entibado.</t>
  </si>
  <si>
    <t>Perfilación de vía. Incluye escarificación, nivelación y compactación de la superficie.</t>
  </si>
  <si>
    <t>Suministro, transporte y colocación de BASE GRANULAR,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</si>
  <si>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Suministro, transporte y colocación de cordón prefabricado de 0.15 x 0.45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</si>
  <si>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COSTO DIRECTOS</t>
  </si>
  <si>
    <t>COSTOS ADMINISTRACIÓN</t>
  </si>
  <si>
    <t>IVA SOBRE UTILIDAD</t>
  </si>
  <si>
    <t>COSTO TOTAL OBRA</t>
  </si>
  <si>
    <t xml:space="preserve">Director de Obra </t>
  </si>
  <si>
    <t>Tecnico Obras Civiles</t>
  </si>
  <si>
    <t xml:space="preserve">Celaduría Nocturna </t>
  </si>
  <si>
    <t xml:space="preserve">Celaduría 24 horas </t>
  </si>
  <si>
    <t>Campamento - oficina personal técnico - Container</t>
  </si>
  <si>
    <t>Tecnologo  en Seguridad Industrial y Salud Ocupal</t>
  </si>
  <si>
    <t>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t>
  </si>
  <si>
    <t>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t>
  </si>
  <si>
    <t>OBRAS DE MITIGACIÓN - PROVISIONALES</t>
  </si>
  <si>
    <t xml:space="preserve">PRESUPUESTO PMT </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</si>
  <si>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</si>
  <si>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</si>
  <si>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</si>
  <si>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</si>
  <si>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Maletín (2,0 x 1,0 m) . (Alquiler)</t>
  </si>
  <si>
    <t>Balizas (1,4 m)</t>
  </si>
  <si>
    <t>conos viales (90cm)</t>
  </si>
  <si>
    <t>Faro luminoso (flasher)</t>
  </si>
  <si>
    <t>Barricadas con franjas reflectivas grado IV con 1,50m alto y 2,40m de ancho (alquiler)</t>
  </si>
  <si>
    <t>Malla plástica naranja (polietileno de alta densidad, rollo por 50 m, ancho 1,40 m)</t>
  </si>
  <si>
    <t>Estructuración y Trámite de aprobación de PMT</t>
  </si>
  <si>
    <t>Auxiliar de tránsito, incluida dotación</t>
  </si>
  <si>
    <t>personas/mes</t>
  </si>
  <si>
    <t>Capacitación y entrenamiento para auxiliares de tránsito para obras en vías</t>
  </si>
  <si>
    <t>Permiso de ocupación de vía Secretaría de Movilidad.</t>
  </si>
  <si>
    <t>Asesoria Especialista en movilidad</t>
  </si>
  <si>
    <t>personas-mes</t>
  </si>
  <si>
    <t xml:space="preserve"> TOTAL PMT</t>
  </si>
  <si>
    <t>El valor todal presupuestado por CONCRETOS Y MEZCLAS S.A. por concepto de implementación del PLAN DE MANEJO DE TRÁNSITO, reflejada en sus respectivo anexo, es un valor estimado que será un gasto reembolsable demostrable acorde a la Estructuración finalmente aprobada por la Entidad Competente. Lo anterior, con la finalidad de ser ejecutados en la proporcion requerida y durante los tiempos en que se presentan las necesidades que cada uno de ellos busca satisfacer. Dichas actividades serán reconocidas a cargo de reeembolso de gastos.</t>
  </si>
  <si>
    <t>ANALISIS DETALLADO DEL PORCENTAJE DE PRESTACIONES SOCIALES OPERATIVO</t>
  </si>
  <si>
    <t>Histórico del salario mínimo en Colombia desde 1.990</t>
  </si>
  <si>
    <t>SALARIO MENSUAL</t>
  </si>
  <si>
    <t>Año</t>
  </si>
  <si>
    <t>Salario mínimo</t>
  </si>
  <si>
    <t>Auxilio de transporte</t>
  </si>
  <si>
    <t>% INC. SALARIO</t>
  </si>
  <si>
    <t>% INC.                SUB. TTE</t>
  </si>
  <si>
    <t>SUBSIDIO TRANSPORTE</t>
  </si>
  <si>
    <t>SALARIO TOTAL MENSUAL</t>
  </si>
  <si>
    <t>JORNAL</t>
  </si>
  <si>
    <t>TOTAL SALARIO ANUAL</t>
  </si>
  <si>
    <t>TOTAL SALARIO + TRANSPORTE ANUAL</t>
  </si>
  <si>
    <t>PRESTACIONES</t>
  </si>
  <si>
    <t>BASE</t>
  </si>
  <si>
    <t>FACTOR</t>
  </si>
  <si>
    <t>VALOR</t>
  </si>
  <si>
    <t>%</t>
  </si>
  <si>
    <t>CESANTIAS ANUAL</t>
  </si>
  <si>
    <t>INTERESES CESANTIAS</t>
  </si>
  <si>
    <t>VACACIONES - 15 DIAS</t>
  </si>
  <si>
    <t>PRIMA - 30 DIAS</t>
  </si>
  <si>
    <t>OTROS COSTOS</t>
  </si>
  <si>
    <t>Hidratación - Otros</t>
  </si>
  <si>
    <t>DOTACIÓN( 3 AL AÑO)</t>
  </si>
  <si>
    <t>EPP</t>
  </si>
  <si>
    <t>SEGURIDAD SOCIAL</t>
  </si>
  <si>
    <t>PENSIONES ANUAL</t>
  </si>
  <si>
    <t>MEDICINA FAMILIAR-EPS</t>
  </si>
  <si>
    <t>RIESGOS PROFESIONALES</t>
  </si>
  <si>
    <t xml:space="preserve">OTROS APORTES  </t>
  </si>
  <si>
    <t>AUTORENTA</t>
  </si>
  <si>
    <t>SENA SE (EXONERA artículo 65 de la Ley 1819 de 2016)</t>
  </si>
  <si>
    <t>ICBF SE (EXONERA artículo 65 de la Ley 1819 de 2016)</t>
  </si>
  <si>
    <t>SUBSIDIO FAMILIAR-CAJA DE COMPENSACIÓN</t>
  </si>
  <si>
    <t>FIC (Fondo Nacional de Formación Profesional de la Industria de la Construcción)</t>
  </si>
  <si>
    <t>TOTAL</t>
  </si>
  <si>
    <t>Salario Mensual</t>
  </si>
  <si>
    <t>Salario + Pret. + Aux Tte.</t>
  </si>
  <si>
    <t>Días Laborados</t>
  </si>
  <si>
    <t>Salario Día</t>
  </si>
  <si>
    <t>Ayudante</t>
  </si>
  <si>
    <t>Ayudante Entendido</t>
  </si>
  <si>
    <t>Ayudante O. Blanca</t>
  </si>
  <si>
    <t>Ofical O. Negra</t>
  </si>
  <si>
    <t>Oficial O. Blanca</t>
  </si>
  <si>
    <t>Minero</t>
  </si>
  <si>
    <t>Pileros</t>
  </si>
  <si>
    <t>Topografo</t>
  </si>
  <si>
    <t>Soldador</t>
  </si>
  <si>
    <t>Montador de estructura</t>
  </si>
  <si>
    <t xml:space="preserve">Oficial de pintura </t>
  </si>
  <si>
    <t>ANALISIS DETALLADO DEL PORCENTAJE DE PRESTACIONES SOCIALES ADMINISTRATIVO</t>
  </si>
  <si>
    <t>PROM. % INCREMENTO</t>
  </si>
  <si>
    <t>PARCIAL</t>
  </si>
  <si>
    <t>1.  SUELDO</t>
  </si>
  <si>
    <t>2.  PRESTACIONES SOCIALES</t>
  </si>
  <si>
    <t>Fondo de Solidaridad</t>
  </si>
  <si>
    <t>Cesantias</t>
  </si>
  <si>
    <t>Prima de Servicios</t>
  </si>
  <si>
    <t>Intereses Cesantias</t>
  </si>
  <si>
    <t>Vacaciones</t>
  </si>
  <si>
    <t>Auxilio de trasporte</t>
  </si>
  <si>
    <t>3.  APORTES</t>
  </si>
  <si>
    <t>Salud</t>
  </si>
  <si>
    <t>Pensión</t>
  </si>
  <si>
    <t>Riesgos Profesionales</t>
  </si>
  <si>
    <t>4.  APORTES PARAFISCALES</t>
  </si>
  <si>
    <t>SENA</t>
  </si>
  <si>
    <t>ICBF</t>
  </si>
  <si>
    <t>Subsidio Familiar</t>
  </si>
  <si>
    <t>Cuad. Prep.Concreto (1of+5ay)</t>
  </si>
  <si>
    <t>Cuad. Estruct. Muros (2of + 4ay)</t>
  </si>
  <si>
    <t>Cuad. Estruct. Losas (2of + 6ay)</t>
  </si>
  <si>
    <t>Cuad. Eléctrica (1ofE+1ayE)</t>
  </si>
  <si>
    <t>Cuad. Hidrosa. (1ofH+1ayH)</t>
  </si>
  <si>
    <t>Comisión Topog. (1Top+1Cad1+1Cad2)</t>
  </si>
  <si>
    <t>Cuad. 1of + 1 ay Ent</t>
  </si>
  <si>
    <t>Cuad. 1of + 1ay</t>
  </si>
  <si>
    <t>1Ay Raso</t>
  </si>
  <si>
    <t>1Ay Entendido</t>
  </si>
  <si>
    <t>1 Ay Obra Blanca</t>
  </si>
  <si>
    <t>Cuadrilla Mampostería (1of O.B + 2ay)</t>
  </si>
  <si>
    <t>Cuadrilla labores varias (1of + 2ay)</t>
  </si>
  <si>
    <t>Cuad. Exc. Plias (2pileros+1ay)</t>
  </si>
  <si>
    <t>Cuadrilla Minería (1of Minero+ 1ayE)</t>
  </si>
  <si>
    <t>Cuadrilla Exc y Llenos. (1ayE + 2ay)</t>
  </si>
  <si>
    <t>Cuad. Concreto (1of + 3ay)</t>
  </si>
  <si>
    <t>Cuad. Fig y Coloc Acero (1of+ 2ay)</t>
  </si>
  <si>
    <t>Cuad. Filtros (1of + 2 ay)</t>
  </si>
  <si>
    <t>Cuad. Sistema Bombeo Bentonita (4ay)</t>
  </si>
  <si>
    <t>Cuadrilla asistencia Piloteadora (1 of + 4ay)</t>
  </si>
  <si>
    <t>Cuadrilla de labores varias (1 of + 4 ay)</t>
  </si>
  <si>
    <t>Cuadrilla de cerrajería</t>
  </si>
  <si>
    <t>Cuadrilla de estructura metálica (1Sold+1mont est.+2ay ent.)</t>
  </si>
  <si>
    <t>Profesional Forestal</t>
  </si>
  <si>
    <t>Cuadrilla enchapes (1of O.B. + 2 ay O.B.)</t>
  </si>
  <si>
    <t>Cuadrilla Pavimentos (1E+2Rastrilleros+1Ligador+6Ayudantes)</t>
  </si>
  <si>
    <t>Tecnólogo Socio - Ambiental</t>
  </si>
  <si>
    <t>DEMOLICIÓN DE SUMIDEROS de cualquier tipo y material  existentes. Incluye: Cargue, transporte y botada de escombros, recuperación de los materiales aprovechables o su transporte hasta el sitio que lo indique la interventoría.</t>
  </si>
  <si>
    <t>Colocación de concreto de 14 Mpa para SOLADO, con un espesor DE 0.05 m. Incluye el suministro y el transporte del concreto y todos los demás elementos necesarios para su correcta construcción, incluye acarreo interno.</t>
  </si>
  <si>
    <t>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t>
  </si>
  <si>
    <t>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t>
  </si>
  <si>
    <t>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t>
  </si>
  <si>
    <t>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</si>
  <si>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</si>
  <si>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transporte y colocación de TRITURADO de 3/4 " para construcción de CIMENTACIÓN DE TUBERÍA PVC NOVAFORT. Incluye transporte interno y todo lo necesario para su correcta instalación.</t>
  </si>
  <si>
    <t>Construcción de Emboquillada de tubería en pared para caja y/o muro, según especificaciones técnicas de EEPP de Medellín. Incluye suministro, transporte e instalación de los materiales y todo lo necesario para su correcta ejecución.</t>
  </si>
  <si>
    <t xml:space="preserve"> 4 MESES</t>
  </si>
  <si>
    <t>ANÁLISIS DE  PRECIO UNITARIO</t>
  </si>
  <si>
    <t>Mano de Obra</t>
  </si>
  <si>
    <t>Herramienta</t>
  </si>
  <si>
    <t>Herramienta menor</t>
  </si>
  <si>
    <t>(%)mo</t>
  </si>
  <si>
    <t>Equipo</t>
  </si>
  <si>
    <t>Costo Directo</t>
  </si>
  <si>
    <t>V. Unt.</t>
  </si>
  <si>
    <t>V.Total</t>
  </si>
  <si>
    <t>Materiales</t>
  </si>
  <si>
    <t>Sub-Total Materiales</t>
  </si>
  <si>
    <t>Su-Total de Mano de Obra</t>
  </si>
  <si>
    <t>Sub-Total de Herramienta</t>
  </si>
  <si>
    <t>Sub-Total de Equipo</t>
  </si>
  <si>
    <t>Auxiliares - Transportes</t>
  </si>
  <si>
    <t>Sub-Total Auxiliares-Transportes</t>
  </si>
  <si>
    <t>DESCRIPCION</t>
  </si>
  <si>
    <t>UND</t>
  </si>
  <si>
    <t>CANT</t>
  </si>
  <si>
    <t>DESP</t>
  </si>
  <si>
    <t>PRECIO</t>
  </si>
  <si>
    <t>SUBTOTAL</t>
  </si>
  <si>
    <t>PRECIO MATERIAL</t>
  </si>
  <si>
    <t>AREA METROPOLITANA</t>
  </si>
  <si>
    <t>CORREGIMIENTO</t>
  </si>
  <si>
    <t>COMUNAS</t>
  </si>
  <si>
    <t>DISTANCIA - Km</t>
  </si>
  <si>
    <t>MORTEROS</t>
  </si>
  <si>
    <t>BASE GRANULAR</t>
  </si>
  <si>
    <t>SUB-BASE GRANULAR</t>
  </si>
  <si>
    <t>Mort.1:1 En obra</t>
  </si>
  <si>
    <t>ARENILLA</t>
  </si>
  <si>
    <t>Arena de pega</t>
  </si>
  <si>
    <t>Triturado 3/4"-3/8"</t>
  </si>
  <si>
    <t>Cemento gris Nare (50 Kg)</t>
  </si>
  <si>
    <t>sac</t>
  </si>
  <si>
    <t>Triturado11/2"</t>
  </si>
  <si>
    <t>M.de O.prepar.mezclas</t>
  </si>
  <si>
    <t>Arena para concreto</t>
  </si>
  <si>
    <t>Concretadora 11/2 sacos electrica</t>
  </si>
  <si>
    <t>Arena para pega</t>
  </si>
  <si>
    <t>Arena de revoque</t>
  </si>
  <si>
    <t>Piedra entresuelo</t>
  </si>
  <si>
    <t>Mort.1:2 En obra</t>
  </si>
  <si>
    <t>Cemento 50kg</t>
  </si>
  <si>
    <t>Cal 10 Kg.</t>
  </si>
  <si>
    <t>PREPARACION DE CONCRETO O MORTERO</t>
  </si>
  <si>
    <t>Rendimiento-Día</t>
  </si>
  <si>
    <t>6 ayudantes</t>
  </si>
  <si>
    <t>M.O. Preparación Concreto + báscula</t>
  </si>
  <si>
    <t>Mort.1:3 En obra</t>
  </si>
  <si>
    <t>Concretadora 11/2 saco. Alqu. Dia</t>
  </si>
  <si>
    <t>Báscula día</t>
  </si>
  <si>
    <t>Mort.1:4 En obra</t>
  </si>
  <si>
    <t>Concretadora 1.5 saco DIESEL</t>
  </si>
  <si>
    <t>Mort.1:5 En obra</t>
  </si>
  <si>
    <t>Mort.1:6 En obra</t>
  </si>
  <si>
    <t>Concretadora 11/2 saco. Alquiler dia</t>
  </si>
  <si>
    <t>Triturado 3/4"</t>
  </si>
  <si>
    <t>conasfaltos/sta fe antioquia</t>
  </si>
  <si>
    <t>Mort.1:7 En obra</t>
  </si>
  <si>
    <t>de los wilws</t>
  </si>
  <si>
    <t>potreritos</t>
  </si>
  <si>
    <t>sta rita/ san javier</t>
  </si>
  <si>
    <t>Triturado 3/8"</t>
  </si>
  <si>
    <t>Mort.1:8 En obra</t>
  </si>
  <si>
    <t>SUBBASE GRANULAR</t>
  </si>
  <si>
    <t>Cargue (Paleros), transporte de materiales y derechos de botadero y/o almacenamiento en bodega.</t>
  </si>
  <si>
    <t>M de O prepa. Mezcla</t>
  </si>
  <si>
    <t>Distancia Corregimientos Desde Punto 0</t>
  </si>
  <si>
    <t>Altavista</t>
  </si>
  <si>
    <t>8 Km</t>
  </si>
  <si>
    <t>San Cristobal</t>
  </si>
  <si>
    <t>11 Km</t>
  </si>
  <si>
    <t>Concr.en obra 1500 psi 3/4</t>
  </si>
  <si>
    <t>Santa Elena</t>
  </si>
  <si>
    <t>16 Km</t>
  </si>
  <si>
    <t>Triturado de 3/4"</t>
  </si>
  <si>
    <t>San Antonio de Prado</t>
  </si>
  <si>
    <t>17 Km</t>
  </si>
  <si>
    <t>Arena de concreto</t>
  </si>
  <si>
    <t>Palmitas</t>
  </si>
  <si>
    <t>Via al mar:27 Km</t>
  </si>
  <si>
    <t>Tunel: 17 Km</t>
  </si>
  <si>
    <t>Concr.en obra 2000 psi 3/4"</t>
  </si>
  <si>
    <t>Concr.en obra 2500 psi 3/4"</t>
  </si>
  <si>
    <t>Concr.en obra 3000 psi 3/4"</t>
  </si>
  <si>
    <t>Concr.en obra 3500 psi 3/4"</t>
  </si>
  <si>
    <t>Concr.en obra 4000 psi 3/4"</t>
  </si>
  <si>
    <t>premezclado</t>
  </si>
  <si>
    <t>Concreto</t>
  </si>
  <si>
    <t>Mixer</t>
  </si>
  <si>
    <t>Bombeo</t>
  </si>
  <si>
    <t>Concr.en obra 5000 psi 3/4"</t>
  </si>
  <si>
    <t>Concr.ciclopeo 2500 psi obra</t>
  </si>
  <si>
    <t>Concr.2500 psi(1/2")</t>
  </si>
  <si>
    <t>M.de O.prepar.concr.ciclopeo</t>
  </si>
  <si>
    <t>dia</t>
  </si>
  <si>
    <t>Mort. Fluido Grouting 1:3</t>
  </si>
  <si>
    <t>Concreto de pega 0,3:1:3:2 - cal:cemento:arena:agregado grueso</t>
  </si>
  <si>
    <t>arena de pega</t>
  </si>
  <si>
    <t>triturado de 3/4"</t>
  </si>
  <si>
    <t>cemento gris</t>
  </si>
  <si>
    <t>cal de 10 kg</t>
  </si>
  <si>
    <t>M de O</t>
  </si>
  <si>
    <t>gl</t>
  </si>
  <si>
    <t>TIPO</t>
  </si>
  <si>
    <t>VALOR UNITARIO
 (incluye IVA)</t>
  </si>
  <si>
    <t>GERFOR</t>
  </si>
  <si>
    <t>cotización</t>
  </si>
  <si>
    <t>MATERIALES</t>
  </si>
  <si>
    <t>Tubaría NOVALOC x 6 metros, diámetro 45", incluye transporte a obra.</t>
  </si>
  <si>
    <t>Tubaría NOVALOC x 6 metros, diámetro 48", incluye transporte a obra.</t>
  </si>
  <si>
    <t>Tubaría NOVALOC x 6 metros, diámetro 51", incluye transporte a obra.</t>
  </si>
  <si>
    <t>Tubaría NOVALOC x 6 metros, diámetro 54", incluye transporte a obra.</t>
  </si>
  <si>
    <t>Tubaría NOVALOC x 6 metros, diámetro 57", incluye transporte a obra.</t>
  </si>
  <si>
    <t>Tubaría NOVALOC x 6 metros, diámetro 60", incluye transporte a obra.</t>
  </si>
  <si>
    <t xml:space="preserve">Bisel NOVALOC diámetro 45" </t>
  </si>
  <si>
    <t xml:space="preserve">Bisel NOVALOC diámetro 48" </t>
  </si>
  <si>
    <t xml:space="preserve">Bisel NOVALOC diámetro 51" </t>
  </si>
  <si>
    <t xml:space="preserve">Bisel NOVALOC diámetro 54" </t>
  </si>
  <si>
    <t xml:space="preserve">Bisel NOVALOC diámetro 60" </t>
  </si>
  <si>
    <t>Accesorio alcantarillado corrugada doble pared Sello Corma diámetro 36"</t>
  </si>
  <si>
    <t>Accesorio alcantarillado perfilado Sello Biselado diámetro 39"</t>
  </si>
  <si>
    <t>Accesorio alcantarillado perfilado Sello Biselado diámetro 42"</t>
  </si>
  <si>
    <t>Accesorio alcantarillado perfilado Sello Elastomérico diámetro 39" (unión-Campana)</t>
  </si>
  <si>
    <t>Accesorio alcantarillado perfilado Sello Elastomérico diámetro 42" (unión-Campana)</t>
  </si>
  <si>
    <t>Hidrosellos diámetro39"</t>
  </si>
  <si>
    <t>Hidrosellos diámetro 45"</t>
  </si>
  <si>
    <t>Hidrosellos diámetro 48"</t>
  </si>
  <si>
    <t>Hidrosellos diámetro  51"</t>
  </si>
  <si>
    <t>Hidrosellos diámetro  54"</t>
  </si>
  <si>
    <t>Hidrosellos diámetro 60"</t>
  </si>
  <si>
    <t>Unióm Perfilado diámetro 39"</t>
  </si>
  <si>
    <t>Unióm Perfilado diámetro 42"</t>
  </si>
  <si>
    <t>Uniones NOVALOC 45"</t>
  </si>
  <si>
    <t>Uniones NOVALOC 48"</t>
  </si>
  <si>
    <t>Uniones NOVALOC 51"</t>
  </si>
  <si>
    <t>Uniones NOVALOC 54"</t>
  </si>
  <si>
    <t>Uniones NOVALOC 57"</t>
  </si>
  <si>
    <t>Uniones NOVALOC 60"</t>
  </si>
  <si>
    <t>Soldadura PVC Barra 1/8</t>
  </si>
  <si>
    <t>Tubería NOVAFORT x 6 metros, incluye transporte a obra, diámetro 110 mm</t>
  </si>
  <si>
    <t>Tubería NOVAFORT x 6 metros, incluye transporte a obra, diámetro 160 mm</t>
  </si>
  <si>
    <t>Tubería NOVAFORT x 6 metros, incluye transporte a obra, diámetro 200 mm</t>
  </si>
  <si>
    <t>Tubería NOVAFORT x 6 metros, incluye transporte a obra, diámetro 250 mm</t>
  </si>
  <si>
    <t>Tubería NOVAFORT x 6 metros, incluye transporte a obra, diámetro 315 mm</t>
  </si>
  <si>
    <t>Tubería NOVAFORT x 6 metros, incluye transporte a obra, diámetro 355 mm</t>
  </si>
  <si>
    <t>Tubería NOVAFORT x 6 metros, incluye transporte a obra, diámetro 400 mm</t>
  </si>
  <si>
    <t>Tubería NOVAFORT x 6 metros, incluye transporte a obra, diámetro 450 mm</t>
  </si>
  <si>
    <t>Tubería NOVAFORT x 6 metros, incluye transporte a obra, diámetro 500 mm</t>
  </si>
  <si>
    <t>Tubería NOVAFORT x 6.5 metros, incluye transporte a obra, diámetro 24"</t>
  </si>
  <si>
    <t>Tubería NOVAFORT x 6.5 metros, incluye transporte a obra, diámetro 27"</t>
  </si>
  <si>
    <t>Tubería NOVAFORT x 6.5 metros, incluye transporte a obra, diámetro 30"</t>
  </si>
  <si>
    <t>Tubería NOVAFORT x 6.5 metros, incluye transporte a obra, diámetro 33"</t>
  </si>
  <si>
    <t>Tubería NOVAFORT x 6.5 metros, incluye transporte a obra, diámetro 36"</t>
  </si>
  <si>
    <t>Tubería NOVAFORT x 6.5 metros, incluye transporte a obra, diámetro 39"</t>
  </si>
  <si>
    <t>Tubería NOVAFORT x 6.5 metros, incluye transporte a obra, diámetro 42"</t>
  </si>
  <si>
    <t>Tubería NOVAFORT x 6.5 metros, incluye transporte a obra, diámetro 45"</t>
  </si>
  <si>
    <t>Tubería NOVAFORT x 6.5 metros, incluye transporte a obra, diámetro 48"</t>
  </si>
  <si>
    <t>Conexiones Alcantarillado NOVAFORT uniones Diámetro 110 mm</t>
  </si>
  <si>
    <t>Conexiones Alcantarillado NOVAFORT uniones Diámetro 160 mm</t>
  </si>
  <si>
    <t>Conexiones Alcantarillado NOVAFORT uniones Diámetro 200 mm</t>
  </si>
  <si>
    <t>Conexiones Alcantarillado NOVAFORT uniones Diámetro 250 mm</t>
  </si>
  <si>
    <t>Conexiones Alcantarillado NOVAFORT uniones Diámetro 315 mm</t>
  </si>
  <si>
    <t>Conexiones Alcantarillado NOVAFORT uniones Diámetro 355 mm</t>
  </si>
  <si>
    <t>Conexiones Alcantarillado NOVAFORT uniones Diámetro 400 mm</t>
  </si>
  <si>
    <t>Conexiones Alcantarillado NOVAFORT uniones Diámetro 450 mm</t>
  </si>
  <si>
    <t>Conexiones Alcantarillado NOVAFORT uniones Diámetro 500 mm</t>
  </si>
  <si>
    <t>Conexiones Alcantarillado NOVAFORT uniones Diámetro 24"</t>
  </si>
  <si>
    <t>Conexiones Alcantarillado NOVAFORT uniones Diámetro 27"</t>
  </si>
  <si>
    <t>Conexiones Alcantarillado NOVAFORT uniones Diámetro 30"</t>
  </si>
  <si>
    <t>Conexiones Alcantarillado NOVAFORT uniones Diámetro 33"</t>
  </si>
  <si>
    <t>Conexiones Alcantarillado NOVAFORT uniones Diámetro 36"</t>
  </si>
  <si>
    <t>Conexiones Alcantarillado NOVAFORT uniones Diámetro 39"</t>
  </si>
  <si>
    <t>Conexiones Alcantarillado NOVAFORT uniones Diámetro 42"</t>
  </si>
  <si>
    <t>Conexiones Alcantarillado NOVAFORT uniones Diámetro 45"</t>
  </si>
  <si>
    <t>Conexiones Alcantarillado NOVAFORT uniones Diámetro 48"</t>
  </si>
  <si>
    <t>Conexiones Alcantarillado NOVAFORTCodos 90° Diámetro 110 mm</t>
  </si>
  <si>
    <t>Conexiones Alcantarillado NOVAFORTCodos 90° Diámetro 160 mm</t>
  </si>
  <si>
    <t>Conexiones Alcantarillado NOVAFORTCodos 45° Diámetro 110 mm</t>
  </si>
  <si>
    <t>Conexiones Alcantarillado NOVAFORTCodos 45° Diámetro 160 mm</t>
  </si>
  <si>
    <t>KIT SILLA YEE</t>
  </si>
  <si>
    <t>Conexiones Alcantarillado NOVAFORT Sillas Yee Diámetro 160x110</t>
  </si>
  <si>
    <t>Conexiones Alcantarillado NOVAFORT Sillas Yee Diámetro 200x110</t>
  </si>
  <si>
    <t>Conexiones Alcantarillado NOVAFORT Sillas Yee Diámetro 200x160</t>
  </si>
  <si>
    <t>Conexiones Alcantarillado NOVAFORT Sillas Yee Diámetro 250x110</t>
  </si>
  <si>
    <t>Conexiones Alcantarillado NOVAFORT Sillas Yee Diámetro 250x160</t>
  </si>
  <si>
    <t>Conexiones Alcantarillado NOVAFORT Sillas Yee Diámetro 250x200</t>
  </si>
  <si>
    <t>Conexiones Alcantarillado NOVAFORT Sillas Yee Diámetro 315x110</t>
  </si>
  <si>
    <t>Conexiones Alcantarillado NOVAFORT Sillas Yee Diámetro 315x160</t>
  </si>
  <si>
    <t>Conexiones Alcantarillado NOVAFORT Sillas Yee Diámetro 315x200</t>
  </si>
  <si>
    <t>Conexiones Alcantarillado NOVAFORT Sillas Yee Diámetro 355x110</t>
  </si>
  <si>
    <t>Conexiones Alcantarillado NOVAFORT Sillas Yee Diámetro 355x160</t>
  </si>
  <si>
    <t>Conexiones Alcantarillado NOVAFORT Sillas Yee Diámetro 355x200</t>
  </si>
  <si>
    <t>Conexiones Alcantarillado NOVAFORT Sillas Yee Diámetro 400x110</t>
  </si>
  <si>
    <t>Conexiones Alcantarillado NOVAFORT Sillas Yee Diámetro 400x160</t>
  </si>
  <si>
    <t>Conexiones Alcantarillado NOVAFORT Sillas Yee Diámetro 400x200</t>
  </si>
  <si>
    <t>Conexiones Alcantarillado NOVAFORT Sillas Yee Diámetro 400x250</t>
  </si>
  <si>
    <t>Conexiones Alcantarillado NOVAFORT Sillas Yee Diámetro 450x160</t>
  </si>
  <si>
    <t>Conexiones Alcantarillado NOVAFORT Sillas Yee Diámetro 450x200</t>
  </si>
  <si>
    <t>Conexiones Alcantarillado NOVAFORT Sillas Yee Diámetro 500x160</t>
  </si>
  <si>
    <t>Conexiones Alcantarillado NOVAFORT Sillas Yee Diámetro 500x200</t>
  </si>
  <si>
    <t>Conexiones Alcantarillado NOVAFORT Sillas Yee Diámetro 24x160</t>
  </si>
  <si>
    <t>Conexiones Alcantarillado NOVAFORT Sillas Yee Diámetro 24x200</t>
  </si>
  <si>
    <t>Conexiones Alcantarillado NOVAFORT Sillas Yee Diámetro 27x160</t>
  </si>
  <si>
    <t>Conexiones Alcantarillado NOVAFORT Sillas Yee Diámetro 27x200</t>
  </si>
  <si>
    <t>Conexiones Alcantarillado NOVAFORT Sillas Yee Diámetro 27x250</t>
  </si>
  <si>
    <t>Conexiones Alcantarillado NOVAFORT Sillas Yee Diámetro 30x160</t>
  </si>
  <si>
    <t>Conexiones Alcantarillado NOVAFORT Sillas Yee Diámetro 30x200</t>
  </si>
  <si>
    <t>Conexiones Alcantarillado NOVAFORT Sillas Yee Diámetro 33x160</t>
  </si>
  <si>
    <t>Conexiones Alcantarillado NOVAFORT Sillas Yee Diámetro 36x160</t>
  </si>
  <si>
    <t>Conexiones Alcantarillado NOVAFORT Sillas Tee Diámetro 160x110</t>
  </si>
  <si>
    <t>Conexiones Alcantarillado NOVAFORT Sillas Tee Diámetro 160x160</t>
  </si>
  <si>
    <t>Conexiones Alcantarillado NOVAFORT Sillas Tee Diámetro 200x110</t>
  </si>
  <si>
    <t>Conexiones Alcantarillado NOVAFORT Sillas Tee Diámetro 200x160</t>
  </si>
  <si>
    <t>Conexiones Alcantarillado NOVAFORT Sillas Tee Diámetro 250x110</t>
  </si>
  <si>
    <t>Conexiones Alcantarillado NOVAFORT Sillas Tee Diámetro 250x160</t>
  </si>
  <si>
    <t>Conexiones Alcantarillado NOVAFORT Sillas Tee Diámetro 250x200</t>
  </si>
  <si>
    <t>Conexiones Alcantarillado NOVAFORT Sillas Tee Diámetro 315x110</t>
  </si>
  <si>
    <t>Conexiones Alcantarillado NOVAFORT Sillas Tee Diámetro 315x160</t>
  </si>
  <si>
    <t>Conexiones Alcantarillado NOVAFORT Sillas Tee Diámetro 315x200</t>
  </si>
  <si>
    <t>Conexiones Alcantarillado NOVAFORT Sillas Tee Diámetro 315x250</t>
  </si>
  <si>
    <t>Conexiones Alcantarillado NOVAFORT Sillas Tee Diámetro 355x110</t>
  </si>
  <si>
    <t>Conexiones Alcantarillado NOVAFORT Sillas Tee Diámetro 355x160</t>
  </si>
  <si>
    <t>Conexiones Alcantarillado NOVAFORT Sillas Tee Diámetro 355x200</t>
  </si>
  <si>
    <t>Conexiones Alcantarillado NOVAFORT Sillas Tee Diámetro 400x110</t>
  </si>
  <si>
    <t>Conexiones Alcantarillado NOVAFORT Sillas Tee Diámetro 400x160</t>
  </si>
  <si>
    <t>Conexiones Alcantarillado NOVAFORT Sillas Tee Diámetro 400x200</t>
  </si>
  <si>
    <t>Conexiones Alcantarillado NOVAFORT Sillas Tee Diámetro 400x250</t>
  </si>
  <si>
    <t>Conexiones Alcantarillado NOVAFORT Sillas Tee Diámetro 450x160</t>
  </si>
  <si>
    <t>Conexiones Alcantarillado NOVAFORT Sillas Tee Diámetro 500x160</t>
  </si>
  <si>
    <t>Conexiones Alcantarillado NOVAFORT Sillas Tee Diámetro 24x160</t>
  </si>
  <si>
    <t>Conexiones Alcantarillado NOVAFORT Sillas Tee Diámetro 24x200</t>
  </si>
  <si>
    <t>Conexiones Alcantarillado NOVAFORT Sillas Tee Diámetro 27x315</t>
  </si>
  <si>
    <t>Kit Conexiones Alcantarillado NOVAFORT Sillas Tee Diámetro 27x160</t>
  </si>
  <si>
    <t>Conexiones Alcantarillado NOVAFORT Yee Diámetro 160x160</t>
  </si>
  <si>
    <t>Conexiones Alcantarillado NOVAFORT Yee Diámetro 200x160</t>
  </si>
  <si>
    <t>Conexiones Alcantarillado NOVAFORT Yee Diámetro 250x160</t>
  </si>
  <si>
    <t>Conexiones Alcantarillado NOVAFORT Yee Diámetro 315x160</t>
  </si>
  <si>
    <t>Conexiones Alcantarillado NOVAFORT Yee Diámetro 400x160</t>
  </si>
  <si>
    <t>Adhesivo Epóxico Novafort 1/4 galón</t>
  </si>
  <si>
    <t>Adhesivo Epóxico Novafort 1/2 galón</t>
  </si>
  <si>
    <r>
      <t xml:space="preserve">Tuebería drenaje corrugada sin filtro rollo por 35 m. </t>
    </r>
    <r>
      <rPr>
        <sz val="11"/>
        <rFont val="Calibri"/>
        <family val="2"/>
      </rPr>
      <t>Ø=65 mm</t>
    </r>
  </si>
  <si>
    <r>
      <t xml:space="preserve">Tuebería drenaje corrugada sin filtro rollo por 35 m. </t>
    </r>
    <r>
      <rPr>
        <sz val="11"/>
        <rFont val="Calibri"/>
        <family val="2"/>
      </rPr>
      <t>Ø=100 mm</t>
    </r>
  </si>
  <si>
    <r>
      <t xml:space="preserve">Tuebería drenaje corrugada sin filtro rollo por 35 m. </t>
    </r>
    <r>
      <rPr>
        <sz val="11"/>
        <rFont val="Calibri"/>
        <family val="2"/>
      </rPr>
      <t>Ø=160 mm</t>
    </r>
  </si>
  <si>
    <r>
      <t xml:space="preserve">Tuebería drenaje corrugada sin filtro rollo por 35 m. </t>
    </r>
    <r>
      <rPr>
        <sz val="11"/>
        <rFont val="Calibri"/>
        <family val="2"/>
      </rPr>
      <t>Ø=200 mm</t>
    </r>
  </si>
  <si>
    <t>Unión PVC-FILTRO 6"</t>
  </si>
  <si>
    <t>Tapón PVC - FILTRO 6"</t>
  </si>
  <si>
    <t>Limpiador Removedor PVC X 1/4 de galón.</t>
  </si>
  <si>
    <t>Soldadura PVC (Unión simple) 1/4</t>
  </si>
  <si>
    <t>Unión PVC-FILTRO 4" + transporte</t>
  </si>
  <si>
    <t>Tapón PVC - FILTRO 4" + transporte</t>
  </si>
  <si>
    <t>Codo PVC-Filtro 65X90°</t>
  </si>
  <si>
    <t>Salidas PVC-Filtro 4"</t>
  </si>
  <si>
    <t>Acondicionador de Superficie x 250cc - Pavco o Equivalente.</t>
  </si>
  <si>
    <t>Hidrosello Novafort de 250 mm</t>
  </si>
  <si>
    <t>Cuello prefabricado en concreto para camara de inspección Ø= 1.20m. Incluye transporte.</t>
  </si>
  <si>
    <t>Hidrosello Novafort de 110 mm S8</t>
  </si>
  <si>
    <t>Hidrosello Novafort de 160 mm S8 y S4</t>
  </si>
  <si>
    <t>Hidrosello Novafort de 200 mm S8 y S4</t>
  </si>
  <si>
    <t>Hidrosello Novafort de 250 mm S8</t>
  </si>
  <si>
    <t>Hidrosello Novafort de 250 mm S4</t>
  </si>
  <si>
    <t>Hidrosello Novafort de 315 mm S8 Y S4</t>
  </si>
  <si>
    <t>Hidrosello Novafort de 355 mm S8 Y S4</t>
  </si>
  <si>
    <t>Hidrosello Novafort de 400 mm S8</t>
  </si>
  <si>
    <t>Hidrosello Novafort de 400 mm S4</t>
  </si>
  <si>
    <t>Hidrosello Novafort de 450 mm S8</t>
  </si>
  <si>
    <t>Hidrosello Novafort de 500 mm S8</t>
  </si>
  <si>
    <t>Hidrosello Novafort de 24" S4</t>
  </si>
  <si>
    <t>Hidrosello Novafort de 27" S4</t>
  </si>
  <si>
    <t>Hidrosello Novafort de 30" S4</t>
  </si>
  <si>
    <t>Hidrosello Novafort de 33"</t>
  </si>
  <si>
    <t>Hidrosello Novafort de 36"</t>
  </si>
  <si>
    <t>Hidrosello Novafort de 39"</t>
  </si>
  <si>
    <t>Hidrosello Novafort de 42"</t>
  </si>
  <si>
    <t>Hidrosello Novafort de 48"</t>
  </si>
  <si>
    <t>Tubería Sanitaria x 6.0 m, diámetro 2"</t>
  </si>
  <si>
    <t>Carnaza x 100 gr. + transporte</t>
  </si>
  <si>
    <t>Elastomérico D50 de 40X40X6 cm + Transporte.</t>
  </si>
  <si>
    <t>Torón de acero para concreto preesforzado Norma ASTM A-416, Grado 270 Ksi de 7 hilos.</t>
  </si>
  <si>
    <t>Platina de 100x100x12.7 mm, A-36</t>
  </si>
  <si>
    <t>Cilindro De Gas Butano Berzomatic</t>
  </si>
  <si>
    <t>Soplete p/gas MAP/PRO en cobre antorcha multiproposit</t>
  </si>
  <si>
    <t>Formaleta especial Barrera vehicular</t>
  </si>
  <si>
    <t>Remaches pop</t>
  </si>
  <si>
    <t>Teja ondulada de zinc calibre 34 e: 0.20mm de 0,80m * 3m+Transporte</t>
  </si>
  <si>
    <t>Plástico Negro Cal 6, 4 metros de alto X 30 m de largo. + Transporte</t>
  </si>
  <si>
    <t>Malla de Seguridad 1"X4" Plástica Naranja de 1.00X50 m. Por m, +Transp.</t>
  </si>
  <si>
    <t>Cinta demarcación Peligro-No Pase x 50 m.</t>
  </si>
  <si>
    <t>Tela verde rollo x 50mx2.10m ancho, incluye transporte</t>
  </si>
  <si>
    <t>Manguera Flexible PF 1/2"</t>
  </si>
  <si>
    <t>Malla gallinero 1 1/4pulgadas 1,5 x 30 metros</t>
  </si>
  <si>
    <t>Formaleta Madera (Fenolica similar a supert). (18 mm 183x2.44)+transporte</t>
  </si>
  <si>
    <t>Moldura en madera 1/4 bocel de L=3.00 m. Chingale</t>
  </si>
  <si>
    <t>Larguero madera comun 4 cmx8cmx2.80 m. Incluye transporte</t>
  </si>
  <si>
    <t>Larguero madera comun 2"x2"x2.80 m. Incluye transporte</t>
  </si>
  <si>
    <t>Taco de madera de 3.0 m</t>
  </si>
  <si>
    <t>Clavo común x CAJA por 500 gr</t>
  </si>
  <si>
    <t>Clavo de acero liso 1" (500gr).</t>
  </si>
  <si>
    <t>lb</t>
  </si>
  <si>
    <t>Alambre recocido C 18</t>
  </si>
  <si>
    <t>Acero refuerzo G-60 SIN FIGURAR + transporte y descargue</t>
  </si>
  <si>
    <t>Malla Electrosoldada D-106 2.35 X 6.0 m. + transporte</t>
  </si>
  <si>
    <t>Malla Electrosoldada D-84 2.35  X 6.0 m. + transporte</t>
  </si>
  <si>
    <t>Malla electrosoldada D-221 2.35 X 3.0 m + transporte</t>
  </si>
  <si>
    <t>Separol o equivalente (Desmoldante para evitar adherencia de concretos a formaletas.Presentación 15Kg. Rendimiento metal :45g/m2 madera:55g/m2 (15 kg)). para metal puro, para madera diluir hasta 5 partes de agua segun porosidad de la madera.</t>
  </si>
  <si>
    <t xml:space="preserve">Motobomba Eléctrica Sumergible 2" </t>
  </si>
  <si>
    <t xml:space="preserve">Motobomba a gasolina Sumergible 2" </t>
  </si>
  <si>
    <t>Manguera de succión con granada flexible 2" (26m) + transporte.</t>
  </si>
  <si>
    <t xml:space="preserve">Extensión eléctrica encauchetada (50m) </t>
  </si>
  <si>
    <t>Can zunchado en madera común de 5,0cmx20cmx3,0m (alquiler). Incluye transporte.</t>
  </si>
  <si>
    <t>Servicio de bombeo de concreto con Autobomba</t>
  </si>
  <si>
    <t>Tubería Tremie para vaciado concreto</t>
  </si>
  <si>
    <t>m-día</t>
  </si>
  <si>
    <t>Sierra circular manual + disco</t>
  </si>
  <si>
    <t>Pulidora manual eléctrica  9" + disco</t>
  </si>
  <si>
    <t>Taladro demoledor Minero sin accesorios</t>
  </si>
  <si>
    <t>Cincel o muela taladro demoledor Bosch GB 11 Minero</t>
  </si>
  <si>
    <t>Sierra Sable Eléctrica 1 1/8" 1050 W.</t>
  </si>
  <si>
    <t>Vibrador a gasolina</t>
  </si>
  <si>
    <t>Vibrador eléctrico de aguja a 110 V</t>
  </si>
  <si>
    <t>Compresor para demolición 1 martillo + transporte</t>
  </si>
  <si>
    <t>hr</t>
  </si>
  <si>
    <t>Planta eléctrica Diesel 20 Kva</t>
  </si>
  <si>
    <t>Curador Para Concreto Y Mortero Antisol Blanco X 20 Kg, rendimiento 200 gr/m2 + Transporte</t>
  </si>
  <si>
    <t>Concreto Convencional 280 kg/cm2 Grava 1" 28 días AS13cm (5"), Premezclado.</t>
  </si>
  <si>
    <t>Formaleta Metálica para New Jersey, + transporte</t>
  </si>
  <si>
    <t>Formaleta especial para muros en concreto. Alquiler+transporte</t>
  </si>
  <si>
    <t>día/m2</t>
  </si>
  <si>
    <t>Formaleta especial para vigas gran dimensión aéreas.</t>
  </si>
  <si>
    <t>Cercha Metálica 3 m alquiler + transporte</t>
  </si>
  <si>
    <t>Taco Metalico Enano</t>
  </si>
  <si>
    <t>Taco Metalico Ext. 1,50 a 2,60 mt</t>
  </si>
  <si>
    <t>Taco Metalico Ext. 2,00 a 3,30 mt</t>
  </si>
  <si>
    <t>Taco Metalico Ext. a 3,70 mt</t>
  </si>
  <si>
    <t>Taco Metalico Ext. a 5,50 mt</t>
  </si>
  <si>
    <t>Telera 90x135 + Transporte</t>
  </si>
  <si>
    <t>Media telera 45X135</t>
  </si>
  <si>
    <t>Alquiler Telera 90x135 + transporte</t>
  </si>
  <si>
    <t>Tabla madera común de 2.5 cm x 20cm x 2.80m. Incluye transporte.</t>
  </si>
  <si>
    <t>Tabla madera común de 1,7cm x 20cm x 2.80m. Incluye transporte.</t>
  </si>
  <si>
    <t>Cinta  flexible para sello primario de juntas con movimiento en estructuras hidrahulicas. Sika Waterbar PVC O-22. Rollo de 15m. Rendimiento  1 x 1m. Para muros de mas de 20cm de espesor.</t>
  </si>
  <si>
    <t>Bomba de concreto, producción: 30 m3/h- 50 m3/h</t>
  </si>
  <si>
    <t>Geotextil no tejido, NT 1600 Ancho del rollo: 3,8m. Incluye transporte del material.</t>
  </si>
  <si>
    <t>Geotextil no tejido, NT 2000 Ancho del rollo: 3,8m. Incluye transporte del material.</t>
  </si>
  <si>
    <t>Nylon</t>
  </si>
  <si>
    <t>Material granular -Triturado de 1 1/2" con transporte</t>
  </si>
  <si>
    <t>Concreto premezclado de 21 MPa. Incluye transporte en Mixer dentro del Área Metropolitana.</t>
  </si>
  <si>
    <t>Concreto Convencional 280 kg/cm2 Grava 1" 28 días AS13cm (5"), Premezclado. INCLUYE TRANSPORTE Mixer Área Metropolitana</t>
  </si>
  <si>
    <t>Concreto premezclado de 35 MPa. Incluye transporte en Mixer dentro del Área Metropolitana.</t>
  </si>
  <si>
    <t>Agente demoledor Cras x 10Kg.</t>
  </si>
  <si>
    <t>Sika Plastocrete DM Impermeabilizante para concreto. Presentación: 20kg rendimiento: 1% del peso del cemento ó 250 gr / bulto de cemento de 50 kg.</t>
  </si>
  <si>
    <t>Plastocrete DM SIKA. Por 4.5 kg + transp. 250gr por bulto</t>
  </si>
  <si>
    <t>Sika Igol imprimante. Imprimante bituminoso del sistema Igol denso para impermeabilizar jardineras y estructuras enterradas. Presentacion: 3kg. Rendimiento: 200gr/m2</t>
  </si>
  <si>
    <t>Igol denso. Protección impermeable para  jardineras y estructuras enterradas. Presentación: 3,5kg. Rendimiento: 1kg/m2/capa. Minimo 2 capas</t>
  </si>
  <si>
    <t>SikaManto® (Polietileno) rollo 10 m2, manto para impermeabilizar con refuerzo en poliuretano, 3 mm liso, incluye traslapos.</t>
  </si>
  <si>
    <t>Fibra Sintética refuerzo concreto X 1.8 kg. Tipo NIKON. + TRANSPORTE, RENDIMIENTO DE 1.8 kg/m3</t>
  </si>
  <si>
    <t>SikaFiber® AD Microfibra para concreto y mortero con plastificante en polvo. + Transporte</t>
  </si>
  <si>
    <t>SikaFiber® Microfibra para concreto y mortero, sin plastificante en polvo.</t>
  </si>
  <si>
    <t>Curador Antisol blanco para morteros y concretos. X 20 kg. Rendimiento 200 gr X m2.</t>
  </si>
  <si>
    <t>Antisol Rojo, curador para concreto y mortero base solvente Sika 16kg.+ transp. (200 gr/m2)</t>
  </si>
  <si>
    <t>Sikafluid o equivalente (Fluidificante para mezclas de concreto. Presentacion: 25 kg Rendimiento 250g por bulto de cemento de 50 kg. 1% del peso del concreto. + Transporte</t>
  </si>
  <si>
    <t>Sikaflex 1 - A color blanco, gris y negro. Sellador elastico de poliuretano de alta durabilidad. Rendimiento:1 un de 300cm3 . 3ml en junta de 1cm x 1cm. Incluye transporte</t>
  </si>
  <si>
    <t>Sikarod de 1"</t>
  </si>
  <si>
    <t>Sika 1 - impermeabilizante integral - morteros - concretos.  Presentacion: 1kg. Rendimiento: 1.5 kg x 1 bulto de cemento  o el 3% del peso del cemento</t>
  </si>
  <si>
    <t>Cinta de enmascarar 3/4"</t>
  </si>
  <si>
    <t>Agente demoledor Cras 25 kg, X kg, + Transporte</t>
  </si>
  <si>
    <t>Cono prefabricado concéntrico para cámara de 1.5 m. Incluye transporte.</t>
  </si>
  <si>
    <t>Tela cerramiento obra verde, ancho: 2.10 m. Incluye transporte externo e interno.</t>
  </si>
  <si>
    <t>Tela cerramiento obra Naranja, ancho: 2.10 m. Incluye transporte externo e interno.</t>
  </si>
  <si>
    <t>Listón madera común de 2"x1"</t>
  </si>
  <si>
    <t>Retroexcavadora sobre llantas New Holland LB75</t>
  </si>
  <si>
    <t>Retroexcavadora sobre orugas</t>
  </si>
  <si>
    <t>Motoniveladora</t>
  </si>
  <si>
    <t>BobCat, incluye gasolina y operario + ORUGAS</t>
  </si>
  <si>
    <t>Transporte material distancia 20 km.</t>
  </si>
  <si>
    <t>Compactador tipo Canguro. Incluye operador, combustible y transporte.</t>
  </si>
  <si>
    <t>Rana Compactadora + Transporte</t>
  </si>
  <si>
    <t>Transporte material y derechos de botadero.</t>
  </si>
  <si>
    <t>Molinete freno de mano - freno pedal y aro + Transporte</t>
  </si>
  <si>
    <t>Manila para molinete (alquiler) 1</t>
  </si>
  <si>
    <t>m/día</t>
  </si>
  <si>
    <t>Manila para molinete (alquiler) 2</t>
  </si>
  <si>
    <t>Tapa Metalica 0,15 y 0,20 x 2,40</t>
  </si>
  <si>
    <t>Tapa Metalica 0,25 y 0,30 x 2,40</t>
  </si>
  <si>
    <t>Tapa Metalica 0,35 y 0,40 x 2,40</t>
  </si>
  <si>
    <t>Tapa Metalica 0,45 y 0,50 x 2,40</t>
  </si>
  <si>
    <t>Tapa Metalica 0,60 x 2,40</t>
  </si>
  <si>
    <t>Tapa Metalica 0,70 x 2,40</t>
  </si>
  <si>
    <t>Tapa Metalica 0,80 x 2,40</t>
  </si>
  <si>
    <t>Tapa Metalica 1.00 x 2,40</t>
  </si>
  <si>
    <t>Tapa Metalica 1.20 x 2,40</t>
  </si>
  <si>
    <t>Tapa Circular 0,25 mt y 0,30 x 2,40</t>
  </si>
  <si>
    <t>Tapa Circular 0,40 mt x 2,40</t>
  </si>
  <si>
    <t>Tapa Circular 0,50 mt x 2,40</t>
  </si>
  <si>
    <t>Tapa Circular 0.80 mt x 1,20</t>
  </si>
  <si>
    <t>Tapa Circular 1.00 mt x 1,20</t>
  </si>
  <si>
    <t>Tapa Circular 1.20 mt x 1,20</t>
  </si>
  <si>
    <t>Cuña para tapa columna</t>
  </si>
  <si>
    <t>Corbata 250 mm</t>
  </si>
  <si>
    <t>Chapeta tensora 3/8</t>
  </si>
  <si>
    <t>Gato Tensor</t>
  </si>
  <si>
    <t>Tensor 3/8 x 1 mt</t>
  </si>
  <si>
    <t>Tensor 3/8 x 2 mt</t>
  </si>
  <si>
    <t>Bisel metàlico x 2.40</t>
  </si>
  <si>
    <t>Angulo Corto</t>
  </si>
  <si>
    <t>Angulo Largo</t>
  </si>
  <si>
    <t xml:space="preserve">Apuntaladores columna </t>
  </si>
  <si>
    <t>Fumigadora manual</t>
  </si>
  <si>
    <t>Andamio de carga certificado marco de 1.00 x 1.50 (alto X ancho)</t>
  </si>
  <si>
    <t>Cercha y/o Viga Metálica 3 Mt</t>
  </si>
  <si>
    <t>Telera 0,90 x 1,35 Mt alquiler</t>
  </si>
  <si>
    <t>Telera 0,45 x 1,35 Mt alquiler</t>
  </si>
  <si>
    <t>ANDAMIOS DE CARGA certificado, incluye transportes</t>
  </si>
  <si>
    <t>Abrazadera dalmine</t>
  </si>
  <si>
    <t>Marco de andamio de carga 1.80x1.20 m. incluye transporte.</t>
  </si>
  <si>
    <t>Marco de andamio de carga de 1.5x1.0 m. + transporte</t>
  </si>
  <si>
    <t xml:space="preserve">Base andamio de carga </t>
  </si>
  <si>
    <t xml:space="preserve">Diagonal Andamio de Carga </t>
  </si>
  <si>
    <t xml:space="preserve">Riostra Superior Andamio de Carga </t>
  </si>
  <si>
    <t xml:space="preserve">Riostra Inferior Andamio de Carga </t>
  </si>
  <si>
    <t>Tornillo nivelador superior</t>
  </si>
  <si>
    <t>Tornillo nivelador inferior</t>
  </si>
  <si>
    <t xml:space="preserve">Tubo dalmine de 3 Mts </t>
  </si>
  <si>
    <t xml:space="preserve">Tubo dalmine de 6 Mts </t>
  </si>
  <si>
    <t xml:space="preserve">Viga PTS de 3,00 Mts </t>
  </si>
  <si>
    <t xml:space="preserve">Viga PTS de 6,00 Mts </t>
  </si>
  <si>
    <t>Acople</t>
  </si>
  <si>
    <t>Tornillo Clamp</t>
  </si>
  <si>
    <t>Crucetas 1.50 m.</t>
  </si>
  <si>
    <t>Teja Perfil 7 #8 244x92cm AU:2.01m2 Eternit+ transporte</t>
  </si>
  <si>
    <t>Adaptador macho en cobre de 1/2"</t>
  </si>
  <si>
    <t>Válvula Mariposa 1/2" TB-0160-02 Agua</t>
  </si>
  <si>
    <t>Universal cobre de 1/2</t>
  </si>
  <si>
    <t>Válvula Compuerta bronce 1/2" RW</t>
  </si>
  <si>
    <t>Collar derivación de 1/2"</t>
  </si>
  <si>
    <t>Soldadura de estaño 40-60 para cobre.</t>
  </si>
  <si>
    <t>Fundente para soldar cobre, presentación 2 onzas</t>
  </si>
  <si>
    <t>Medidor acueducto 1/2"</t>
  </si>
  <si>
    <t>Tubería PVC-P RDE 9 500 PSI, Ø= 1/2" - Pavco o equivalente.</t>
  </si>
  <si>
    <t>Adaptador macho PVC-P Ø= 1/2"</t>
  </si>
  <si>
    <t>Codo 90º PVC-P Ø= 1/2".</t>
  </si>
  <si>
    <t>Tapón PVC-P soldado 1/2"</t>
  </si>
  <si>
    <t>Cinta Sellante Teflon ½"x10 m.</t>
  </si>
  <si>
    <t>Limpiador Removedor PVC x 1/4 de galón.</t>
  </si>
  <si>
    <t>Estopa</t>
  </si>
  <si>
    <t>BLOQUE SPLIT CONCRETO R-13Mpa 3P INTERMEDIO 20 X 20 X 40</t>
  </si>
  <si>
    <t>Varilla de aluminio 3 mm.</t>
  </si>
  <si>
    <t>Varilla Grafil 4 mm x 6.0 metros + transporte a obra</t>
  </si>
  <si>
    <t>Cortadora de ladrillo eléctrica sin disco (alquiler)</t>
  </si>
  <si>
    <t>Disco punta de diamante para cortadora 14" (alquiler)</t>
  </si>
  <si>
    <t>Cargue, transporte y botada.</t>
  </si>
  <si>
    <t>Dico corte de metal</t>
  </si>
  <si>
    <t>Sika AnchorFIx-3030 por 585 ml + transporte</t>
  </si>
  <si>
    <t>Sika AnchorFix-3001  por 250 ml + transporete</t>
  </si>
  <si>
    <t>Pistola Aplicación AnchorFix-4/3001</t>
  </si>
  <si>
    <t>HILTI RE 500. Sistema de anclaje químico por inyección para varillas de construcción.</t>
  </si>
  <si>
    <t>Kit Aplicación Anclaje químico.</t>
  </si>
  <si>
    <t>Rotomartillo SDS Max. Incluye transporte.</t>
  </si>
  <si>
    <t>Broca concreto Sds Plus 5/8"</t>
  </si>
  <si>
    <t>SikaMur®-175 Grout Mampostería presentación 95 kg.</t>
  </si>
  <si>
    <t>Cortadora DE Pavimento de disco + operario</t>
  </si>
  <si>
    <t>transporte/un</t>
  </si>
  <si>
    <t>Diagonal 1500*2000mm (48.33*2.50 mm)+transporte</t>
  </si>
  <si>
    <t>un-día</t>
  </si>
  <si>
    <t>Diagonal 3000*2000 mm (48.33*2.50mm+transporte</t>
  </si>
  <si>
    <t>Escalera de gato 3000x300 mm(40*40*2 MIV)+transporte</t>
  </si>
  <si>
    <t>Gancho para escalera GATO</t>
  </si>
  <si>
    <t>Horizontal 1500 mm (48.33*3.25mm)+trasnporte</t>
  </si>
  <si>
    <t>Horizontal 3000 mm(48.33*3.25 mm)+transporte</t>
  </si>
  <si>
    <t>Plataforma de seguridad 3000x320+transporte</t>
  </si>
  <si>
    <t>Tornillo Nivelador 600*38.4 mm(143*14)+trasnporte</t>
  </si>
  <si>
    <t>Vertical 2000 mm(48.33*3.25 mm) CE+transporte</t>
  </si>
  <si>
    <t>Vertical 0200 mm(48.33*3.25 MM)COLLAR+transporte</t>
  </si>
  <si>
    <t>Malla 1.8mt x 10mt Metal 2-1/4 x 2-1/4 2.5mm Eslabonada</t>
  </si>
  <si>
    <t>Tubería galvanizada de 2" pulg. Calibre 1,90 mm 2 x 0.075 pg 59.94 x 16.946k . Incluye transporte</t>
  </si>
  <si>
    <t>Malla eslabonada galvanizada calibre 10.5 ojo 5 + TRANSPORTE</t>
  </si>
  <si>
    <t>Ángulo de 1 1/2" x1/8" (A36, A572/G50)</t>
  </si>
  <si>
    <t>Soldadura LIN-6011 x 1/8</t>
  </si>
  <si>
    <t>Tapón metálico 2 pulgadas</t>
  </si>
  <si>
    <t>Alambre galvanizado calibre 12</t>
  </si>
  <si>
    <t>Wash Primer Algreco Componente A 1 Galón</t>
  </si>
  <si>
    <t>gal</t>
  </si>
  <si>
    <t>Pintura acondicionador de superficies Tipo Wash Primer, componente B. Presentación por 1 galón. 14 m2/gal</t>
  </si>
  <si>
    <t>Anticorrosivo 513 Primer Verde Oliva x1 gal</t>
  </si>
  <si>
    <t>Disolvente para Pinturas a Base de Aceite.</t>
  </si>
  <si>
    <t>Pintulux negro 1 galón RENDIMIENTO 18m2/gal.</t>
  </si>
  <si>
    <t>Varilla de 3/8"</t>
  </si>
  <si>
    <t>Varilla Corrugada G60 W #2 (1/4 Pulg) X 6M</t>
  </si>
  <si>
    <t>Equipo de soldadura eléctrica MILLER XMT CC/W 300 AMP. Incluye transporte.</t>
  </si>
  <si>
    <t xml:space="preserve"> Perfil hueco de acero galvanizado, de sección cuadrada 20x20x1,5 mm.</t>
  </si>
  <si>
    <t>Base asfáltica Area Metroplitana 3% asfalto normalizado</t>
  </si>
  <si>
    <t>Ton</t>
  </si>
  <si>
    <t>Base asfáltica Area Metroplitana 4% asfalto normalizado</t>
  </si>
  <si>
    <t>Mezcla asfáltica MDC-25 Asfalto Normalizado</t>
  </si>
  <si>
    <t>Mezcla asfáltica MDC-19 Asfalto Normalizado + TRANSPORTE EN OBRA</t>
  </si>
  <si>
    <t>Mezcla asfáltica MDC-10 Asfalto Normalizado</t>
  </si>
  <si>
    <t>Mezcla asfáltica MSC-25 Asfalto Normalizado</t>
  </si>
  <si>
    <t>Mezcla asfáltica MSC-19 Asfalto Normalizado</t>
  </si>
  <si>
    <t>Mezcla asfáltica MGC-25 Asfalto Normalizado</t>
  </si>
  <si>
    <t>Mezcla asfáltica MGC-38 Asfalto Normalizado</t>
  </si>
  <si>
    <t>Mezcla asfáltica MDC-19 Asfalto Modificado T-II con polímeros</t>
  </si>
  <si>
    <t>Mezcla asfáltica en caliente de alto módulo MAM-25</t>
  </si>
  <si>
    <t>Mezcla asfáltica discontinua en caliente Asfalto Modificado Microaglomerado F13 T-ll</t>
  </si>
  <si>
    <t>Mezcla semidensa MSC-25 Asfalto Normalizado con fibra</t>
  </si>
  <si>
    <t>Mezcla semidensa MSC-19 Asfalto Normalizado con fibra</t>
  </si>
  <si>
    <t>Mezcla asfáltica en caliente MGCR-25 Asfalto Caucho T-ll</t>
  </si>
  <si>
    <t>Mezcla asfáltica en caliente MGCR-19 Asfalto Caucho T-ll</t>
  </si>
  <si>
    <t>Mezcla densa MDC-19 Asfalto Normalizado con fibra</t>
  </si>
  <si>
    <t>Mezcla densa MDC-19 Asfalto Modificado T-Ill</t>
  </si>
  <si>
    <t>SMA Celulosa Asfalto Modificado</t>
  </si>
  <si>
    <t>Agregado para lechada asfáltica gradación tipo LA 5</t>
  </si>
  <si>
    <t>Carrotanque de agua(1000 Galones)</t>
  </si>
  <si>
    <t>Agua</t>
  </si>
  <si>
    <t xml:space="preserve">Camión de slurry, volumen de depósito de emulsión 4m3 a 6 m3, ancho aproximado 7 m </t>
  </si>
  <si>
    <t>Compresor (barrido y soplado)</t>
  </si>
  <si>
    <t>Compactador Rodillo DD-24 + Operador + Combustible</t>
  </si>
  <si>
    <t>Finisher Black Nouse 1500 + Operador + Combustible</t>
  </si>
  <si>
    <t>Geotextil No Tejido MPV 500 Gerfor+Transporte.</t>
  </si>
  <si>
    <t>Triturado 3/4° + Transporte a Obra</t>
  </si>
  <si>
    <t>Cordon prefabricado de 0.80X0.15X0.35, tres caras (U50)</t>
  </si>
  <si>
    <t>Cordón bordillo barrera 15x35x60 (U10)</t>
  </si>
  <si>
    <t>ADOQUÍN TÁCTIL GUÍA O ALERTA 20 x 20 x 6. Color (B) amarillo, jaspeado, salmón, champaña, negro y blanco arena</t>
  </si>
  <si>
    <t>Herraje para tapa caja de inspección 40X40</t>
  </si>
  <si>
    <t>Formaleta para caja de inspección 40X40 cm.</t>
  </si>
  <si>
    <t>Rejilla para Sumidero Tipo B, Apolo.</t>
  </si>
  <si>
    <t>Reja para sumidero tipo B, epm</t>
  </si>
  <si>
    <t>Formaleta Sumidero Tipo B</t>
  </si>
  <si>
    <t>Gramoquin 40 x 40 x 8 cm 16 kilos 6,25u/m2 ecológico</t>
  </si>
  <si>
    <t>Tierra abonada incluye transporte</t>
  </si>
  <si>
    <t>ADOQUÍN TÁCTIL GUÍA O ALERTA 20 x 20 x 4. Color Tizón</t>
  </si>
  <si>
    <t>Pegacor Max blanco Corona o equivalente</t>
  </si>
  <si>
    <t>Manto poliester de 3mm</t>
  </si>
  <si>
    <t>Tapa prefabricada en concreto para cámara de inspección - MH + Transporte</t>
  </si>
  <si>
    <t>Cuello PREFABRICADO EN CONCRETO para Cámara de Inspección - MH + Transporte</t>
  </si>
  <si>
    <t>Cono Concentrico de d=1.5 m, h=0.80 m.</t>
  </si>
  <si>
    <t>Pozo de inspección recto de d=1.5 m, de h= 1.0 m.</t>
  </si>
  <si>
    <t>Pozo de inspección recto de d=1.5 m, de h= 0.50 m.</t>
  </si>
  <si>
    <t>Empaque para Cámara de Inspección de d=1.5 m.</t>
  </si>
  <si>
    <t>Base para pozo de d=1.50 m.</t>
  </si>
  <si>
    <t>Flete</t>
  </si>
  <si>
    <t>Cono Concentrico para Cámara de Inspección MH, d=1.2 m, h=0.80 m. + Transporte</t>
  </si>
  <si>
    <t>Pozo de inspección recto de d=1.2 m, de h= 1.0 m. + Transporte</t>
  </si>
  <si>
    <t>Pozo de inspección recto de d=1.2 m, de h= 0.50 m. + Transporte</t>
  </si>
  <si>
    <t>Empaque para Cámara de Inspección de d=1.2 m. + Transporte</t>
  </si>
  <si>
    <t>Base para pozo de d=1.20 m. + Transporte</t>
  </si>
  <si>
    <t>Pozo de inspección recto de d=1.2 m, de h= 0.20 m. + Transporte</t>
  </si>
  <si>
    <t>Peldaño para escala de manhol en varilla de 5/8" (6000PSI) galvanizado en caliente para cilindro vaciado en sitio</t>
  </si>
  <si>
    <t>Tubería Pavco-Gas PE 80 Amarilla RDE 11 + TRANSPORTE Y ACCESORIOS 25 mm.</t>
  </si>
  <si>
    <t>Válvula de esfera de latón niquelado para roscar de 3/4".</t>
  </si>
  <si>
    <t>Collarín de toma en carga, de PVC, para tubo de polietileno de alta densidad de 20-25  mm de diámetro exterio</t>
  </si>
  <si>
    <t>Cinta señalización Red de Gas rollo x 500 m + Transporte</t>
  </si>
  <si>
    <t>LLAVE DE CORTE UNIVERSAL DE 1/2</t>
  </si>
  <si>
    <t>Contador de 1/2"</t>
  </si>
  <si>
    <t>Herraje tapa Medidor 1/2" + Tapa Antifraude en HD 50X35 Tipo epm</t>
  </si>
  <si>
    <t>Concreto de 17.5 Mpa preparado en obra</t>
  </si>
  <si>
    <t>Triturado 3/4" con transporte</t>
  </si>
  <si>
    <t>BLOQUE CONCRETO R-8Mpa 3P NO ESTRUCTURAL 10 x 20 x 40 puesto en obra</t>
  </si>
  <si>
    <t>Calibración medidor 1/2" de acueducto ante Epm</t>
  </si>
  <si>
    <t>BLOQUE CONCRETO R-13 Mpa ESTRUCTURAL 15 x 20 x 40 puesto en obra</t>
  </si>
  <si>
    <t>Guadañadora/ cortadora de cesped. Incluye combustible y transporte.</t>
  </si>
  <si>
    <t>Cal blanca hidratada por saco de 10 kg + Transporte a obra</t>
  </si>
  <si>
    <t>saco</t>
  </si>
  <si>
    <t>Steeldeck cal 22 de 2" 950 x 6100 mm  gr40</t>
  </si>
  <si>
    <t>Viga metálica de 3 m.</t>
  </si>
  <si>
    <t>Adhesivo cerámico Pegacor gris - Corona (Rend. 5 a 7 Kg./m²)+transporte</t>
  </si>
  <si>
    <t>Tubería galvanizada /Negra para cerramiento de 2", calibre 14 + transporte.</t>
  </si>
  <si>
    <t>Tubería galvanizada /Negra para cerramiento de 4", calibre 14 + transporte.</t>
  </si>
  <si>
    <t>Lija de agua papel</t>
  </si>
  <si>
    <t>Platina 3/8" X 250 mm X 2000, perforada según diseño.</t>
  </si>
  <si>
    <t>Perno de 5/8" X 250 mm, + tuerca + transporte</t>
  </si>
  <si>
    <t>Electrodo 7018 x 1/8 kilo</t>
  </si>
  <si>
    <t xml:space="preserve">Pintulaca masilla gris claro rendimiento de 35 m2/gal + transporte </t>
  </si>
  <si>
    <t>Pintura Epóxica Gris 3.75 Galón, rendimiento de 65 m2/gal. + transporte</t>
  </si>
  <si>
    <t>Catalizador Epóxico 1.25 Galón Para Cuñete rendimiento de 20 m2/gal+ transporte</t>
  </si>
  <si>
    <t>Pintulux Blanco Mate 1 Galón + transporte 20m2/gal.</t>
  </si>
  <si>
    <t>Disco Abrasivo Corte Metal 14 X 7/64 Pulg A24R Tipo 1+ transporte</t>
  </si>
  <si>
    <t>Disco Abrasivo Corte Metal 4 1/2 X 1/8 Ref DW44820</t>
  </si>
  <si>
    <t>Lámina cold rolled calibre 22</t>
  </si>
  <si>
    <t>Embudo galvanizado Calibre 22</t>
  </si>
  <si>
    <t>Tornillo Autoperforante zincado cabeza hezagonal Nº 10-16-3/4" con arandela de neopreno.</t>
  </si>
  <si>
    <t>Equipo de soldadura eléctrica Lincoln AC-225 GLM 110 v. Incluye transporte.</t>
  </si>
  <si>
    <t>Electrodo Xl 610 - 1/8 Pulgada X 1 Kilo + transporte</t>
  </si>
  <si>
    <t xml:space="preserve"> kilo</t>
  </si>
  <si>
    <t>Tapas en lámina para canoa.</t>
  </si>
  <si>
    <t>Pintura Demarcación Amarillo 1 Galón + transporte</t>
  </si>
  <si>
    <t>Concreto premezclado de 28 Mpa.- MR de 4.2. Incluye transporte en Mixer dentro del Área Metropolitana.</t>
  </si>
  <si>
    <t>Formaleta metálica</t>
  </si>
  <si>
    <t xml:space="preserve">Aragan metálico de 60 cm. </t>
  </si>
  <si>
    <t>Tapa Acero Inoxidable para cárcamo de 1.00*0.15 m, l+amina calibre 1/8" -3mm de espesor y refuerzo platinas de 3/4x3/16. No inluye marco.</t>
  </si>
  <si>
    <t>https://www.inmedinox.com/inmedino/vp95/sp/carcamo-acero-inoxidable</t>
  </si>
  <si>
    <t>EXCAVACIÓN MANUAL PARA PILOTES Ø= 0.40 m. En material heterogéneo (HASTA 2.0 m.). Incluye la extracción del material de los pilotes y acarreo interno de materiales, el cargue, transporte y botada del material proveniente de la excavación en botaderos oficiales o donde lo indique la interventoría Y SU MEDIDA SERA EN SITIO.</t>
  </si>
  <si>
    <t>ACERO DE REFUERZO</t>
  </si>
  <si>
    <t>Colocación de concreto de 21 Mpa para PILOTES Ø= 40cm. HASTA 3.0 m. de profundidad. Incluye suministro y el transporte del concreto, mano de obra, vibrado, protección y curado, para estructuras de acuerdo con las diferentes dimensiones establecidas en los planos y diseños. No incluye refuerzo.</t>
  </si>
  <si>
    <r>
      <t xml:space="preserve">Construcción de MURO DE CONTENCIÓN en concreto de 21Mpa. a la vista, con un </t>
    </r>
    <r>
      <rPr>
        <b/>
        <sz val="12"/>
        <rFont val="Arial"/>
        <family val="2"/>
      </rPr>
      <t>ESPESOR DE 0,35 m</t>
    </r>
    <r>
      <rPr>
        <sz val="12"/>
        <rFont val="Arial"/>
        <family val="2"/>
      </rPr>
      <t>.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r>
  </si>
  <si>
    <r>
      <t xml:space="preserve">Construcción de MURO DE CONTENCIÓN en concreto de 21Mpa. a la vista, con un </t>
    </r>
    <r>
      <rPr>
        <b/>
        <sz val="12"/>
        <rFont val="Arial"/>
        <family val="2"/>
      </rPr>
      <t>ESPESOR DE 0,20 m</t>
    </r>
    <r>
      <rPr>
        <sz val="12"/>
        <rFont val="Arial"/>
        <family val="2"/>
      </rPr>
      <t>.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r>
  </si>
  <si>
    <t>Construcción de APUNTALAMIENTO DE TALUDES Corte según diseño, con elementos metálicos y/o de madera, de altura hasta 2.5 m, bajo caulaquiere grado de humedad. Incluye suministro, transporte y colocación de elementos en madera,metálicos (tacos, formaleta), el cargue, transporte interno y externo y su medida será en el sitio, su forma de pago se hará por el área que se encuentre en contacto con la tierra.</t>
  </si>
  <si>
    <r>
      <t xml:space="preserve">Construcción de MUROS INCLINADOS PARA ALETAS DE CANAL en concreto de 21 Mpa., con un </t>
    </r>
    <r>
      <rPr>
        <b/>
        <sz val="12"/>
        <rFont val="Arial"/>
        <family val="2"/>
      </rPr>
      <t>ESPESOR DE 25 cm</t>
    </r>
    <r>
      <rPr>
        <sz val="12"/>
        <rFont val="Arial"/>
        <family val="2"/>
      </rPr>
      <t>.,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t>
    </r>
  </si>
  <si>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</si>
  <si>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Instalación de TUBERÍA DE FILTRO PERFORADA DE Ø=4" para drenajes (filtro). Incluye suministro, transporte y colocación de tubería, las respectivas conexiones y accesorios y todo lo necesario para su correcta instalación y funcionamiento.</t>
  </si>
  <si>
    <t>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t>
  </si>
  <si>
    <t>Suministro, transporte y colocación de mezcla asfáltica en caliente MCD-19 para pavimento según normas para la construcción de pavimentos del INVIAS. Compactada con medios mecánicos. Incluye todo lo necesario para su correcta construcción y funcionamiento. La excavación y la base se pagarán por su respectivo ítem.</t>
  </si>
  <si>
    <t>Acarreo Interno</t>
  </si>
  <si>
    <t>Cargue Manual-Transporte-Botada</t>
  </si>
  <si>
    <t>Transporte Interno</t>
  </si>
  <si>
    <t>LLENOS EN MATERIAL ESTABILIZADO CON CEMENTO CON MATERIAL TIPO SUB-BASE GRANULAR, compactados mecánicamente. Incluye material de préstamo, 2 sacos de cemento 50 kg por cada m3, transporte interno y todo lo necesario para su correcta compactación. Y su medida será en sitio ya compactado.</t>
  </si>
  <si>
    <t>Acarreo Interno Materiales</t>
  </si>
  <si>
    <t>Transporte Interno Materiales</t>
  </si>
  <si>
    <t>Transporte Interno Matriales</t>
  </si>
  <si>
    <t>gln</t>
  </si>
  <si>
    <t>Pintura base aceite - doméstico. + transporte.</t>
  </si>
  <si>
    <t>Nivel de precisión gko-a,gk-1,AL3</t>
  </si>
  <si>
    <t>Estación Total</t>
  </si>
  <si>
    <t>Señalización Vial Tubular Base Naranja.</t>
  </si>
  <si>
    <t>Amarre Corredilla Plástica T12 300 mm x 100 un</t>
  </si>
  <si>
    <t>Acarreo Interno de Materiales</t>
  </si>
  <si>
    <t>Cuña Hidráulica, partidor de roca, DARDA, 500 W,  400 Y 600 toneladas de presión. + Operador</t>
  </si>
  <si>
    <t>EXCAVACIÓN MECÁNICA DE ROCA en Brechas con CUÑA HIDRÁULICA. Incluye perforaciones con taladro neumático rotopercutor de 2" de diámetro, desembombe, extracción del material de la brecha y acarreo interno y acopio donde lo indique la interventoría y todos los demás elementos necesarios para su correcta ejecución. SU MEDIDA SERA EN SITIO. NO INCLUYE BOTADA.</t>
  </si>
  <si>
    <t>Av}carreo Interno Materiales</t>
  </si>
  <si>
    <t>Can Zunchado en madera común. De 3,5cm x 20 cm x 2.80m. Incluye transporte.</t>
  </si>
  <si>
    <t>Compactador tipo Canguro. Incluye - transporte.</t>
  </si>
  <si>
    <t>Combustible equipos + transporte</t>
  </si>
  <si>
    <t>Cuadrilla Cargue Paleros - 2Ayu.</t>
  </si>
  <si>
    <t>Kg</t>
  </si>
  <si>
    <t>Transporte de acero( descargue y transporte interno)</t>
  </si>
  <si>
    <t>Tronzadora 14-pulg 2300W 2800rpm + Disco</t>
  </si>
  <si>
    <t>Acarreo Interno Matriales</t>
  </si>
  <si>
    <t>Manejo e aguas</t>
  </si>
  <si>
    <t>Sika Plastocrete DM Impermeabilizante para concreto. Presentación: 20kg rendimiento: 1% del peso del cemento ó 250 gr / bulto de cemento de 50 kg. + transp.</t>
  </si>
  <si>
    <t>Acarreo Varios</t>
  </si>
  <si>
    <t>Lb</t>
  </si>
  <si>
    <r>
      <t xml:space="preserve">Construcción de LOSA DE FONDO MACIZA en concreto PREPARADO EN OBRA de 21 MPa., con un </t>
    </r>
    <r>
      <rPr>
        <b/>
        <sz val="12"/>
        <rFont val="Arial"/>
        <family val="2"/>
      </rPr>
      <t>ESPESOR DE 30</t>
    </r>
    <r>
      <rPr>
        <sz val="12"/>
        <rFont val="Arial"/>
        <family val="2"/>
      </rPr>
      <t xml:space="preserve"> cm. Impermeabilizada con Plastocrete DM de Sika o equivalente y adicionado con FIBRA TIPO Nikon.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t>
    </r>
  </si>
  <si>
    <t>Transporte otros</t>
  </si>
  <si>
    <r>
      <t>Construcción de LOSA MACIZA SUPERIOR PARA CANAL en concreto de 21MPa., con un</t>
    </r>
    <r>
      <rPr>
        <b/>
        <sz val="12"/>
        <rFont val="Arial"/>
        <family val="2"/>
      </rPr>
      <t xml:space="preserve"> ESPESOR DE 25 cm</t>
    </r>
    <r>
      <rPr>
        <sz val="12"/>
        <rFont val="Arial"/>
        <family val="2"/>
      </rPr>
      <t>. Impermeabilizada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t>
    </r>
  </si>
  <si>
    <t>Construcción de descole en piedra y concreto de 21 Mpa, según detalle. Incluye formaleta. Espesor 30 cm.</t>
  </si>
  <si>
    <t>Triturado 1" - 1/2"</t>
  </si>
  <si>
    <r>
      <t xml:space="preserve">Tuebería drenaje corrugada con filtro- m. </t>
    </r>
    <r>
      <rPr>
        <sz val="11"/>
        <rFont val="Calibri"/>
        <family val="2"/>
      </rPr>
      <t>Ø=65 mm</t>
    </r>
  </si>
  <si>
    <r>
      <t xml:space="preserve">Tuebería drenaje corrugada con filtro- m. </t>
    </r>
    <r>
      <rPr>
        <sz val="11"/>
        <rFont val="Calibri"/>
        <family val="2"/>
      </rPr>
      <t>Ø=100 mm</t>
    </r>
  </si>
  <si>
    <r>
      <t xml:space="preserve">Tuebería drenaje corrugada con - filtro m. </t>
    </r>
    <r>
      <rPr>
        <sz val="11"/>
        <rFont val="Calibri"/>
        <family val="2"/>
      </rPr>
      <t>Ø=160 mm</t>
    </r>
  </si>
  <si>
    <r>
      <t xml:space="preserve">Tuebería drenaje corrugada con filtro por m. </t>
    </r>
    <r>
      <rPr>
        <sz val="11"/>
        <rFont val="Calibri"/>
        <family val="2"/>
      </rPr>
      <t>Ø=200 mm</t>
    </r>
  </si>
  <si>
    <t>Construcción de POCETA de 1.25x2.20 x altura hasta 180 cm., (medidas externas), muros de espesor de 25 cm., Losa de Fondo de espesor 30 cm., en concreto de 21Mpa. con impermeabilizante integral tipo Sika o equivalente, con concrefibra el piso. Incluye suministro, transporte e instalación de los materiales, formaleta, vibrado y todos los elementos necesarios apara su correcta construcción y funcionamiento. Según diseño y especificaciones. La excavación, llenos, entresuelo y acero de refuerzo se pagarán en su ítem respectivo.</t>
  </si>
  <si>
    <t>Transporte Maquinaria</t>
  </si>
  <si>
    <t>Transporte máquinaria</t>
  </si>
  <si>
    <t>EXCAVACIÓN MANUAL de material heterogéneo HASTA 3 m., bajo cualquier grado de humedad. Incluye: roca descompuesta, bolas de roca de volumen inferior a 0.35 m³., el cargue, transporte interno de las excavaciones en los sitios donde lo indique la interventoría y su medida será en el sitio. La botada y el entibado, se pagaran por su respectivo Ítem.</t>
  </si>
  <si>
    <t>Planta eléctrica Diesel 6.5 Kva</t>
  </si>
  <si>
    <t xml:space="preserve">Extensión eléctrica encauchetada (20m) </t>
  </si>
  <si>
    <r>
      <t xml:space="preserve">EXCAVACIÓN MANUAL de material heterogéneo hasta 4.0  m de altura para filtros y fundaciones, bajo cualquier </t>
    </r>
    <r>
      <rPr>
        <b/>
        <sz val="12"/>
        <rFont val="Arial"/>
        <family val="2"/>
      </rPr>
      <t>grado de humedad.</t>
    </r>
    <r>
      <rPr>
        <sz val="12"/>
        <rFont val="Arial"/>
        <family val="2"/>
      </rPr>
      <t xml:space="preserve"> Incluye: roca descompuesta, bolas de roca de volumen inferior a 0.35 m³., el cargue, transporte interno, a los sitios donde lo indique la interventoría y su medida será en el sitio. No incluye botada ni entibado.</t>
    </r>
  </si>
  <si>
    <t>LLENOS EN ARENILLA Y/O MATERIAL DE PRESTAMO, compactados mecánicamente hasta obtener una densidad del 95% de la máxima obtenida en el ensayo del próctor modificado. Incluye transporte interno. Su medida será en sitio ya compactado.</t>
  </si>
  <si>
    <t>VARIOS</t>
  </si>
  <si>
    <t>DESCAPOTE A MANO. Incluye el desenraice si es necesario, cargue transporte y botada de material sobrante en botaderos oficiales. Medido en sitio.</t>
  </si>
  <si>
    <t>Extracción de tocon y raices de arbol, cargue, transporte y botada de materiales sobrantes en botaderos oficiales o donde lo indique la interventoría.</t>
  </si>
  <si>
    <t>Sobre-Acarreo interno de materiales para lugares de dificil acceso, en altura. pendiente, escalas y/o senderos en piedra o en tierra. Entre 0 a 100 m.</t>
  </si>
  <si>
    <t>Retiro de filtro existente. No incluye botada, incluye transporte interno hasta sitio donde lo indique Interventoría.</t>
  </si>
  <si>
    <t>Manejo de aguas para los diferentes procesos constructivos. Incluye tubería, concreto, canecas de 55 galones.</t>
  </si>
  <si>
    <t>Horas extras y festivas - Dominicales ayudante</t>
  </si>
  <si>
    <t>Horas extras y festivas  - Dominicales oficial</t>
  </si>
  <si>
    <t>un/costal</t>
  </si>
  <si>
    <t>Llenos y acomodada de material proveniente de la excavacion y de derrumbes EN LADERAS DE LA QUEBRADA. El sobre acarreo se  paga en el item respectivo</t>
  </si>
  <si>
    <t>Construcción de POCETA PROVISIONAL de 1.40X1.40 x altura hasta 1.40 m., (medidas externas), muros de espesor de 25 cm., Losa de Fondo de espesor 30 cm., en concreto de 21Mpa. Incluye suministro, transporte e instalación de los materiales, formaleta, vibrado y todos los elementos necesarios para su correcta construcción y funcionamiento. Según diseño y especificaciones. La excavación, llenos, entresuelo y acero de refuerzo se pagarán en su ítem respectivo.</t>
  </si>
  <si>
    <t>Construcción de Emboquillada de tubería en pared DE POCETA Y CANAL, según especificaciones técnicas de EEPP de Medellín. Incluye suministro, transporte e instalación de los materiales y todo lo necesario para su correcta ejecución.</t>
  </si>
  <si>
    <t>Construcción de CAJA EMPALME FILTROS de 1.20X0.80 x altura hasta 0.80 m., (medidas externas), muros de espesor de 10 cm., Losa de Fondo de espesor 20 cm., en concreto de 21Mpa. con impermeabilizante integral tipo Sika o equivalente, con concrefibra el piso. Incluye suministro, transporte e instalación de los materiales, formaleta, vibrado y todos los elementos necesarios apara su correcta construcción y funcionamiento. Según diseño y especificaciones. La excavación, llenos, entresuelo y acero de refuerzo se pagarán en su ítem respectivo.</t>
  </si>
  <si>
    <t>Cuadrilla Sobreacarreo, - 2Ayu.</t>
  </si>
  <si>
    <t>Caneca por 55 galones metálica. + transporte</t>
  </si>
  <si>
    <t>Construcción de trinchos con costales rellenos con material proveniente de la excavación, incluye transporte interno, conformación de taludes en pendiente, costales, cocida, llenado.</t>
  </si>
  <si>
    <t>Lonas o costales de fibra de 50 kilos x un + transporte</t>
  </si>
  <si>
    <t>Acarreo Interno materiales</t>
  </si>
  <si>
    <t>Construcción de ZAPATA, en concreto de 21 MPa., de diferentes medidas, Impermeabilizado con Plastocrete DM de Sika o equivalente. Incluye suministro, transporte y colocación del concreto, formaleta, vibrado, protección para estructuras, armado y desarmado de toda la obra falsa necesaria para la correcta construcción, según diseño. El acero de refuerzo se pagará en su respectivo ítem. Incluye SOBREACARREO DE MATERIALES</t>
  </si>
  <si>
    <r>
      <t xml:space="preserve">Construcción de MURO DE CONTENCIÓN en concreto de 21Mpa. a la vista, con un </t>
    </r>
    <r>
      <rPr>
        <b/>
        <sz val="12"/>
        <rFont val="Arial"/>
        <family val="2"/>
      </rPr>
      <t>ESPESOR DE 0,25 m</t>
    </r>
    <r>
      <rPr>
        <sz val="12"/>
        <rFont val="Arial"/>
        <family val="2"/>
      </rPr>
      <t>.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r>
  </si>
  <si>
    <t>Cuad. Anillos Pilas (2pileros)</t>
  </si>
  <si>
    <t>Construcción de PILAS en concreto de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 Incluye SOBREACARREO DE MATERIALES.</t>
  </si>
  <si>
    <t>Suministro, transporte y colocación de emulsión asfáltica catiónica de rompimiento lento C.R.L. y/o LIGA para imprimación de superficie a pavimentar según normas para la construcción de pavimentos del INVIAS. Incluye todo lo necesario para su correcta construcción y funcionamiento.</t>
  </si>
  <si>
    <t>Trasnporte externo</t>
  </si>
  <si>
    <t>VR. UNITARIO
INICIAL</t>
  </si>
  <si>
    <t>VR. UNITARIO
REVISIÓN OOPP</t>
  </si>
  <si>
    <t>VR. UNITARIO
CON SOPORTE</t>
  </si>
  <si>
    <r>
      <t xml:space="preserve">EXCAVACIÓN PARA PILAS DE 0,0 a 4,0 m de profundidad con DÍAMETRO EXTERIOR DE 1,40m, en material heterogéneo, con piedras de hasta 0.05 m³. Incluye anillos de revestimiento en concreto de 2.000 psi. con espesor de 10cm, pozo piloto de bombeo, formaleta en madera común, molinete, motobomba, extracción del material de la pila y acarreo interno y </t>
    </r>
    <r>
      <rPr>
        <b/>
        <sz val="12"/>
        <rFont val="Arial"/>
        <family val="2"/>
      </rPr>
      <t>SOBREACARREO</t>
    </r>
    <r>
      <rPr>
        <sz val="12"/>
        <rFont val="Arial"/>
        <family val="2"/>
      </rPr>
      <t xml:space="preserve"> de materiales, cargue, transporte y botada del material proveniente de la excavación en botaderos oficiales o donde lo indique la interventoría  y todo lo necesario para su correcta construcción. SU MEDIDA SERA EN SITIO.</t>
    </r>
  </si>
  <si>
    <t>Cargue Manual-Transporte-Botada-Escombros</t>
  </si>
  <si>
    <r>
      <t xml:space="preserve">Construcción de MUROS LATERALES DE CANAL en concreto de 21 MPa., con un </t>
    </r>
    <r>
      <rPr>
        <b/>
        <sz val="12"/>
        <rFont val="Arial"/>
        <family val="2"/>
      </rPr>
      <t>ESPESOR DE 25 cm</t>
    </r>
    <r>
      <rPr>
        <sz val="12"/>
        <rFont val="Arial"/>
        <family val="2"/>
      </rPr>
      <t>, Impermeabilizado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t>
    </r>
  </si>
  <si>
    <t>Sub Contrato Suministro, riego y compactación Mezcla Asfáltica MDC-19</t>
  </si>
  <si>
    <t>Ajuste por menor cantidad a 100 m3</t>
  </si>
  <si>
    <t>Ajuste Transporte Alta pendiente</t>
  </si>
  <si>
    <t xml:space="preserve">Transporte </t>
  </si>
  <si>
    <t>OBSERVACIÓN</t>
  </si>
  <si>
    <t>Se acuerda con el precio propuesto</t>
  </si>
  <si>
    <t>Se ajustan los valores de m.o y de material a botar, así como el precio de cargue, transporte y botada</t>
  </si>
  <si>
    <t>Se acepta la corrección realizada.</t>
  </si>
  <si>
    <t>EXCAVACIÓN PARA PILAS DE 0,0 a 4,0 m de profundidad con DÍAMETRO EXTERIOR DE 1,40m, en material heterogéneo, con piedras de hasta 0.05 m³. Incluye anillos de revestimiento en concreto de 21.0 Mpa. con espesor de 10cm, pozo piloto de bombeo, formaleta en madera común, molinete, motobomba, extracción del material de la pila y acarreo interno y SOBREACARREO de materiales, cargue, transporte y botada del material proveniente de la excavación en botaderos oficiales o donde lo indique la interventoría  y todo lo necesario para su correcta construcción. SU MEDIDA SERA EN SITIO.</t>
  </si>
  <si>
    <t>Construcción de MURO DE CONTENCIÓN en concreto de 21Mpa. a la vista, con un ESPESOR DE 0,35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</si>
  <si>
    <t>Construcción de MURO DE CONTENCIÓN en concreto de 21Mpa. a la vista, con un ESPESOR DE 0,20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</si>
  <si>
    <t>Construcción de MURO DE CONTENCIÓN en concreto de 21Mpa.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t>
  </si>
  <si>
    <t>Construcción de LOSA DE FONDO MACIZA en concreto PREPARADO EN OBRA de 21 MPa., con un ESPESOR DE 30 cm. Impermeabilizada con Plastocrete DM de Sika o equivalente y adicionado con FIBRA TIPO Nikon.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t>
  </si>
  <si>
    <t xml:space="preserve">Construcción de MUROS LATERALES DE CANAL en concreto de 21 MPa., con un ESPESOR DE 25 cm, Impermeabilizado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t>
  </si>
  <si>
    <t>Construcción de LOSA MACIZA SUPERIOR PARA CANAL en concreto de 21MPa., con un ESPESOR DE 25 cm. Impermeabilizada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t>
  </si>
  <si>
    <t>Construcción de MUROS INCLINADOS PARA ALETAS DE CANAL en concreto de 21 Mpa., con un ESPESOR DE 25 cm.,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t>
  </si>
  <si>
    <t>Se corrige APU, colocando los valores ya acordados de Cargue, transporte y botada y mermando la cantidad del cajeo a sólo la parte que lo necesita dentro del tramo de la Urgencia. lo anterior modifica el costo del transporte de maquinaria. Valor corregido $167.214/m3</t>
  </si>
  <si>
    <t>Se eliminó la cantidad. Acorde a lo expuesto en la reunión sostenida en OOPP, los volúmenes deberán contener su respectiva memoria bien especificada.</t>
  </si>
  <si>
    <t>Cuadrilla 2Ayu.</t>
  </si>
  <si>
    <t>Sabaneta</t>
  </si>
  <si>
    <t>Arena para concreto + Transporte</t>
  </si>
  <si>
    <t>Transporte externo</t>
  </si>
  <si>
    <t>Transporte Equipos y otros</t>
  </si>
  <si>
    <t>Se acuerda con el precio propuesto 15/02/2023</t>
  </si>
  <si>
    <t>Piedra entresuelo-gaviones y/o ciclópeo</t>
  </si>
  <si>
    <t xml:space="preserve">Acarro externo </t>
  </si>
  <si>
    <t>Se acepta la Nueva Corrección, ajustando el precio de materiales según listado. corrección realizada.</t>
  </si>
  <si>
    <t>Se acepta la Nueva Corrección, ajustando el precio de materiales según listado. corrección realizada, eliminando la formaleta MUF y aumentando Tabla común.</t>
  </si>
  <si>
    <t>Se acuerda con el precio propuesto. Se ajusta valor materiales según lista de precios verificada.</t>
  </si>
  <si>
    <t>Se acuerda con el precio propuesto. 15/02/2023</t>
  </si>
  <si>
    <t>Se acepta la corrección realizada. 15/02/2023</t>
  </si>
  <si>
    <t>Mezcla Asfáltica Invías 5,7% (TON)</t>
  </si>
  <si>
    <t>El análisis presentado por parte de OOPP, contiene error en el precio de la Sub base, ya que, al parecer colocan el precio de Ton sin IVA incluido y no el precio por m3. Se corrige el error. Se anexa lista de precios de Procopal. 15/02/2023 Precio $299.474/m3. Precio acordado.</t>
  </si>
  <si>
    <t>Se acepta la corrección realizada, pero se corrige el APU en materiales. Precio  $684.649/m3</t>
  </si>
  <si>
    <t>Se acepta la nueva corrección realizada. 15/02/2023. Se comete error al variar la base de datos del contratista y no analizar el recurso de transporte de materiales a obra.</t>
  </si>
  <si>
    <t>Se acepta la corrección, ajustando el precio de los materiales según lista de precios adjunta. 158/02/2023. Precio $241.448/m3</t>
  </si>
  <si>
    <t>Corrección 2 de 15/02/2023, se acepta la corrección, ajustando el precio de materiales acorde a la lista definitiva.  $829.214/m</t>
  </si>
  <si>
    <t>Se realizan los ajustes al análisis expuesto. Se acuerda nuevo precio de $131.848/m</t>
  </si>
  <si>
    <t>No se realizó corrección en el APU respectivo,  se realizan de nuestra parte consideraciones para acercarnos al precio propuesto. Se realiza nueva corrección y se corrige error en cambio de base de datos. Precio $1.074.441/m3 - 15/02/2023</t>
  </si>
  <si>
    <t>Corrección 2 de 15/02/2023, se acepta la corrección, ajustando el precio de materiales acorde a la lista definitiva.  $582.902/m2 y corrogiendo error cambio base de datos.</t>
  </si>
  <si>
    <t>Se ajusta valor a $505.313/m2 y acuerda 15/02/2023.</t>
  </si>
  <si>
    <t>Se ajusta valor a $450.819/m2, corrección al costo de materiales y a la base de datos. 15/02/2023</t>
  </si>
  <si>
    <t>Se pretende corregir el precio de algunos insumos como la fibra Nikon, pero en la corrección colocan el precio en almacén, sin contemplar el valor del transporte (ver INSUMOS). Se elimina el Súper T y no se coloca el sustituto, además, se pasa la unidad de medida de m2 a m3 y no se recalculan los insumos necesarios para la nueva unidad de medida propuesta. Se corrige el APU, se coloca tabla de madera común en vez de Súper T y se cambian los rendimientos a m3. Valor de $1.493.217/m3, equivalente a $447.965/m2</t>
  </si>
  <si>
    <t>Estos muros, además de ser de poco espesor (0.25), son de poca altura, por lo que el rendimiento es menos que en muros altos y por ende los insumos para la formaleta se ven castigados. Se ajusta el APU respectivo con las correcciones ya acordadas. Se propone como precio ajustado $553.752/m2. 15/02/2023</t>
  </si>
  <si>
    <t>Igual a los comentarios anteriores. Se presenta APU ajustado por valor de $481.271/m2. - 15/02/2023</t>
  </si>
  <si>
    <t>Estos muros, además de ser de poco espesor (0.25), son de poca altura, por lo que el rendimiento es menos que en muros altos y por ende los insumos para la formaleta se ven castigados. Se ajusta el APU respectivo con las correcciones ya acordadas. Se propone como precio ajustado $553.752/m2 - 15/02/2023</t>
  </si>
  <si>
    <t>Se acepta la corrección y el precio propuesto. Se corrige el error del cambio efectuado a la base de datos. 15/02/2023</t>
  </si>
  <si>
    <t>Los precios de los insumos tienen su sustento en la lista de precios adjunta, se insiste en que se debe contemplar el transporte de estos productos a la obra. (ver INSUMOS), Además, en la corrección se comete un error en el rendimiento del producto (ver ficha técnica Igol Denso). Se ajusta la m.o.
15/02/2023, precio corregido $112.887/m2</t>
  </si>
  <si>
    <t>Se acuerda con el precio propuesto.</t>
  </si>
  <si>
    <t>Se acepta el precio propuesto. $50.611/m2</t>
  </si>
  <si>
    <t>Acarreo externo Materiales</t>
  </si>
  <si>
    <t>Se acepta la corrección realizada. Pero se realiza la corrección en el APU presentado, ya que le falta la piedra como insumo y su respectivo transporte externo. Precio $765.543/m3. 15/02/2023</t>
  </si>
  <si>
    <t>Acarreo externo materiales.</t>
  </si>
  <si>
    <t>Corrección del 15/02/2023. Se analiza y se corrige los acarros y se ajusta precio. Precio final ajustado, $208.289/m3</t>
  </si>
  <si>
    <t>Transporte externo materiales</t>
  </si>
  <si>
    <t>Se realizan las correcciones separando el transporte del material a obra. Se acuerda precio en $99.572/m</t>
  </si>
  <si>
    <t>Esta caja-poceta, es la que recoge las aguas del afluente (ver diseño). Precio $4.416.749/un. 15/02/2023.</t>
  </si>
  <si>
    <t>Son las emboquilladas que existen para los canales 3 un + los de las tuberías iniciales 6 un, sin contar filtros. No se sabe por que se excluyó del presupuesto. Se ajusta precio. $161.510/un - 15/02/2023</t>
  </si>
  <si>
    <t>Acarreo externo materiales</t>
  </si>
  <si>
    <r>
      <t xml:space="preserve">Se ajusta precio, acorde a lista de precios de Procopal del año 2022. Se está </t>
    </r>
    <r>
      <rPr>
        <b/>
        <sz val="11"/>
        <color theme="1"/>
        <rFont val="Calibri"/>
        <family val="2"/>
        <scheme val="minor"/>
      </rPr>
      <t>solicitando cotización para verificar valor del mismo 2023</t>
    </r>
    <r>
      <rPr>
        <sz val="11"/>
        <color theme="1"/>
        <rFont val="Calibri"/>
        <family val="2"/>
        <scheme val="minor"/>
      </rPr>
      <t>. Se corrige transporte.</t>
    </r>
  </si>
  <si>
    <t>El precio presentado como ofertaa por los asfaltadores tiene vigenvia de 8 días, debido a la fluctuación y volatilidad del mercado en etos productos. El precio es para aplicaciones de mínimo 100 m3, para menores se debe asimir un incremento en el precio.</t>
  </si>
  <si>
    <t>Se anexa cotización presentada por ADOQUINAR. 15/02/2023</t>
  </si>
  <si>
    <t>Liga + transporte a obra</t>
  </si>
  <si>
    <t>Galón</t>
  </si>
  <si>
    <t>Emulsión Asfáltica + transporte a obra</t>
  </si>
  <si>
    <t>Lt</t>
  </si>
  <si>
    <t>lt</t>
  </si>
  <si>
    <t>Se presenta nuevo APU,  teniendo en cuenta el valor del material y el rendimiento del mismo según Normas de Pavimento y especificación del producto. El precio cotizdo es para aplicaciones superiores a los 1000 m2. Nota: Los precios varían cada semana. 15/02/2023</t>
  </si>
  <si>
    <t>Nueva revisión, en lo propuesto se corrige el valor del cargue, transporte y botada. Se corrige m.o. Precio final $255.117/un - 15/02/2023.</t>
  </si>
  <si>
    <t>Llenos con material proveniente de la excavación debidamente compactados en zona de laderas en la quebrada y/o su afluente, incluye conformación, acarrero y Sobre-Acarreo interno de materiales para lugares de dificil acceso, en altura. pendiente, escalas y/o senderos en piedra o en tierra. Entre 0 a 100 m.</t>
  </si>
  <si>
    <t>Desaparece el ítem y se toma junto con el ítem de llenos con material de la excavación</t>
  </si>
  <si>
    <t>Nuevo ítem a solicitud de Secretaría de OOPP. 15/02/2023</t>
  </si>
  <si>
    <t>No se reconoce</t>
  </si>
  <si>
    <t>No se reconoce.</t>
  </si>
  <si>
    <t>Se hace la corrección planteada y se ajusta los valores cambiados en insumos por errada manipulación de base de datos (Subanálisis) 15/02/2023</t>
  </si>
  <si>
    <t>Se acepta la corrección, se elimina la formaleta Súper T y se incrementa tabla común. 15/02/2023 - Precio $1.106.322/un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</si>
</sst>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_(&quot;$&quot;\ * #,##0_);_(&quot;$&quot;\ * \(#,##0\);_(&quot;$&quot;\ * &quot;-&quot;_);_(@_)"/>
    <numFmt numFmtId="166" formatCode="_-&quot;$&quot;\ * #,##0.00_-;\-&quot;$&quot;\ * #,##0.00_-;_-&quot;$&quot;\ * &quot;-&quot;_-;_-@_-"/>
    <numFmt numFmtId="167" formatCode="0.0"/>
    <numFmt numFmtId="168" formatCode="_-&quot;$&quot;* #,##0_-;\-&quot;$&quot;* #,##0_-;_-&quot;$&quot;* &quot;-&quot;_-;_-@_-"/>
    <numFmt numFmtId="169" formatCode="_(* #,##0.000_);_(* \(#,##0.000\);_(* &quot;-&quot;??_);_(@_)"/>
    <numFmt numFmtId="170" formatCode="_(* #,##0.0000_);_(* \(#,##0.0000\);_(* &quot;-&quot;??_);_(@_)"/>
    <numFmt numFmtId="171" formatCode="[$$-240A]\ #,##0"/>
    <numFmt numFmtId="172" formatCode="_(&quot;$&quot;\ * #,##0.00_);_(&quot;$&quot;\ * \(#,##0.00\);_(&quot;$&quot;\ * &quot;-&quot;_);_(@_)"/>
    <numFmt numFmtId="173" formatCode="_(* #,##0_);_(* \(#,##0\);_(* &quot;-&quot;??_);_(@_)"/>
    <numFmt numFmtId="174" formatCode="_(&quot;$&quot;\ * #,##0_);_(&quot;$&quot;\ * \(#,##0\);_(&quot;$&quot;\ * &quot;-&quot;??_);_(@_)"/>
    <numFmt numFmtId="175" formatCode="_-[$$-240A]\ * #,##0_-;\-[$$-240A]\ * #,##0_-;_-[$$-240A]\ * &quot;-&quot;??_-;_-@_-"/>
    <numFmt numFmtId="176" formatCode="_(&quot;$&quot;\ * #,##0.00_);_(&quot;$&quot;\ * \(#,##0.00\);_(&quot;$&quot;\ * &quot;-&quot;??_);_(@_)"/>
    <numFmt numFmtId="177" formatCode="_([$$-240A]\ * #,##0_);_([$$-240A]\ * \(#,##0\);_([$$-240A]\ * &quot;-&quot;_);_(@_)"/>
    <numFmt numFmtId="178" formatCode="_-&quot;$&quot;* #,##0_-;\-&quot;$&quot;* #,##0_-;_-&quot;$&quot;* &quot;-&quot;???_-;_-@_-"/>
    <numFmt numFmtId="179" formatCode="0.0%"/>
    <numFmt numFmtId="180" formatCode="0.000"/>
    <numFmt numFmtId="181" formatCode="_-* #,##0\ _P_t_a_-;\-* #,##0\ _P_t_a_-;_-* &quot;-&quot;\ _P_t_a_-;_-@_-"/>
    <numFmt numFmtId="182" formatCode="#,##0.0000"/>
    <numFmt numFmtId="183" formatCode="#,##0.00000"/>
    <numFmt numFmtId="184" formatCode="&quot;$&quot;#,##0."/>
    <numFmt numFmtId="185" formatCode="_(* #,##0_);_(* \(#,##0\);_(* &quot;-&quot;_);_(@_)"/>
    <numFmt numFmtId="186" formatCode="#,##0.000"/>
    <numFmt numFmtId="187" formatCode="#,##0;[Red]#,##0"/>
    <numFmt numFmtId="188" formatCode="_-&quot;$&quot;\ * #,##0_-;\-&quot;$&quot;\ * #,##0_-;_-&quot;$&quot;\ * &quot;-&quot;??_-;_-@_-"/>
  </numFmts>
  <fonts count="75" x14ac:knownFonts="1">
    <font>
      <sz val="11"/>
      <color theme="1"/>
      <name val="Calibri"/>
      <family val="2"/>
      <scheme val="minor"/>
    </font>
    <font>
      <sz val="11"/>
      <color theme="1"/>
      <name val="Calibri"/>
      <family val="2"/>
      <scheme val="minor"/>
    </font>
    <font>
      <sz val="10"/>
      <name val="Arial"/>
      <family val="2"/>
    </font>
    <font>
      <b/>
      <sz val="10"/>
      <name val="Arial"/>
      <family val="2"/>
    </font>
    <font>
      <b/>
      <sz val="11"/>
      <name val="Calibri"/>
      <family val="2"/>
      <scheme val="minor"/>
    </font>
    <font>
      <b/>
      <sz val="16"/>
      <name val="Calibri"/>
      <family val="2"/>
      <scheme val="minor"/>
    </font>
    <font>
      <b/>
      <sz val="10"/>
      <name val="Calibri"/>
      <family val="2"/>
      <scheme val="minor"/>
    </font>
    <font>
      <sz val="10"/>
      <name val="Calibri"/>
      <family val="2"/>
      <scheme val="minor"/>
    </font>
    <font>
      <sz val="10"/>
      <name val="Calibri"/>
      <family val="2"/>
    </font>
    <font>
      <sz val="16"/>
      <name val="Calibri"/>
      <family val="2"/>
    </font>
    <font>
      <b/>
      <sz val="14"/>
      <name val="Calibri"/>
      <family val="2"/>
      <scheme val="minor"/>
    </font>
    <font>
      <sz val="16"/>
      <name val="Calibri"/>
      <family val="2"/>
      <scheme val="minor"/>
    </font>
    <font>
      <sz val="14"/>
      <name val="Arial"/>
      <family val="2"/>
    </font>
    <font>
      <sz val="14"/>
      <name val="Calibri"/>
      <family val="2"/>
      <scheme val="minor"/>
    </font>
    <font>
      <sz val="12"/>
      <name val="Calibri"/>
      <family val="2"/>
      <scheme val="minor"/>
    </font>
    <font>
      <b/>
      <sz val="12"/>
      <name val="Calibri"/>
      <family val="2"/>
      <scheme val="minor"/>
    </font>
    <font>
      <sz val="16"/>
      <name val="Arial"/>
      <family val="2"/>
    </font>
    <font>
      <b/>
      <sz val="16"/>
      <color theme="1"/>
      <name val="Calibri"/>
      <family val="2"/>
      <scheme val="minor"/>
    </font>
    <font>
      <sz val="12"/>
      <color theme="1"/>
      <name val="Arial"/>
      <family val="2"/>
    </font>
    <font>
      <b/>
      <sz val="12"/>
      <color theme="1"/>
      <name val="Calibri"/>
      <family val="2"/>
      <scheme val="minor"/>
    </font>
    <font>
      <b/>
      <sz val="12"/>
      <color theme="1"/>
      <name val="Arial"/>
      <family val="2"/>
    </font>
    <font>
      <b/>
      <sz val="14"/>
      <color theme="1"/>
      <name val="Calibri"/>
      <family val="2"/>
      <scheme val="minor"/>
    </font>
    <font>
      <sz val="12"/>
      <name val="Arial"/>
      <family val="2"/>
    </font>
    <font>
      <b/>
      <sz val="12"/>
      <name val="Arial"/>
      <family val="2"/>
    </font>
    <font>
      <b/>
      <sz val="14"/>
      <color theme="1"/>
      <name val="Arial"/>
      <family val="2"/>
    </font>
    <font>
      <sz val="12"/>
      <color indexed="8"/>
      <name val="Arial"/>
      <family val="2"/>
    </font>
    <font>
      <sz val="11"/>
      <color indexed="8"/>
      <name val="Calibri"/>
      <family val="2"/>
    </font>
    <font>
      <sz val="9"/>
      <color indexed="8"/>
      <name val="Arial"/>
      <family val="2"/>
    </font>
    <font>
      <b/>
      <sz val="11"/>
      <name val="Arial"/>
      <family val="2"/>
    </font>
    <font>
      <sz val="11"/>
      <name val="Arial"/>
      <family val="2"/>
    </font>
    <font>
      <b/>
      <sz val="12"/>
      <color theme="1"/>
      <name val="Verdana"/>
      <family val="2"/>
    </font>
    <font>
      <sz val="8"/>
      <name val="Arial"/>
      <family val="2"/>
    </font>
    <font>
      <b/>
      <sz val="8"/>
      <name val="Arial"/>
      <family val="2"/>
    </font>
    <font>
      <sz val="9"/>
      <name val="Arial"/>
      <family val="2"/>
    </font>
    <font>
      <b/>
      <sz val="8"/>
      <color indexed="48"/>
      <name val="Arial"/>
      <family val="2"/>
    </font>
    <font>
      <b/>
      <sz val="8"/>
      <color theme="1"/>
      <name val="Verdana"/>
      <family val="2"/>
    </font>
    <font>
      <sz val="10"/>
      <color theme="1"/>
      <name val="Verdana"/>
      <family val="2"/>
    </font>
    <font>
      <sz val="11"/>
      <color theme="1"/>
      <name val="Verdana"/>
      <family val="2"/>
    </font>
    <font>
      <sz val="10"/>
      <name val="Verdana"/>
      <family val="2"/>
    </font>
    <font>
      <b/>
      <sz val="8"/>
      <color indexed="8"/>
      <name val="Arial"/>
      <family val="2"/>
    </font>
    <font>
      <b/>
      <sz val="9"/>
      <name val="Arial"/>
      <family val="2"/>
    </font>
    <font>
      <b/>
      <sz val="8"/>
      <color indexed="10"/>
      <name val="Arial"/>
      <family val="2"/>
    </font>
    <font>
      <b/>
      <sz val="9"/>
      <color indexed="10"/>
      <name val="Arial"/>
      <family val="2"/>
    </font>
    <font>
      <sz val="8"/>
      <color indexed="10"/>
      <name val="Arial"/>
      <family val="2"/>
    </font>
    <font>
      <b/>
      <sz val="6"/>
      <name val="Arial"/>
      <family val="2"/>
    </font>
    <font>
      <b/>
      <sz val="10"/>
      <color indexed="10"/>
      <name val="Arial"/>
      <family val="2"/>
    </font>
    <font>
      <sz val="9"/>
      <color indexed="12"/>
      <name val="Arial"/>
      <family val="2"/>
    </font>
    <font>
      <b/>
      <sz val="11"/>
      <color theme="1"/>
      <name val="Verdana"/>
      <family val="2"/>
    </font>
    <font>
      <b/>
      <sz val="10"/>
      <color theme="1"/>
      <name val="Verdana"/>
      <family val="2"/>
    </font>
    <font>
      <sz val="8"/>
      <color indexed="8"/>
      <name val="Arial"/>
      <family val="2"/>
    </font>
    <font>
      <b/>
      <sz val="11"/>
      <color rgb="FFFF0000"/>
      <name val="Arial"/>
      <family val="2"/>
    </font>
    <font>
      <b/>
      <sz val="14"/>
      <color theme="1"/>
      <name val="Verdana"/>
      <family val="2"/>
    </font>
    <font>
      <b/>
      <sz val="14"/>
      <name val="Verdana"/>
      <family val="2"/>
    </font>
    <font>
      <sz val="10"/>
      <name val="MS Sans Serif"/>
      <family val="2"/>
    </font>
    <font>
      <sz val="10"/>
      <color rgb="FFFF0000"/>
      <name val="Arial"/>
      <family val="2"/>
    </font>
    <font>
      <b/>
      <sz val="10"/>
      <color rgb="FFFF0000"/>
      <name val="Arial"/>
      <family val="2"/>
    </font>
    <font>
      <b/>
      <sz val="9"/>
      <color indexed="81"/>
      <name val="Tahoma"/>
      <family val="2"/>
    </font>
    <font>
      <sz val="9"/>
      <color indexed="81"/>
      <name val="Tahoma"/>
      <family val="2"/>
    </font>
    <font>
      <sz val="8"/>
      <color indexed="81"/>
      <name val="Tahoma"/>
      <family val="2"/>
    </font>
    <font>
      <sz val="8"/>
      <color rgb="FF000000"/>
      <name val="Arial"/>
      <family val="2"/>
    </font>
    <font>
      <b/>
      <sz val="8"/>
      <color rgb="FF000000"/>
      <name val="Arial"/>
      <family val="2"/>
    </font>
    <font>
      <b/>
      <sz val="10"/>
      <color rgb="FF000000"/>
      <name val="Arial"/>
      <family val="2"/>
    </font>
    <font>
      <i/>
      <sz val="8"/>
      <color rgb="FF000000"/>
      <name val="Arial"/>
      <family val="2"/>
    </font>
    <font>
      <sz val="8"/>
      <color theme="0"/>
      <name val="Arial"/>
      <family val="2"/>
    </font>
    <font>
      <b/>
      <sz val="6"/>
      <color theme="0"/>
      <name val="Arial"/>
      <family val="2"/>
    </font>
    <font>
      <b/>
      <sz val="8"/>
      <color rgb="FFFF0000"/>
      <name val="Arial"/>
      <family val="2"/>
    </font>
    <font>
      <sz val="8"/>
      <color rgb="FFFF0000"/>
      <name val="Arial"/>
      <family val="2"/>
    </font>
    <font>
      <sz val="11"/>
      <name val="Calibri"/>
      <family val="2"/>
      <scheme val="minor"/>
    </font>
    <font>
      <sz val="11"/>
      <name val="Calibri"/>
      <family val="2"/>
    </font>
    <font>
      <sz val="10"/>
      <name val="Tahoma"/>
      <family val="2"/>
    </font>
    <font>
      <sz val="14"/>
      <color theme="1"/>
      <name val="Calibri"/>
      <family val="2"/>
      <scheme val="minor"/>
    </font>
    <font>
      <sz val="10"/>
      <color rgb="FF000000"/>
      <name val="Arial"/>
      <family val="2"/>
    </font>
    <font>
      <sz val="9"/>
      <color indexed="81"/>
      <name val="Tahoma"/>
      <charset val="1"/>
    </font>
    <font>
      <b/>
      <sz val="9"/>
      <color indexed="81"/>
      <name val="Tahoma"/>
      <charset val="1"/>
    </font>
    <font>
      <b/>
      <sz val="11"/>
      <color theme="1"/>
      <name val="Calibri"/>
      <family val="2"/>
      <scheme val="minor"/>
    </font>
  </fonts>
  <fills count="26">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FFFF0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3" tint="-0.499984740745262"/>
        <bgColor indexed="64"/>
      </patternFill>
    </fill>
    <fill>
      <patternFill patternType="solid">
        <fgColor indexed="40"/>
        <bgColor indexed="64"/>
      </patternFill>
    </fill>
    <fill>
      <patternFill patternType="solid">
        <fgColor indexed="41"/>
        <bgColor indexed="64"/>
      </patternFill>
    </fill>
    <fill>
      <patternFill patternType="solid">
        <fgColor indexed="9"/>
        <bgColor indexed="64"/>
      </patternFill>
    </fill>
    <fill>
      <patternFill patternType="solid">
        <fgColor indexed="44"/>
        <bgColor indexed="64"/>
      </patternFill>
    </fill>
    <fill>
      <patternFill patternType="solid">
        <fgColor indexed="1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theme="9"/>
        <bgColor indexed="64"/>
      </patternFill>
    </fill>
  </fills>
  <borders count="9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auto="1"/>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style="medium">
        <color auto="1"/>
      </right>
      <top style="medium">
        <color auto="1"/>
      </top>
      <bottom style="dotted">
        <color auto="1"/>
      </bottom>
      <diagonal/>
    </border>
    <border>
      <left style="medium">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medium">
        <color auto="1"/>
      </right>
      <top style="dotted">
        <color auto="1"/>
      </top>
      <bottom style="dotted">
        <color auto="1"/>
      </bottom>
      <diagonal/>
    </border>
    <border>
      <left style="medium">
        <color auto="1"/>
      </left>
      <right style="dotted">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style="dotted">
        <color auto="1"/>
      </left>
      <right style="medium">
        <color auto="1"/>
      </right>
      <top style="dotted">
        <color auto="1"/>
      </top>
      <bottom style="medium">
        <color auto="1"/>
      </bottom>
      <diagonal/>
    </border>
    <border>
      <left style="medium">
        <color auto="1"/>
      </left>
      <right style="dotted">
        <color auto="1"/>
      </right>
      <top style="dotted">
        <color auto="1"/>
      </top>
      <bottom/>
      <diagonal/>
    </border>
    <border>
      <left style="dotted">
        <color auto="1"/>
      </left>
      <right style="dotted">
        <color auto="1"/>
      </right>
      <top style="dotted">
        <color auto="1"/>
      </top>
      <bottom/>
      <diagonal/>
    </border>
    <border>
      <left style="dotted">
        <color auto="1"/>
      </left>
      <right style="medium">
        <color auto="1"/>
      </right>
      <top style="dotted">
        <color auto="1"/>
      </top>
      <bottom/>
      <diagonal/>
    </border>
  </borders>
  <cellStyleXfs count="31">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168" fontId="1" fillId="0" borderId="0" applyFont="0" applyFill="0" applyBorder="0" applyAlignment="0" applyProtection="0"/>
    <xf numFmtId="0" fontId="2" fillId="0" borderId="0"/>
    <xf numFmtId="0" fontId="1" fillId="0" borderId="0"/>
    <xf numFmtId="173" fontId="2" fillId="0" borderId="0" applyFont="0" applyFill="0" applyBorder="0" applyAlignment="0" applyProtection="0"/>
    <xf numFmtId="176" fontId="26"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53" fillId="0" borderId="0"/>
    <xf numFmtId="181" fontId="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42"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41">
    <xf numFmtId="0" fontId="0" fillId="0" borderId="0" xfId="0"/>
    <xf numFmtId="0" fontId="2" fillId="0" borderId="0" xfId="3"/>
    <xf numFmtId="164" fontId="2" fillId="0" borderId="0" xfId="3" applyNumberFormat="1"/>
    <xf numFmtId="165" fontId="2" fillId="0" borderId="0" xfId="3" applyNumberFormat="1"/>
    <xf numFmtId="0" fontId="3" fillId="0" borderId="4" xfId="3" applyFont="1" applyBorder="1" applyAlignment="1">
      <alignment horizontal="center"/>
    </xf>
    <xf numFmtId="0" fontId="3" fillId="0" borderId="0" xfId="3" applyFont="1" applyBorder="1" applyAlignment="1">
      <alignment horizontal="center"/>
    </xf>
    <xf numFmtId="0" fontId="2" fillId="0" borderId="5" xfId="3" applyBorder="1"/>
    <xf numFmtId="0" fontId="3" fillId="0" borderId="6" xfId="3" applyFont="1" applyBorder="1" applyAlignment="1">
      <alignment horizontal="center"/>
    </xf>
    <xf numFmtId="10" fontId="2" fillId="0" borderId="5" xfId="2" applyNumberFormat="1" applyFont="1" applyBorder="1" applyAlignment="1">
      <alignment horizontal="center"/>
    </xf>
    <xf numFmtId="9" fontId="2" fillId="0" borderId="5" xfId="2" applyFont="1" applyBorder="1" applyAlignment="1">
      <alignment horizontal="center"/>
    </xf>
    <xf numFmtId="0" fontId="3" fillId="0" borderId="7" xfId="3" applyFont="1" applyBorder="1" applyAlignment="1">
      <alignment horizontal="center"/>
    </xf>
    <xf numFmtId="0" fontId="3" fillId="0" borderId="8" xfId="3" applyFont="1" applyBorder="1" applyAlignment="1">
      <alignment horizontal="center"/>
    </xf>
    <xf numFmtId="0" fontId="2" fillId="0" borderId="10" xfId="3" applyBorder="1"/>
    <xf numFmtId="0" fontId="3" fillId="0" borderId="12" xfId="3" applyFont="1" applyBorder="1" applyAlignment="1">
      <alignment horizontal="center"/>
    </xf>
    <xf numFmtId="0" fontId="3" fillId="2" borderId="13" xfId="3" applyFont="1" applyFill="1" applyBorder="1" applyAlignment="1">
      <alignment horizontal="center" vertical="justify" wrapText="1"/>
    </xf>
    <xf numFmtId="0" fontId="3" fillId="2" borderId="14" xfId="3" applyFont="1" applyFill="1" applyBorder="1" applyAlignment="1">
      <alignment horizontal="center" vertical="justify" wrapText="1"/>
    </xf>
    <xf numFmtId="0" fontId="6" fillId="3" borderId="16" xfId="4" applyFont="1" applyFill="1" applyBorder="1" applyAlignment="1">
      <alignment horizontal="center" vertical="center"/>
    </xf>
    <xf numFmtId="0" fontId="6" fillId="3" borderId="17" xfId="4" applyFont="1" applyFill="1" applyBorder="1" applyAlignment="1">
      <alignment horizontal="center" vertical="center"/>
    </xf>
    <xf numFmtId="164" fontId="6" fillId="3" borderId="17" xfId="4" applyNumberFormat="1" applyFont="1" applyFill="1" applyBorder="1" applyAlignment="1">
      <alignment horizontal="center" vertical="center"/>
    </xf>
    <xf numFmtId="165" fontId="6" fillId="3" borderId="17" xfId="4" applyNumberFormat="1" applyFont="1" applyFill="1" applyBorder="1" applyAlignment="1">
      <alignment horizontal="center" vertical="center"/>
    </xf>
    <xf numFmtId="4" fontId="6" fillId="3" borderId="17" xfId="4" applyNumberFormat="1" applyFont="1" applyFill="1" applyBorder="1" applyAlignment="1">
      <alignment horizontal="center" vertical="center" wrapText="1"/>
    </xf>
    <xf numFmtId="165" fontId="6" fillId="3" borderId="18" xfId="4" applyNumberFormat="1" applyFont="1" applyFill="1" applyBorder="1" applyAlignment="1">
      <alignment horizontal="center" vertical="center"/>
    </xf>
    <xf numFmtId="0" fontId="6" fillId="4" borderId="22" xfId="4" applyFont="1" applyFill="1" applyBorder="1" applyAlignment="1">
      <alignment horizontal="center" vertical="center"/>
    </xf>
    <xf numFmtId="0" fontId="6" fillId="4" borderId="5" xfId="4" applyFont="1" applyFill="1" applyBorder="1" applyAlignment="1">
      <alignment horizontal="justify" vertical="center"/>
    </xf>
    <xf numFmtId="0" fontId="6" fillId="4" borderId="23" xfId="4" applyFont="1" applyFill="1" applyBorder="1" applyAlignment="1">
      <alignment horizontal="justify" vertical="center"/>
    </xf>
    <xf numFmtId="164" fontId="6" fillId="4" borderId="24" xfId="4" applyNumberFormat="1" applyFont="1" applyFill="1" applyBorder="1" applyAlignment="1">
      <alignment horizontal="center" vertical="center"/>
    </xf>
    <xf numFmtId="165" fontId="6" fillId="4" borderId="24" xfId="4" applyNumberFormat="1" applyFont="1" applyFill="1" applyBorder="1" applyAlignment="1">
      <alignment horizontal="center" vertical="center"/>
    </xf>
    <xf numFmtId="2" fontId="6" fillId="4" borderId="24" xfId="4" applyNumberFormat="1" applyFont="1" applyFill="1" applyBorder="1" applyAlignment="1">
      <alignment horizontal="center" vertical="center"/>
    </xf>
    <xf numFmtId="165" fontId="6" fillId="4" borderId="25" xfId="4" applyNumberFormat="1" applyFont="1" applyFill="1" applyBorder="1" applyAlignment="1">
      <alignment horizontal="right" vertical="center"/>
    </xf>
    <xf numFmtId="167" fontId="7" fillId="0" borderId="22" xfId="4" applyNumberFormat="1" applyFont="1" applyBorder="1" applyAlignment="1">
      <alignment horizontal="center" vertical="center"/>
    </xf>
    <xf numFmtId="0" fontId="7" fillId="5" borderId="5" xfId="4" applyFont="1" applyFill="1" applyBorder="1" applyAlignment="1">
      <alignment horizontal="justify" vertical="center"/>
    </xf>
    <xf numFmtId="0" fontId="7" fillId="0" borderId="5" xfId="4" applyFont="1" applyBorder="1" applyAlignment="1">
      <alignment horizontal="center" vertical="center"/>
    </xf>
    <xf numFmtId="164" fontId="7" fillId="0" borderId="5" xfId="4" applyNumberFormat="1" applyFont="1" applyBorder="1" applyAlignment="1" applyProtection="1">
      <alignment horizontal="center" vertical="center"/>
      <protection locked="0"/>
    </xf>
    <xf numFmtId="165" fontId="7" fillId="0" borderId="5" xfId="4" applyNumberFormat="1" applyFont="1" applyBorder="1" applyAlignment="1" applyProtection="1">
      <alignment horizontal="center" vertical="center"/>
      <protection locked="0"/>
    </xf>
    <xf numFmtId="4" fontId="7" fillId="0" borderId="5" xfId="4" applyNumberFormat="1" applyFont="1" applyBorder="1" applyAlignment="1" applyProtection="1">
      <alignment horizontal="center" vertical="center"/>
      <protection locked="0"/>
    </xf>
    <xf numFmtId="164" fontId="7" fillId="5" borderId="5" xfId="4" applyNumberFormat="1" applyFont="1" applyFill="1" applyBorder="1" applyAlignment="1">
      <alignment horizontal="center" vertical="center"/>
    </xf>
    <xf numFmtId="164" fontId="7" fillId="0" borderId="5" xfId="4" applyNumberFormat="1" applyFont="1" applyBorder="1" applyAlignment="1">
      <alignment horizontal="center" vertical="center" wrapText="1"/>
    </xf>
    <xf numFmtId="165" fontId="7" fillId="0" borderId="6" xfId="4" applyNumberFormat="1" applyFont="1" applyBorder="1" applyAlignment="1">
      <alignment horizontal="right" vertical="center"/>
    </xf>
    <xf numFmtId="0" fontId="7" fillId="0" borderId="5" xfId="4" applyFont="1" applyBorder="1" applyAlignment="1">
      <alignment horizontal="justify" vertical="center"/>
    </xf>
    <xf numFmtId="164" fontId="7" fillId="0" borderId="5" xfId="4" applyNumberFormat="1" applyFont="1" applyBorder="1" applyAlignment="1">
      <alignment horizontal="center" vertical="center"/>
    </xf>
    <xf numFmtId="2" fontId="7" fillId="0" borderId="22" xfId="4" applyNumberFormat="1" applyFont="1" applyBorder="1" applyAlignment="1">
      <alignment horizontal="center" vertical="center"/>
    </xf>
    <xf numFmtId="0" fontId="7" fillId="0" borderId="26" xfId="4" applyFont="1" applyBorder="1" applyAlignment="1">
      <alignment horizontal="justify" vertical="center"/>
    </xf>
    <xf numFmtId="0" fontId="6" fillId="4" borderId="26" xfId="4" applyFont="1" applyFill="1" applyBorder="1" applyAlignment="1">
      <alignment horizontal="justify" vertical="center"/>
    </xf>
    <xf numFmtId="0" fontId="7" fillId="0" borderId="22" xfId="4" applyFont="1" applyBorder="1" applyAlignment="1">
      <alignment horizontal="center" vertical="center"/>
    </xf>
    <xf numFmtId="165" fontId="7" fillId="0" borderId="5" xfId="4" applyNumberFormat="1" applyFont="1" applyBorder="1" applyAlignment="1">
      <alignment horizontal="center" vertical="center"/>
    </xf>
    <xf numFmtId="0" fontId="7" fillId="0" borderId="26" xfId="5" applyFont="1" applyBorder="1" applyAlignment="1">
      <alignment horizontal="justify" vertical="center" wrapText="1"/>
    </xf>
    <xf numFmtId="0" fontId="7" fillId="0" borderId="26" xfId="4" applyFont="1" applyBorder="1" applyAlignment="1">
      <alignment horizontal="justify" vertical="center" wrapText="1"/>
    </xf>
    <xf numFmtId="0" fontId="7" fillId="0" borderId="5" xfId="4" applyFont="1" applyBorder="1" applyAlignment="1">
      <alignment horizontal="center" vertical="center" wrapText="1"/>
    </xf>
    <xf numFmtId="165" fontId="7" fillId="0" borderId="5" xfId="4" applyNumberFormat="1" applyFont="1" applyBorder="1" applyAlignment="1">
      <alignment horizontal="center" vertical="center" wrapText="1"/>
    </xf>
    <xf numFmtId="2" fontId="7" fillId="0" borderId="5" xfId="4" applyNumberFormat="1" applyFont="1" applyBorder="1" applyAlignment="1">
      <alignment horizontal="center" vertical="center"/>
    </xf>
    <xf numFmtId="2" fontId="3" fillId="4" borderId="5" xfId="6" applyNumberFormat="1" applyFont="1" applyFill="1" applyBorder="1" applyAlignment="1">
      <alignment horizontal="center" vertical="center" wrapText="1"/>
    </xf>
    <xf numFmtId="3" fontId="2" fillId="4" borderId="5" xfId="6" applyNumberFormat="1" applyFill="1" applyBorder="1" applyAlignment="1">
      <alignment vertical="center" wrapText="1"/>
    </xf>
    <xf numFmtId="0" fontId="7" fillId="0" borderId="22" xfId="5" applyFont="1" applyBorder="1" applyAlignment="1">
      <alignment horizontal="center" vertical="center"/>
    </xf>
    <xf numFmtId="0" fontId="7" fillId="0" borderId="23" xfId="4" applyFont="1" applyBorder="1" applyAlignment="1">
      <alignment horizontal="center" vertical="center" wrapText="1"/>
    </xf>
    <xf numFmtId="164" fontId="7" fillId="0" borderId="5" xfId="5" applyNumberFormat="1" applyFont="1" applyBorder="1" applyAlignment="1">
      <alignment horizontal="center" vertical="center"/>
    </xf>
    <xf numFmtId="165" fontId="7" fillId="0" borderId="5" xfId="5" applyNumberFormat="1" applyFont="1" applyBorder="1" applyAlignment="1">
      <alignment horizontal="center" vertical="center"/>
    </xf>
    <xf numFmtId="0" fontId="7" fillId="0" borderId="5" xfId="5" applyFont="1" applyBorder="1" applyAlignment="1">
      <alignment horizontal="center" vertical="center"/>
    </xf>
    <xf numFmtId="0" fontId="7" fillId="5" borderId="22" xfId="4" applyFont="1" applyFill="1" applyBorder="1" applyAlignment="1">
      <alignment horizontal="center" vertical="center"/>
    </xf>
    <xf numFmtId="0" fontId="7" fillId="5" borderId="26" xfId="4" applyFont="1" applyFill="1" applyBorder="1" applyAlignment="1">
      <alignment horizontal="justify" vertical="center" wrapText="1"/>
    </xf>
    <xf numFmtId="0" fontId="7" fillId="5" borderId="5" xfId="4" applyFont="1" applyFill="1" applyBorder="1" applyAlignment="1">
      <alignment horizontal="center" vertical="center"/>
    </xf>
    <xf numFmtId="165" fontId="7" fillId="5" borderId="5" xfId="4" applyNumberFormat="1" applyFont="1" applyFill="1" applyBorder="1" applyAlignment="1">
      <alignment horizontal="center" vertical="center"/>
    </xf>
    <xf numFmtId="2" fontId="7" fillId="5" borderId="5" xfId="4" applyNumberFormat="1" applyFont="1" applyFill="1" applyBorder="1" applyAlignment="1">
      <alignment horizontal="center" vertical="center"/>
    </xf>
    <xf numFmtId="165" fontId="7" fillId="5" borderId="6" xfId="4" applyNumberFormat="1" applyFont="1" applyFill="1" applyBorder="1" applyAlignment="1">
      <alignment horizontal="right" vertical="center"/>
    </xf>
    <xf numFmtId="165" fontId="6" fillId="0" borderId="5" xfId="5" applyNumberFormat="1" applyFont="1" applyBorder="1" applyAlignment="1">
      <alignment horizontal="center" vertical="center"/>
    </xf>
    <xf numFmtId="0" fontId="2" fillId="0" borderId="24" xfId="4" applyBorder="1" applyAlignment="1">
      <alignment vertical="center"/>
    </xf>
    <xf numFmtId="10" fontId="2" fillId="0" borderId="5" xfId="2" applyNumberFormat="1" applyFont="1" applyFill="1" applyBorder="1" applyAlignment="1" applyProtection="1">
      <alignment horizontal="center" vertical="center"/>
    </xf>
    <xf numFmtId="0" fontId="2" fillId="0" borderId="5" xfId="4" applyBorder="1" applyAlignment="1">
      <alignment horizontal="center" vertical="center"/>
    </xf>
    <xf numFmtId="165" fontId="2" fillId="0" borderId="6" xfId="4" applyNumberFormat="1" applyBorder="1" applyAlignment="1" applyProtection="1">
      <alignment horizontal="right" vertical="center"/>
      <protection locked="0"/>
    </xf>
    <xf numFmtId="0" fontId="2" fillId="0" borderId="5" xfId="4" applyBorder="1" applyAlignment="1">
      <alignment vertical="center"/>
    </xf>
    <xf numFmtId="170" fontId="2" fillId="0" borderId="5" xfId="4" applyNumberFormat="1" applyBorder="1" applyAlignment="1">
      <alignment horizontal="center" vertical="center"/>
    </xf>
    <xf numFmtId="0" fontId="6" fillId="4" borderId="5" xfId="4" applyFont="1" applyFill="1" applyBorder="1" applyAlignment="1">
      <alignment horizontal="center" vertical="center"/>
    </xf>
    <xf numFmtId="10" fontId="6" fillId="0" borderId="5" xfId="7" applyNumberFormat="1" applyFont="1" applyFill="1" applyBorder="1" applyAlignment="1" applyProtection="1">
      <alignment horizontal="right" vertical="center"/>
    </xf>
    <xf numFmtId="171" fontId="6" fillId="0" borderId="6" xfId="4" applyNumberFormat="1" applyFont="1" applyBorder="1" applyAlignment="1">
      <alignment horizontal="right" vertical="center"/>
    </xf>
    <xf numFmtId="0" fontId="6" fillId="0" borderId="22" xfId="4" applyFont="1" applyBorder="1" applyAlignment="1">
      <alignment horizontal="center" vertical="center"/>
    </xf>
    <xf numFmtId="10" fontId="6" fillId="0" borderId="5" xfId="7" applyNumberFormat="1" applyFont="1" applyFill="1" applyBorder="1" applyAlignment="1" applyProtection="1">
      <alignment horizontal="right" vertical="center"/>
      <protection locked="0"/>
    </xf>
    <xf numFmtId="10" fontId="5" fillId="0" borderId="5" xfId="7" applyNumberFormat="1" applyFont="1" applyFill="1" applyBorder="1" applyAlignment="1" applyProtection="1">
      <alignment horizontal="right" vertical="center"/>
    </xf>
    <xf numFmtId="165" fontId="5" fillId="0" borderId="6" xfId="4" applyNumberFormat="1" applyFont="1" applyBorder="1" applyAlignment="1">
      <alignment horizontal="right" vertical="center"/>
    </xf>
    <xf numFmtId="0" fontId="10" fillId="3" borderId="22" xfId="4" applyFont="1" applyFill="1" applyBorder="1" applyAlignment="1">
      <alignment horizontal="center" vertical="center"/>
    </xf>
    <xf numFmtId="164" fontId="5" fillId="3" borderId="5" xfId="4" applyNumberFormat="1" applyFont="1" applyFill="1" applyBorder="1" applyAlignment="1">
      <alignment horizontal="left" vertical="center"/>
    </xf>
    <xf numFmtId="172" fontId="5" fillId="3" borderId="6" xfId="4" applyNumberFormat="1" applyFont="1" applyFill="1" applyBorder="1" applyAlignment="1" applyProtection="1">
      <alignment horizontal="right" vertical="center"/>
      <protection locked="0"/>
    </xf>
    <xf numFmtId="0" fontId="12" fillId="0" borderId="0" xfId="3" applyFont="1"/>
    <xf numFmtId="0" fontId="13" fillId="2" borderId="19" xfId="4" applyFont="1" applyFill="1" applyBorder="1" applyAlignment="1">
      <alignment horizontal="center" vertical="center"/>
    </xf>
    <xf numFmtId="164" fontId="5" fillId="2" borderId="20" xfId="4" applyNumberFormat="1" applyFont="1" applyFill="1" applyBorder="1" applyAlignment="1">
      <alignment horizontal="center" vertical="center"/>
    </xf>
    <xf numFmtId="172" fontId="5" fillId="2" borderId="21" xfId="4" applyNumberFormat="1" applyFont="1" applyFill="1" applyBorder="1" applyAlignment="1" applyProtection="1">
      <alignment horizontal="right" vertical="center"/>
      <protection locked="0"/>
    </xf>
    <xf numFmtId="0" fontId="14" fillId="0" borderId="0" xfId="4" applyFont="1" applyAlignment="1">
      <alignment horizontal="center" vertical="center"/>
    </xf>
    <xf numFmtId="0" fontId="15" fillId="0" borderId="0" xfId="4" applyFont="1" applyAlignment="1">
      <alignment horizontal="left" vertical="center" wrapText="1"/>
    </xf>
    <xf numFmtId="0" fontId="14" fillId="0" borderId="0" xfId="8" applyFont="1" applyAlignment="1">
      <alignment horizontal="left" vertical="center" wrapText="1"/>
    </xf>
    <xf numFmtId="164" fontId="15" fillId="0" borderId="0" xfId="4" applyNumberFormat="1" applyFont="1" applyAlignment="1">
      <alignment horizontal="left" vertical="center"/>
    </xf>
    <xf numFmtId="172" fontId="5" fillId="6" borderId="17" xfId="4" applyNumberFormat="1" applyFont="1" applyFill="1" applyBorder="1" applyAlignment="1" applyProtection="1">
      <alignment horizontal="right" vertical="center"/>
      <protection locked="0"/>
    </xf>
    <xf numFmtId="0" fontId="16" fillId="0" borderId="0" xfId="3" applyFont="1"/>
    <xf numFmtId="0" fontId="11" fillId="0" borderId="0" xfId="4" applyFont="1" applyAlignment="1">
      <alignment vertical="center"/>
    </xf>
    <xf numFmtId="164" fontId="16" fillId="0" borderId="0" xfId="3" applyNumberFormat="1" applyFont="1"/>
    <xf numFmtId="165" fontId="16" fillId="0" borderId="0" xfId="3" applyNumberFormat="1" applyFont="1"/>
    <xf numFmtId="0" fontId="0" fillId="0" borderId="5" xfId="0" applyBorder="1" applyAlignment="1">
      <alignment vertical="center"/>
    </xf>
    <xf numFmtId="0" fontId="16" fillId="0" borderId="5" xfId="3" applyFont="1" applyBorder="1" applyAlignment="1">
      <alignment horizontal="center" vertical="center"/>
    </xf>
    <xf numFmtId="10" fontId="2" fillId="0" borderId="5" xfId="3" applyNumberFormat="1" applyBorder="1" applyAlignment="1">
      <alignment horizontal="center" vertical="center"/>
    </xf>
    <xf numFmtId="9" fontId="2" fillId="0" borderId="5" xfId="3" applyNumberFormat="1" applyBorder="1" applyAlignment="1">
      <alignment horizontal="center" vertical="center"/>
    </xf>
    <xf numFmtId="0" fontId="2" fillId="0" borderId="5" xfId="3" applyBorder="1" applyAlignment="1">
      <alignment horizontal="center" vertical="center"/>
    </xf>
    <xf numFmtId="0" fontId="0" fillId="0" borderId="0" xfId="0" applyAlignment="1">
      <alignment horizontal="center" vertical="center"/>
    </xf>
    <xf numFmtId="42" fontId="18" fillId="0" borderId="0" xfId="1" applyFont="1" applyAlignment="1">
      <alignment horizontal="center" vertical="center"/>
    </xf>
    <xf numFmtId="0" fontId="19" fillId="8" borderId="1" xfId="0" applyFont="1" applyFill="1" applyBorder="1" applyAlignment="1">
      <alignment horizontal="center" vertical="center"/>
    </xf>
    <xf numFmtId="0" fontId="19" fillId="8" borderId="2" xfId="0" applyFont="1" applyFill="1" applyBorder="1" applyAlignment="1">
      <alignment horizontal="center" vertical="center"/>
    </xf>
    <xf numFmtId="0" fontId="21" fillId="9" borderId="22" xfId="0" applyFont="1" applyFill="1" applyBorder="1" applyAlignment="1">
      <alignment horizontal="center" vertical="center"/>
    </xf>
    <xf numFmtId="0" fontId="21" fillId="9" borderId="5" xfId="0" applyFont="1" applyFill="1" applyBorder="1"/>
    <xf numFmtId="0" fontId="21" fillId="9" borderId="5" xfId="0" applyFont="1" applyFill="1" applyBorder="1" applyAlignment="1">
      <alignment horizontal="center" vertical="center"/>
    </xf>
    <xf numFmtId="42" fontId="20" fillId="9" borderId="5" xfId="1" applyFont="1" applyFill="1" applyBorder="1" applyAlignment="1">
      <alignment horizontal="center" vertical="center"/>
    </xf>
    <xf numFmtId="0" fontId="18" fillId="0" borderId="22" xfId="0" applyFont="1" applyBorder="1" applyAlignment="1">
      <alignment horizontal="center" vertical="center"/>
    </xf>
    <xf numFmtId="0" fontId="22" fillId="5" borderId="5" xfId="8" applyFont="1" applyFill="1" applyBorder="1" applyAlignment="1">
      <alignment horizontal="justify" vertical="top"/>
    </xf>
    <xf numFmtId="0" fontId="22" fillId="5" borderId="5" xfId="8" applyFont="1" applyFill="1" applyBorder="1" applyAlignment="1">
      <alignment horizontal="center" vertical="center"/>
    </xf>
    <xf numFmtId="4" fontId="22" fillId="5" borderId="5" xfId="8" applyNumberFormat="1" applyFont="1" applyFill="1" applyBorder="1" applyAlignment="1">
      <alignment horizontal="center" vertical="center"/>
    </xf>
    <xf numFmtId="0" fontId="22" fillId="5" borderId="5" xfId="0" applyFont="1" applyFill="1" applyBorder="1" applyAlignment="1">
      <alignment horizontal="justify" vertical="center" wrapText="1"/>
    </xf>
    <xf numFmtId="42" fontId="18" fillId="0" borderId="5" xfId="1" applyFont="1" applyBorder="1" applyAlignment="1">
      <alignment horizontal="center" vertical="center"/>
    </xf>
    <xf numFmtId="0" fontId="22" fillId="5" borderId="5" xfId="0" applyFont="1" applyFill="1" applyBorder="1" applyAlignment="1">
      <alignment horizontal="justify" vertical="top" wrapText="1"/>
    </xf>
    <xf numFmtId="3" fontId="22" fillId="5" borderId="5" xfId="0" applyNumberFormat="1" applyFont="1" applyFill="1" applyBorder="1" applyAlignment="1">
      <alignment horizontal="center" vertical="center" wrapText="1"/>
    </xf>
    <xf numFmtId="4" fontId="22" fillId="5" borderId="5" xfId="0" applyNumberFormat="1" applyFont="1" applyFill="1" applyBorder="1" applyAlignment="1">
      <alignment horizontal="center" vertical="center" wrapText="1"/>
    </xf>
    <xf numFmtId="0" fontId="22" fillId="0" borderId="5" xfId="0" applyFont="1" applyFill="1" applyBorder="1" applyAlignment="1">
      <alignment horizontal="justify" vertical="top" wrapText="1"/>
    </xf>
    <xf numFmtId="3" fontId="22" fillId="0" borderId="5" xfId="0" applyNumberFormat="1" applyFont="1" applyFill="1" applyBorder="1" applyAlignment="1">
      <alignment horizontal="center" vertical="center" wrapText="1"/>
    </xf>
    <xf numFmtId="4" fontId="22" fillId="0" borderId="5" xfId="0" applyNumberFormat="1" applyFont="1" applyFill="1" applyBorder="1" applyAlignment="1">
      <alignment horizontal="center" vertical="center" wrapText="1"/>
    </xf>
    <xf numFmtId="0" fontId="22" fillId="0" borderId="5" xfId="0" applyFont="1" applyFill="1" applyBorder="1" applyAlignment="1">
      <alignment horizontal="justify" vertical="justify" wrapText="1"/>
    </xf>
    <xf numFmtId="42" fontId="0" fillId="0" borderId="0" xfId="0" applyNumberFormat="1"/>
    <xf numFmtId="0" fontId="22" fillId="0" borderId="5" xfId="0" applyFont="1" applyFill="1" applyBorder="1" applyAlignment="1">
      <alignment horizontal="justify" vertical="center" wrapText="1"/>
    </xf>
    <xf numFmtId="0" fontId="21" fillId="0" borderId="13" xfId="0" applyFont="1" applyBorder="1" applyAlignment="1">
      <alignment horizontal="center" vertical="center"/>
    </xf>
    <xf numFmtId="0" fontId="21" fillId="0" borderId="14" xfId="0" applyFont="1" applyBorder="1"/>
    <xf numFmtId="0" fontId="21" fillId="0" borderId="14" xfId="0" applyFont="1" applyBorder="1" applyAlignment="1">
      <alignment horizontal="center" vertical="center"/>
    </xf>
    <xf numFmtId="42" fontId="24" fillId="0" borderId="14" xfId="1" applyFont="1" applyBorder="1" applyAlignment="1">
      <alignment horizontal="center" vertical="center"/>
    </xf>
    <xf numFmtId="10" fontId="21" fillId="0" borderId="14" xfId="0" applyNumberFormat="1" applyFont="1" applyBorder="1" applyAlignment="1">
      <alignment horizontal="center" vertical="center"/>
    </xf>
    <xf numFmtId="9" fontId="21" fillId="0" borderId="14" xfId="0" applyNumberFormat="1" applyFont="1" applyBorder="1" applyAlignment="1">
      <alignment horizontal="center" vertical="center"/>
    </xf>
    <xf numFmtId="0" fontId="22" fillId="0" borderId="5" xfId="10" applyFont="1" applyBorder="1" applyAlignment="1">
      <alignment horizontal="center" vertical="center" wrapText="1"/>
    </xf>
    <xf numFmtId="0" fontId="22" fillId="0" borderId="5" xfId="10" applyFont="1" applyBorder="1" applyAlignment="1">
      <alignment horizontal="justify" vertical="center" wrapText="1"/>
    </xf>
    <xf numFmtId="0" fontId="25" fillId="0" borderId="5" xfId="11" applyFont="1" applyBorder="1" applyAlignment="1">
      <alignment horizontal="center" vertical="center"/>
    </xf>
    <xf numFmtId="174" fontId="25" fillId="5" borderId="5" xfId="12" applyNumberFormat="1" applyFont="1" applyFill="1" applyBorder="1" applyAlignment="1" applyProtection="1">
      <alignment horizontal="justify" vertical="center"/>
      <protection locked="0"/>
    </xf>
    <xf numFmtId="175" fontId="22" fillId="0" borderId="5" xfId="0" applyNumberFormat="1" applyFont="1" applyBorder="1" applyAlignment="1">
      <alignment horizontal="right" vertical="center"/>
    </xf>
    <xf numFmtId="0" fontId="25" fillId="0" borderId="5" xfId="11" applyFont="1" applyBorder="1" applyAlignment="1">
      <alignment horizontal="justify" vertical="center" wrapText="1"/>
    </xf>
    <xf numFmtId="174" fontId="25" fillId="5" borderId="5" xfId="13" applyNumberFormat="1" applyFont="1" applyFill="1" applyBorder="1" applyAlignment="1">
      <alignment horizontal="justify" vertical="center"/>
    </xf>
    <xf numFmtId="0" fontId="25" fillId="5" borderId="5" xfId="11" applyFont="1" applyFill="1" applyBorder="1" applyAlignment="1">
      <alignment horizontal="justify" vertical="center"/>
    </xf>
    <xf numFmtId="174" fontId="22" fillId="5" borderId="5" xfId="13" applyNumberFormat="1" applyFont="1" applyFill="1" applyBorder="1" applyAlignment="1">
      <alignment horizontal="justify" vertical="center"/>
    </xf>
    <xf numFmtId="0" fontId="25" fillId="0" borderId="5" xfId="11" applyFont="1" applyBorder="1" applyAlignment="1">
      <alignment horizontal="justify" vertical="center"/>
    </xf>
    <xf numFmtId="0" fontId="22" fillId="0" borderId="5" xfId="11" applyFont="1" applyBorder="1" applyAlignment="1">
      <alignment horizontal="justify" vertical="center"/>
    </xf>
    <xf numFmtId="0" fontId="22" fillId="0" borderId="5" xfId="11" applyFont="1" applyBorder="1" applyAlignment="1">
      <alignment horizontal="center" vertical="center"/>
    </xf>
    <xf numFmtId="3" fontId="22" fillId="0" borderId="5" xfId="11" applyNumberFormat="1" applyFont="1" applyBorder="1" applyAlignment="1">
      <alignment horizontal="center" vertical="center"/>
    </xf>
    <xf numFmtId="0" fontId="22" fillId="5" borderId="5" xfId="10" applyFont="1" applyFill="1" applyBorder="1" applyAlignment="1">
      <alignment horizontal="center" vertical="center" wrapText="1"/>
    </xf>
    <xf numFmtId="0" fontId="25" fillId="0" borderId="5" xfId="11" applyFont="1" applyBorder="1" applyAlignment="1">
      <alignment horizontal="center" vertical="center" wrapText="1"/>
    </xf>
    <xf numFmtId="0" fontId="27" fillId="0" borderId="5" xfId="11" applyFont="1" applyBorder="1" applyAlignment="1">
      <alignment horizontal="center" vertical="center" wrapText="1"/>
    </xf>
    <xf numFmtId="0" fontId="23" fillId="2" borderId="5" xfId="0" applyFont="1" applyFill="1" applyBorder="1" applyAlignment="1">
      <alignment horizontal="left" vertical="center"/>
    </xf>
    <xf numFmtId="0" fontId="23" fillId="2" borderId="5" xfId="0" applyFont="1" applyFill="1" applyBorder="1" applyAlignment="1">
      <alignment horizontal="justify" vertical="center" wrapText="1"/>
    </xf>
    <xf numFmtId="177" fontId="23" fillId="2" borderId="5" xfId="0" applyNumberFormat="1" applyFont="1" applyFill="1" applyBorder="1" applyAlignment="1">
      <alignment horizontal="center" vertical="center"/>
    </xf>
    <xf numFmtId="0" fontId="29" fillId="0" borderId="0" xfId="14" applyFont="1" applyFill="1" applyAlignment="1">
      <alignment horizontal="center" vertical="center" wrapText="1"/>
    </xf>
    <xf numFmtId="0" fontId="31" fillId="0" borderId="0" xfId="14" applyFont="1" applyFill="1" applyAlignment="1">
      <alignment horizontal="center"/>
    </xf>
    <xf numFmtId="0" fontId="31" fillId="0" borderId="0" xfId="14" applyFont="1" applyFill="1"/>
    <xf numFmtId="0" fontId="32" fillId="0" borderId="0" xfId="14" applyFont="1" applyFill="1" applyAlignment="1">
      <alignment vertical="center"/>
    </xf>
    <xf numFmtId="176" fontId="33" fillId="0" borderId="0" xfId="14" applyNumberFormat="1" applyFont="1" applyFill="1"/>
    <xf numFmtId="0" fontId="32" fillId="0" borderId="5" xfId="14" applyFont="1" applyFill="1" applyBorder="1" applyAlignment="1">
      <alignment vertical="center"/>
    </xf>
    <xf numFmtId="176" fontId="32" fillId="0" borderId="5" xfId="14" applyNumberFormat="1" applyFont="1" applyFill="1" applyBorder="1" applyAlignment="1">
      <alignment vertical="center"/>
    </xf>
    <xf numFmtId="0" fontId="31" fillId="0" borderId="5" xfId="14" applyFont="1" applyFill="1" applyBorder="1"/>
    <xf numFmtId="0" fontId="34" fillId="0" borderId="5" xfId="14" applyFont="1" applyFill="1" applyBorder="1" applyAlignment="1">
      <alignment horizontal="center" vertical="center"/>
    </xf>
    <xf numFmtId="0" fontId="32" fillId="0" borderId="0" xfId="14" applyFont="1" applyFill="1" applyAlignment="1">
      <alignment horizontal="center"/>
    </xf>
    <xf numFmtId="0" fontId="35" fillId="0" borderId="5" xfId="15" applyFont="1" applyFill="1" applyBorder="1" applyAlignment="1">
      <alignment horizontal="center" vertical="center" wrapText="1"/>
    </xf>
    <xf numFmtId="0" fontId="35" fillId="0" borderId="5" xfId="15" applyFont="1" applyFill="1" applyBorder="1" applyAlignment="1">
      <alignment horizontal="center" vertical="center"/>
    </xf>
    <xf numFmtId="176" fontId="32" fillId="0" borderId="5" xfId="14" applyNumberFormat="1" applyFont="1" applyFill="1" applyBorder="1"/>
    <xf numFmtId="0" fontId="34" fillId="0" borderId="0" xfId="14" applyFont="1" applyFill="1" applyAlignment="1">
      <alignment horizontal="center"/>
    </xf>
    <xf numFmtId="0" fontId="36" fillId="0" borderId="5" xfId="15" applyFont="1" applyFill="1" applyBorder="1" applyAlignment="1">
      <alignment horizontal="center" vertical="center" wrapText="1"/>
    </xf>
    <xf numFmtId="178" fontId="36" fillId="0" borderId="5" xfId="15" applyNumberFormat="1" applyFont="1" applyFill="1" applyBorder="1" applyAlignment="1">
      <alignment horizontal="center" vertical="center" wrapText="1"/>
    </xf>
    <xf numFmtId="178" fontId="37" fillId="0" borderId="5" xfId="15" applyNumberFormat="1" applyFont="1" applyFill="1" applyBorder="1" applyAlignment="1">
      <alignment vertical="center"/>
    </xf>
    <xf numFmtId="10" fontId="38" fillId="0" borderId="5" xfId="16" applyNumberFormat="1" applyFont="1" applyFill="1" applyBorder="1" applyAlignment="1">
      <alignment vertical="center"/>
    </xf>
    <xf numFmtId="0" fontId="37" fillId="0" borderId="5" xfId="15" applyFont="1" applyFill="1" applyBorder="1" applyAlignment="1">
      <alignment vertical="center"/>
    </xf>
    <xf numFmtId="176" fontId="39" fillId="0" borderId="5" xfId="14" applyNumberFormat="1" applyFont="1" applyFill="1" applyBorder="1" applyAlignment="1">
      <alignment vertical="center"/>
    </xf>
    <xf numFmtId="0" fontId="31" fillId="0" borderId="5" xfId="14" applyFont="1" applyFill="1" applyBorder="1" applyAlignment="1">
      <alignment vertical="center"/>
    </xf>
    <xf numFmtId="0" fontId="34" fillId="0" borderId="5" xfId="14" applyFont="1" applyFill="1" applyBorder="1" applyAlignment="1">
      <alignment vertical="center"/>
    </xf>
    <xf numFmtId="0" fontId="34" fillId="0" borderId="0" xfId="14" applyFont="1" applyFill="1" applyAlignment="1">
      <alignment vertical="center"/>
    </xf>
    <xf numFmtId="0" fontId="31" fillId="0" borderId="0" xfId="14" applyFont="1" applyFill="1" applyAlignment="1">
      <alignment horizontal="center" vertical="center"/>
    </xf>
    <xf numFmtId="0" fontId="31" fillId="0" borderId="0" xfId="14" applyFont="1" applyFill="1" applyAlignment="1">
      <alignment vertical="center"/>
    </xf>
    <xf numFmtId="176" fontId="40" fillId="0" borderId="5" xfId="14" applyNumberFormat="1" applyFont="1" applyFill="1" applyBorder="1"/>
    <xf numFmtId="0" fontId="31" fillId="0" borderId="5" xfId="14" applyFont="1" applyFill="1" applyBorder="1" applyAlignment="1">
      <alignment horizontal="right"/>
    </xf>
    <xf numFmtId="2" fontId="34" fillId="0" borderId="5" xfId="14" applyNumberFormat="1" applyFont="1" applyFill="1" applyBorder="1" applyAlignment="1">
      <alignment horizontal="center"/>
    </xf>
    <xf numFmtId="2" fontId="34" fillId="0" borderId="0" xfId="14" applyNumberFormat="1" applyFont="1" applyFill="1" applyAlignment="1">
      <alignment horizontal="center"/>
    </xf>
    <xf numFmtId="2" fontId="31" fillId="10" borderId="5" xfId="14" applyNumberFormat="1" applyFont="1" applyFill="1" applyBorder="1" applyAlignment="1">
      <alignment horizontal="center" vertical="center"/>
    </xf>
    <xf numFmtId="2" fontId="34" fillId="0" borderId="5" xfId="14" applyNumberFormat="1" applyFont="1" applyFill="1" applyBorder="1" applyAlignment="1">
      <alignment horizontal="center" vertical="center"/>
    </xf>
    <xf numFmtId="2" fontId="34" fillId="0" borderId="0" xfId="14" applyNumberFormat="1" applyFont="1" applyFill="1" applyAlignment="1">
      <alignment horizontal="center" vertical="center"/>
    </xf>
    <xf numFmtId="0" fontId="41" fillId="0" borderId="5" xfId="14" applyFont="1" applyFill="1" applyBorder="1" applyAlignment="1">
      <alignment vertical="center"/>
    </xf>
    <xf numFmtId="176" fontId="42" fillId="0" borderId="5" xfId="14" applyNumberFormat="1" applyFont="1" applyFill="1" applyBorder="1" applyAlignment="1">
      <alignment horizontal="center"/>
    </xf>
    <xf numFmtId="0" fontId="41" fillId="0" borderId="5" xfId="14" applyFont="1" applyFill="1" applyBorder="1" applyAlignment="1">
      <alignment horizontal="center"/>
    </xf>
    <xf numFmtId="0" fontId="41" fillId="0" borderId="0" xfId="14" applyFont="1" applyFill="1" applyBorder="1" applyAlignment="1">
      <alignment horizontal="center"/>
    </xf>
    <xf numFmtId="176" fontId="33" fillId="0" borderId="5" xfId="14" applyNumberFormat="1" applyFont="1" applyFill="1" applyBorder="1" applyAlignment="1">
      <alignment horizontal="center"/>
    </xf>
    <xf numFmtId="10" fontId="31" fillId="0" borderId="5" xfId="7" applyNumberFormat="1" applyFont="1" applyFill="1" applyBorder="1" applyAlignment="1">
      <alignment horizontal="center"/>
    </xf>
    <xf numFmtId="165" fontId="43" fillId="0" borderId="5" xfId="14" applyNumberFormat="1" applyFont="1" applyFill="1" applyBorder="1" applyAlignment="1">
      <alignment horizontal="center"/>
    </xf>
    <xf numFmtId="10" fontId="34" fillId="0" borderId="5" xfId="7" applyNumberFormat="1" applyFont="1" applyFill="1" applyBorder="1" applyAlignment="1">
      <alignment horizontal="center"/>
    </xf>
    <xf numFmtId="2" fontId="34" fillId="0" borderId="0" xfId="14" applyNumberFormat="1" applyFont="1" applyFill="1" applyBorder="1" applyAlignment="1">
      <alignment horizontal="center"/>
    </xf>
    <xf numFmtId="10" fontId="31" fillId="0" borderId="5" xfId="14" applyNumberFormat="1" applyFont="1" applyFill="1" applyBorder="1" applyAlignment="1">
      <alignment horizontal="center"/>
    </xf>
    <xf numFmtId="44" fontId="43" fillId="0" borderId="5" xfId="14" applyNumberFormat="1" applyFont="1" applyFill="1" applyBorder="1" applyAlignment="1">
      <alignment horizontal="center"/>
    </xf>
    <xf numFmtId="0" fontId="31" fillId="0" borderId="5" xfId="14" applyFont="1" applyFill="1" applyBorder="1" applyAlignment="1">
      <alignment horizontal="center"/>
    </xf>
    <xf numFmtId="165" fontId="31" fillId="0" borderId="5" xfId="14" applyNumberFormat="1" applyFont="1" applyFill="1" applyBorder="1" applyAlignment="1">
      <alignment horizontal="center"/>
    </xf>
    <xf numFmtId="0" fontId="34" fillId="0" borderId="0" xfId="14" applyFont="1" applyFill="1" applyBorder="1" applyAlignment="1">
      <alignment horizontal="center"/>
    </xf>
    <xf numFmtId="0" fontId="34" fillId="0" borderId="5" xfId="14" applyFont="1" applyFill="1" applyBorder="1" applyAlignment="1">
      <alignment horizontal="center"/>
    </xf>
    <xf numFmtId="179" fontId="31" fillId="0" borderId="5" xfId="14" applyNumberFormat="1" applyFont="1" applyFill="1" applyBorder="1" applyAlignment="1">
      <alignment horizontal="center"/>
    </xf>
    <xf numFmtId="0" fontId="44" fillId="0" borderId="5" xfId="14" applyFont="1" applyFill="1" applyBorder="1" applyAlignment="1">
      <alignment vertical="center"/>
    </xf>
    <xf numFmtId="9" fontId="31" fillId="0" borderId="5" xfId="14" applyNumberFormat="1" applyFont="1" applyFill="1" applyBorder="1" applyAlignment="1">
      <alignment horizontal="center"/>
    </xf>
    <xf numFmtId="0" fontId="31" fillId="0" borderId="36" xfId="14" applyFont="1" applyFill="1" applyBorder="1" applyAlignment="1">
      <alignment vertical="center"/>
    </xf>
    <xf numFmtId="176" fontId="33" fillId="0" borderId="36" xfId="14" applyNumberFormat="1" applyFont="1" applyFill="1" applyBorder="1"/>
    <xf numFmtId="0" fontId="31" fillId="0" borderId="36" xfId="14" applyFont="1" applyFill="1" applyBorder="1"/>
    <xf numFmtId="0" fontId="45" fillId="0" borderId="36" xfId="14" applyFont="1" applyFill="1" applyBorder="1" applyAlignment="1">
      <alignment vertical="center"/>
    </xf>
    <xf numFmtId="10" fontId="45" fillId="11" borderId="36" xfId="14" applyNumberFormat="1" applyFont="1" applyFill="1" applyBorder="1" applyAlignment="1">
      <alignment horizontal="center" vertical="center"/>
    </xf>
    <xf numFmtId="0" fontId="31" fillId="12" borderId="5" xfId="14" applyFont="1" applyFill="1" applyBorder="1" applyAlignment="1">
      <alignment vertical="center"/>
    </xf>
    <xf numFmtId="176" fontId="31" fillId="12" borderId="5" xfId="14" applyNumberFormat="1" applyFont="1" applyFill="1" applyBorder="1" applyAlignment="1">
      <alignment horizontal="center" vertical="center" wrapText="1"/>
    </xf>
    <xf numFmtId="0" fontId="31" fillId="12" borderId="5" xfId="14" applyFont="1" applyFill="1" applyBorder="1" applyAlignment="1">
      <alignment horizontal="center" vertical="center" wrapText="1"/>
    </xf>
    <xf numFmtId="3" fontId="31" fillId="0" borderId="0" xfId="14" applyNumberFormat="1" applyFont="1" applyFill="1"/>
    <xf numFmtId="0" fontId="31" fillId="13" borderId="5" xfId="14" applyFont="1" applyFill="1" applyBorder="1" applyAlignment="1">
      <alignment vertical="center"/>
    </xf>
    <xf numFmtId="176" fontId="46" fillId="13" borderId="5" xfId="14" applyNumberFormat="1" applyFont="1" applyFill="1" applyBorder="1"/>
    <xf numFmtId="176" fontId="46" fillId="7" borderId="5" xfId="14" applyNumberFormat="1" applyFont="1" applyFill="1" applyBorder="1"/>
    <xf numFmtId="1" fontId="33" fillId="13" borderId="5" xfId="14" applyNumberFormat="1" applyFont="1" applyFill="1" applyBorder="1" applyAlignment="1">
      <alignment horizontal="center" vertical="center"/>
    </xf>
    <xf numFmtId="0" fontId="47" fillId="0" borderId="5" xfId="15" applyFont="1" applyFill="1" applyBorder="1" applyAlignment="1">
      <alignment horizontal="center" vertical="center"/>
    </xf>
    <xf numFmtId="178" fontId="48" fillId="0" borderId="5" xfId="15" applyNumberFormat="1" applyFont="1" applyFill="1" applyBorder="1" applyAlignment="1">
      <alignment horizontal="center" vertical="center" wrapText="1"/>
    </xf>
    <xf numFmtId="3" fontId="49" fillId="0" borderId="0" xfId="14" applyNumberFormat="1" applyFont="1" applyFill="1"/>
    <xf numFmtId="0" fontId="31" fillId="13" borderId="0" xfId="14" applyFont="1" applyFill="1" applyBorder="1" applyAlignment="1">
      <alignment vertical="center"/>
    </xf>
    <xf numFmtId="1" fontId="31" fillId="0" borderId="0" xfId="14" applyNumberFormat="1" applyFont="1" applyFill="1"/>
    <xf numFmtId="180" fontId="31" fillId="0" borderId="0" xfId="14" applyNumberFormat="1" applyFont="1" applyFill="1"/>
    <xf numFmtId="3" fontId="43" fillId="0" borderId="0" xfId="14" applyNumberFormat="1" applyFont="1" applyFill="1"/>
    <xf numFmtId="0" fontId="29" fillId="0" borderId="0" xfId="14" applyFont="1" applyFill="1" applyAlignment="1">
      <alignment vertical="center" wrapText="1"/>
    </xf>
    <xf numFmtId="0" fontId="37" fillId="0" borderId="5" xfId="15" applyFont="1" applyFill="1" applyBorder="1" applyAlignment="1">
      <alignment horizontal="center" vertical="center"/>
    </xf>
    <xf numFmtId="0" fontId="51" fillId="0" borderId="5" xfId="15" applyFont="1" applyFill="1" applyBorder="1" applyAlignment="1">
      <alignment vertical="center"/>
    </xf>
    <xf numFmtId="0" fontId="52" fillId="0" borderId="5" xfId="14" applyFont="1" applyBorder="1" applyAlignment="1">
      <alignment vertical="center"/>
    </xf>
    <xf numFmtId="0" fontId="54" fillId="0" borderId="5" xfId="17" applyFont="1" applyBorder="1"/>
    <xf numFmtId="180" fontId="32" fillId="0" borderId="0" xfId="14" applyNumberFormat="1" applyFont="1" applyFill="1"/>
    <xf numFmtId="1" fontId="32" fillId="0" borderId="0" xfId="14" applyNumberFormat="1" applyFont="1" applyFill="1"/>
    <xf numFmtId="3" fontId="32" fillId="0" borderId="0" xfId="14" applyNumberFormat="1" applyFont="1" applyFill="1"/>
    <xf numFmtId="0" fontId="54" fillId="0" borderId="5" xfId="17" applyFont="1" applyBorder="1" applyAlignment="1">
      <alignment horizontal="left" vertical="center"/>
    </xf>
    <xf numFmtId="0" fontId="55" fillId="0" borderId="5" xfId="17" applyFont="1" applyBorder="1" applyAlignment="1">
      <alignment horizontal="center" vertical="center"/>
    </xf>
    <xf numFmtId="0" fontId="54" fillId="0" borderId="0" xfId="17" applyFont="1" applyAlignment="1">
      <alignment horizontal="left" vertical="center"/>
    </xf>
    <xf numFmtId="0" fontId="54" fillId="0" borderId="0" xfId="17" applyFont="1" applyAlignment="1">
      <alignment horizontal="center" vertical="center"/>
    </xf>
    <xf numFmtId="3" fontId="41" fillId="0" borderId="0" xfId="14" applyNumberFormat="1" applyFont="1" applyFill="1"/>
    <xf numFmtId="0" fontId="55" fillId="0" borderId="5" xfId="17" applyFont="1" applyBorder="1" applyAlignment="1">
      <alignment horizontal="left" vertical="center"/>
    </xf>
    <xf numFmtId="0" fontId="54" fillId="0" borderId="5" xfId="17" applyFont="1" applyBorder="1" applyAlignment="1">
      <alignment horizontal="center" vertical="center"/>
    </xf>
    <xf numFmtId="167" fontId="54" fillId="0" borderId="5" xfId="17" applyNumberFormat="1" applyFont="1" applyBorder="1" applyAlignment="1">
      <alignment horizontal="center" vertical="center"/>
    </xf>
    <xf numFmtId="180" fontId="54" fillId="0" borderId="5" xfId="17" applyNumberFormat="1" applyFont="1" applyFill="1" applyBorder="1" applyAlignment="1">
      <alignment horizontal="center" vertical="center"/>
    </xf>
    <xf numFmtId="2" fontId="54" fillId="0" borderId="0" xfId="17" applyNumberFormat="1" applyFont="1" applyAlignment="1">
      <alignment horizontal="center" vertical="center"/>
    </xf>
    <xf numFmtId="167" fontId="54" fillId="0" borderId="0" xfId="17" applyNumberFormat="1" applyFont="1" applyAlignment="1">
      <alignment horizontal="center" vertical="center"/>
    </xf>
    <xf numFmtId="2" fontId="54" fillId="0" borderId="5" xfId="17" applyNumberFormat="1" applyFont="1" applyBorder="1" applyAlignment="1">
      <alignment horizontal="center" vertical="center"/>
    </xf>
    <xf numFmtId="0" fontId="54" fillId="11" borderId="5" xfId="17" applyFont="1" applyFill="1" applyBorder="1" applyAlignment="1">
      <alignment horizontal="left" vertical="center"/>
    </xf>
    <xf numFmtId="2" fontId="54" fillId="11" borderId="5" xfId="17" applyNumberFormat="1" applyFont="1" applyFill="1" applyBorder="1" applyAlignment="1">
      <alignment horizontal="center" vertical="center"/>
    </xf>
    <xf numFmtId="3" fontId="41" fillId="0" borderId="0" xfId="18" applyNumberFormat="1" applyFont="1" applyFill="1"/>
    <xf numFmtId="0" fontId="54" fillId="0" borderId="5" xfId="14" applyFont="1" applyBorder="1" applyAlignment="1">
      <alignment horizontal="center" vertical="center"/>
    </xf>
    <xf numFmtId="167" fontId="54" fillId="0" borderId="5" xfId="14" applyNumberFormat="1" applyFont="1" applyBorder="1" applyAlignment="1">
      <alignment horizontal="center" vertical="center"/>
    </xf>
    <xf numFmtId="180" fontId="55" fillId="11" borderId="5" xfId="14" applyNumberFormat="1" applyFont="1" applyFill="1" applyBorder="1" applyAlignment="1">
      <alignment horizontal="center" vertical="center"/>
    </xf>
    <xf numFmtId="0" fontId="31" fillId="14" borderId="5" xfId="14" applyFont="1" applyFill="1" applyBorder="1" applyAlignment="1">
      <alignment vertical="center"/>
    </xf>
    <xf numFmtId="176" fontId="33" fillId="14" borderId="5" xfId="14" applyNumberFormat="1" applyFont="1" applyFill="1" applyBorder="1"/>
    <xf numFmtId="0" fontId="22" fillId="5" borderId="37" xfId="8" applyFont="1" applyFill="1" applyBorder="1" applyAlignment="1">
      <alignment horizontal="justify" vertical="top"/>
    </xf>
    <xf numFmtId="0" fontId="22" fillId="5" borderId="37" xfId="8" applyFont="1" applyFill="1" applyBorder="1" applyAlignment="1">
      <alignment horizontal="center" vertical="center"/>
    </xf>
    <xf numFmtId="4" fontId="22" fillId="5" borderId="37" xfId="8" applyNumberFormat="1" applyFont="1" applyFill="1" applyBorder="1" applyAlignment="1">
      <alignment horizontal="center" vertical="center"/>
    </xf>
    <xf numFmtId="2" fontId="18" fillId="0" borderId="22" xfId="0" applyNumberFormat="1" applyFont="1" applyBorder="1" applyAlignment="1">
      <alignment horizontal="center" vertical="center"/>
    </xf>
    <xf numFmtId="0" fontId="60" fillId="3" borderId="42" xfId="0" applyNumberFormat="1" applyFont="1" applyFill="1" applyBorder="1" applyAlignment="1">
      <alignment horizontal="center" vertical="center" wrapText="1"/>
    </xf>
    <xf numFmtId="2" fontId="60" fillId="3" borderId="42" xfId="1" applyNumberFormat="1" applyFont="1" applyFill="1" applyBorder="1" applyAlignment="1">
      <alignment horizontal="center" vertical="center" wrapText="1"/>
    </xf>
    <xf numFmtId="0" fontId="60" fillId="2" borderId="43" xfId="0" applyNumberFormat="1" applyFont="1" applyFill="1" applyBorder="1" applyAlignment="1">
      <alignment horizontal="center" vertical="center" wrapText="1"/>
    </xf>
    <xf numFmtId="0" fontId="60" fillId="2" borderId="44" xfId="0" applyNumberFormat="1" applyFont="1" applyFill="1" applyBorder="1" applyAlignment="1">
      <alignment horizontal="center" vertical="center" wrapText="1"/>
    </xf>
    <xf numFmtId="182" fontId="60" fillId="2" borderId="44" xfId="0" applyNumberFormat="1" applyFont="1" applyFill="1" applyBorder="1" applyAlignment="1">
      <alignment horizontal="center" vertical="center" wrapText="1"/>
    </xf>
    <xf numFmtId="42" fontId="60" fillId="2" borderId="44" xfId="1" applyFont="1" applyFill="1" applyBorder="1" applyAlignment="1">
      <alignment horizontal="center" vertical="center" wrapText="1"/>
    </xf>
    <xf numFmtId="42" fontId="60" fillId="2" borderId="45" xfId="1" applyFont="1" applyFill="1" applyBorder="1" applyAlignment="1">
      <alignment horizontal="center" vertical="center" wrapText="1"/>
    </xf>
    <xf numFmtId="1" fontId="59" fillId="5" borderId="47" xfId="0" applyNumberFormat="1" applyFont="1" applyFill="1" applyBorder="1" applyAlignment="1">
      <alignment vertical="center" wrapText="1"/>
    </xf>
    <xf numFmtId="0" fontId="59" fillId="5" borderId="48" xfId="0" applyNumberFormat="1" applyFont="1" applyFill="1" applyBorder="1" applyAlignment="1">
      <alignment horizontal="center" vertical="center" wrapText="1"/>
    </xf>
    <xf numFmtId="182" fontId="59" fillId="5" borderId="48" xfId="0" applyNumberFormat="1" applyFont="1" applyFill="1" applyBorder="1" applyAlignment="1">
      <alignment horizontal="center" vertical="center" wrapText="1"/>
    </xf>
    <xf numFmtId="42" fontId="59" fillId="5" borderId="48" xfId="1" applyFont="1" applyFill="1" applyBorder="1" applyAlignment="1">
      <alignment horizontal="center" vertical="center" wrapText="1"/>
    </xf>
    <xf numFmtId="42" fontId="59" fillId="5" borderId="46" xfId="1" applyFont="1" applyFill="1" applyBorder="1" applyAlignment="1">
      <alignment horizontal="center" vertical="center" wrapText="1"/>
    </xf>
    <xf numFmtId="0" fontId="59" fillId="5" borderId="47" xfId="0" applyNumberFormat="1" applyFont="1" applyFill="1" applyBorder="1" applyAlignment="1">
      <alignment horizontal="justify" vertical="center" wrapText="1"/>
    </xf>
    <xf numFmtId="0" fontId="59" fillId="5" borderId="47" xfId="0" applyNumberFormat="1" applyFont="1" applyFill="1" applyBorder="1" applyAlignment="1">
      <alignment vertical="center" wrapText="1"/>
    </xf>
    <xf numFmtId="0" fontId="60" fillId="5" borderId="47" xfId="0" applyNumberFormat="1" applyFont="1" applyFill="1" applyBorder="1" applyAlignment="1">
      <alignment horizontal="center" vertical="center" wrapText="1"/>
    </xf>
    <xf numFmtId="0" fontId="60" fillId="5" borderId="48" xfId="0" applyNumberFormat="1" applyFont="1" applyFill="1" applyBorder="1" applyAlignment="1">
      <alignment horizontal="center" vertical="center" wrapText="1"/>
    </xf>
    <xf numFmtId="182" fontId="60" fillId="5" borderId="48" xfId="0" applyNumberFormat="1" applyFont="1" applyFill="1" applyBorder="1" applyAlignment="1">
      <alignment horizontal="center" vertical="center" wrapText="1"/>
    </xf>
    <xf numFmtId="42" fontId="60" fillId="5" borderId="48" xfId="1" applyFont="1" applyFill="1" applyBorder="1" applyAlignment="1">
      <alignment horizontal="center" vertical="center" wrapText="1"/>
    </xf>
    <xf numFmtId="0" fontId="62" fillId="0" borderId="47" xfId="0" applyNumberFormat="1" applyFont="1" applyBorder="1" applyAlignment="1">
      <alignment horizontal="left" vertical="center" wrapText="1"/>
    </xf>
    <xf numFmtId="0" fontId="62" fillId="0" borderId="48" xfId="0" applyNumberFormat="1" applyFont="1" applyBorder="1" applyAlignment="1">
      <alignment horizontal="center" vertical="center" wrapText="1"/>
    </xf>
    <xf numFmtId="182" fontId="59" fillId="0" borderId="48" xfId="0" applyNumberFormat="1" applyFont="1" applyBorder="1" applyAlignment="1">
      <alignment horizontal="center" vertical="center" wrapText="1"/>
    </xf>
    <xf numFmtId="42" fontId="62" fillId="0" borderId="48" xfId="1" applyFont="1" applyBorder="1" applyAlignment="1">
      <alignment horizontal="right" vertical="center" wrapText="1"/>
    </xf>
    <xf numFmtId="42" fontId="59" fillId="0" borderId="46" xfId="1" applyFont="1" applyBorder="1" applyAlignment="1">
      <alignment horizontal="right" vertical="center" wrapText="1"/>
    </xf>
    <xf numFmtId="42" fontId="59" fillId="0" borderId="48" xfId="1" applyFont="1" applyBorder="1" applyAlignment="1">
      <alignment horizontal="right" vertical="center" wrapText="1"/>
    </xf>
    <xf numFmtId="0" fontId="59" fillId="0" borderId="47" xfId="0" applyNumberFormat="1" applyFont="1" applyBorder="1" applyAlignment="1">
      <alignment horizontal="left" vertical="center" wrapText="1"/>
    </xf>
    <xf numFmtId="0" fontId="59" fillId="0" borderId="48" xfId="0" applyNumberFormat="1" applyFont="1" applyBorder="1" applyAlignment="1">
      <alignment horizontal="center" vertical="center" wrapText="1"/>
    </xf>
    <xf numFmtId="42" fontId="60" fillId="4" borderId="46" xfId="1" applyFont="1" applyFill="1" applyBorder="1" applyAlignment="1">
      <alignment horizontal="right" vertical="center" wrapText="1"/>
    </xf>
    <xf numFmtId="183" fontId="59" fillId="0" borderId="48" xfId="0" applyNumberFormat="1" applyFont="1" applyBorder="1" applyAlignment="1">
      <alignment horizontal="center" vertical="center" wrapText="1"/>
    </xf>
    <xf numFmtId="184" fontId="59" fillId="0" borderId="48" xfId="0" applyNumberFormat="1" applyFont="1" applyBorder="1" applyAlignment="1">
      <alignment horizontal="right" vertical="center" wrapText="1"/>
    </xf>
    <xf numFmtId="0" fontId="59" fillId="0" borderId="49" xfId="0" applyNumberFormat="1" applyFont="1" applyBorder="1" applyAlignment="1">
      <alignment horizontal="left" vertical="center" wrapText="1"/>
    </xf>
    <xf numFmtId="0" fontId="59" fillId="0" borderId="50" xfId="0" applyNumberFormat="1" applyFont="1" applyBorder="1" applyAlignment="1">
      <alignment horizontal="center" vertical="center" wrapText="1"/>
    </xf>
    <xf numFmtId="183" fontId="59" fillId="0" borderId="50" xfId="0" applyNumberFormat="1" applyFont="1" applyBorder="1" applyAlignment="1">
      <alignment horizontal="center" vertical="center" wrapText="1"/>
    </xf>
    <xf numFmtId="184" fontId="59" fillId="0" borderId="50" xfId="0" applyNumberFormat="1" applyFont="1" applyBorder="1" applyAlignment="1">
      <alignment horizontal="right" vertical="center" wrapText="1"/>
    </xf>
    <xf numFmtId="0" fontId="0" fillId="0" borderId="0" xfId="0" applyAlignment="1">
      <alignment horizontal="center"/>
    </xf>
    <xf numFmtId="0" fontId="61" fillId="3" borderId="42" xfId="0" applyNumberFormat="1" applyFont="1" applyFill="1" applyBorder="1" applyAlignment="1">
      <alignment horizontal="center" vertical="center" wrapText="1" readingOrder="1"/>
    </xf>
    <xf numFmtId="2" fontId="60" fillId="3" borderId="42" xfId="1" applyNumberFormat="1" applyFont="1" applyFill="1" applyBorder="1" applyAlignment="1">
      <alignment horizontal="center" vertical="center" wrapText="1" readingOrder="1"/>
    </xf>
    <xf numFmtId="42" fontId="60" fillId="4" borderId="54" xfId="1" applyFont="1" applyFill="1" applyBorder="1" applyAlignment="1">
      <alignment horizontal="center" vertical="center" wrapText="1"/>
    </xf>
    <xf numFmtId="42" fontId="60" fillId="4" borderId="54" xfId="1" applyFont="1" applyFill="1" applyBorder="1" applyAlignment="1">
      <alignment horizontal="right" vertical="center" wrapText="1"/>
    </xf>
    <xf numFmtId="42" fontId="60" fillId="3" borderId="41" xfId="1" applyFont="1" applyFill="1" applyBorder="1" applyAlignment="1">
      <alignment horizontal="right" vertical="center" wrapText="1"/>
    </xf>
    <xf numFmtId="0" fontId="31" fillId="0" borderId="0" xfId="21" applyFont="1" applyAlignment="1">
      <alignment vertical="center"/>
    </xf>
    <xf numFmtId="0" fontId="31" fillId="0" borderId="0" xfId="21" applyFont="1" applyAlignment="1">
      <alignment horizontal="center" vertical="center"/>
    </xf>
    <xf numFmtId="3" fontId="31" fillId="0" borderId="0" xfId="21" applyNumberFormat="1" applyFont="1" applyAlignment="1">
      <alignment vertical="center"/>
    </xf>
    <xf numFmtId="3" fontId="31" fillId="0" borderId="0" xfId="21" applyNumberFormat="1" applyFont="1" applyAlignment="1">
      <alignment vertical="center" wrapText="1"/>
    </xf>
    <xf numFmtId="185" fontId="31" fillId="0" borderId="0" xfId="21" applyNumberFormat="1" applyFont="1" applyAlignment="1">
      <alignment vertical="center"/>
    </xf>
    <xf numFmtId="1" fontId="23" fillId="0" borderId="0" xfId="21" applyNumberFormat="1" applyFont="1" applyAlignment="1">
      <alignment horizontal="center" vertical="center"/>
    </xf>
    <xf numFmtId="180" fontId="23" fillId="0" borderId="0" xfId="21" applyNumberFormat="1" applyFont="1" applyAlignment="1">
      <alignment vertical="center"/>
    </xf>
    <xf numFmtId="3" fontId="23" fillId="0" borderId="0" xfId="21" applyNumberFormat="1" applyFont="1" applyAlignment="1">
      <alignment vertical="center"/>
    </xf>
    <xf numFmtId="165" fontId="63" fillId="15" borderId="58" xfId="21" applyNumberFormat="1" applyFont="1" applyFill="1" applyBorder="1" applyAlignment="1">
      <alignment horizontal="center" vertical="center"/>
    </xf>
    <xf numFmtId="3" fontId="64" fillId="15" borderId="59" xfId="21" applyNumberFormat="1" applyFont="1" applyFill="1" applyBorder="1" applyAlignment="1">
      <alignment horizontal="center" vertical="center" wrapText="1"/>
    </xf>
    <xf numFmtId="3" fontId="64" fillId="15" borderId="59" xfId="21" applyNumberFormat="1" applyFont="1" applyFill="1" applyBorder="1" applyAlignment="1">
      <alignment horizontal="center" vertical="center"/>
    </xf>
    <xf numFmtId="0" fontId="64" fillId="15" borderId="59" xfId="21" applyFont="1" applyFill="1" applyBorder="1" applyAlignment="1">
      <alignment horizontal="center" vertical="center"/>
    </xf>
    <xf numFmtId="185" fontId="64" fillId="15" borderId="60" xfId="21" applyNumberFormat="1" applyFont="1" applyFill="1" applyBorder="1" applyAlignment="1">
      <alignment horizontal="center" vertical="center"/>
    </xf>
    <xf numFmtId="1" fontId="31" fillId="0" borderId="0" xfId="21" applyNumberFormat="1" applyFont="1" applyAlignment="1">
      <alignment vertical="center"/>
    </xf>
    <xf numFmtId="1" fontId="31" fillId="0" borderId="0" xfId="21" applyNumberFormat="1" applyFont="1" applyAlignment="1">
      <alignment horizontal="center" vertical="center"/>
    </xf>
    <xf numFmtId="180" fontId="31" fillId="0" borderId="0" xfId="21" applyNumberFormat="1" applyFont="1" applyAlignment="1">
      <alignment vertical="center"/>
    </xf>
    <xf numFmtId="3" fontId="31" fillId="0" borderId="2" xfId="21" applyNumberFormat="1" applyFont="1" applyBorder="1" applyAlignment="1">
      <alignment horizontal="center" vertical="center" wrapText="1"/>
    </xf>
    <xf numFmtId="0" fontId="31" fillId="0" borderId="2" xfId="21" applyFont="1" applyBorder="1" applyAlignment="1">
      <alignment horizontal="center" vertical="center"/>
    </xf>
    <xf numFmtId="0" fontId="31" fillId="0" borderId="3" xfId="21" applyFont="1" applyBorder="1" applyAlignment="1">
      <alignment horizontal="center" vertical="center"/>
    </xf>
    <xf numFmtId="1" fontId="16" fillId="0" borderId="0" xfId="21" applyNumberFormat="1" applyFont="1" applyAlignment="1">
      <alignment vertical="center"/>
    </xf>
    <xf numFmtId="3" fontId="32" fillId="0" borderId="22" xfId="21" applyNumberFormat="1" applyFont="1" applyBorder="1" applyAlignment="1">
      <alignment horizontal="left" vertical="center"/>
    </xf>
    <xf numFmtId="3" fontId="31" fillId="0" borderId="37" xfId="21" applyNumberFormat="1" applyFont="1" applyBorder="1" applyAlignment="1">
      <alignment horizontal="center" vertical="center" wrapText="1"/>
    </xf>
    <xf numFmtId="3" fontId="31" fillId="0" borderId="37" xfId="21" applyNumberFormat="1" applyFont="1" applyBorder="1" applyAlignment="1">
      <alignment horizontal="center" vertical="center"/>
    </xf>
    <xf numFmtId="165" fontId="31" fillId="0" borderId="38" xfId="21" applyNumberFormat="1" applyFont="1" applyBorder="1" applyAlignment="1">
      <alignment horizontal="center" vertical="center"/>
    </xf>
    <xf numFmtId="44" fontId="31" fillId="0" borderId="37" xfId="21" applyNumberFormat="1" applyFont="1" applyBorder="1" applyAlignment="1">
      <alignment horizontal="center" vertical="center"/>
    </xf>
    <xf numFmtId="1" fontId="32" fillId="0" borderId="0" xfId="21" applyNumberFormat="1" applyFont="1" applyAlignment="1">
      <alignment vertical="center"/>
    </xf>
    <xf numFmtId="1" fontId="32" fillId="0" borderId="0" xfId="21" applyNumberFormat="1" applyFont="1" applyAlignment="1">
      <alignment horizontal="center" vertical="center"/>
    </xf>
    <xf numFmtId="180" fontId="32" fillId="0" borderId="0" xfId="21" applyNumberFormat="1" applyFont="1" applyAlignment="1">
      <alignment vertical="center"/>
    </xf>
    <xf numFmtId="3" fontId="32" fillId="0" borderId="0" xfId="21" applyNumberFormat="1" applyFont="1" applyAlignment="1">
      <alignment vertical="center"/>
    </xf>
    <xf numFmtId="3" fontId="32" fillId="0" borderId="61" xfId="21" applyNumberFormat="1" applyFont="1" applyBorder="1" applyAlignment="1">
      <alignment horizontal="left" vertical="center"/>
    </xf>
    <xf numFmtId="3" fontId="31" fillId="0" borderId="36" xfId="21" applyNumberFormat="1" applyFont="1" applyBorder="1" applyAlignment="1">
      <alignment horizontal="center" vertical="center" wrapText="1"/>
    </xf>
    <xf numFmtId="3" fontId="31" fillId="0" borderId="36" xfId="21" applyNumberFormat="1" applyFont="1" applyBorder="1" applyAlignment="1">
      <alignment horizontal="center" vertical="center"/>
    </xf>
    <xf numFmtId="3" fontId="32" fillId="5" borderId="22" xfId="21" applyNumberFormat="1" applyFont="1" applyFill="1" applyBorder="1" applyAlignment="1">
      <alignment vertical="center"/>
    </xf>
    <xf numFmtId="3" fontId="32" fillId="5" borderId="22" xfId="21" applyNumberFormat="1" applyFont="1" applyFill="1" applyBorder="1" applyAlignment="1">
      <alignment vertical="center" wrapText="1"/>
    </xf>
    <xf numFmtId="3" fontId="32" fillId="5" borderId="61" xfId="21" applyNumberFormat="1" applyFont="1" applyFill="1" applyBorder="1" applyAlignment="1">
      <alignment vertical="center"/>
    </xf>
    <xf numFmtId="165" fontId="31" fillId="0" borderId="62" xfId="21" applyNumberFormat="1" applyFont="1" applyBorder="1" applyAlignment="1">
      <alignment horizontal="center" vertical="center"/>
    </xf>
    <xf numFmtId="3" fontId="32" fillId="5" borderId="19" xfId="21" applyNumberFormat="1" applyFont="1" applyFill="1" applyBorder="1" applyAlignment="1">
      <alignment vertical="center"/>
    </xf>
    <xf numFmtId="3" fontId="31" fillId="0" borderId="20" xfId="21" applyNumberFormat="1" applyFont="1" applyBorder="1" applyAlignment="1">
      <alignment horizontal="center" vertical="center" wrapText="1"/>
    </xf>
    <xf numFmtId="3" fontId="31" fillId="0" borderId="20" xfId="21" applyNumberFormat="1" applyFont="1" applyBorder="1" applyAlignment="1">
      <alignment horizontal="center" vertical="center"/>
    </xf>
    <xf numFmtId="165" fontId="31" fillId="0" borderId="21" xfId="21" applyNumberFormat="1" applyFont="1" applyBorder="1" applyAlignment="1">
      <alignment horizontal="center" vertical="center"/>
    </xf>
    <xf numFmtId="0" fontId="3" fillId="16" borderId="2" xfId="21" applyFont="1" applyFill="1" applyBorder="1" applyAlignment="1">
      <alignment horizontal="center" vertical="center" wrapText="1"/>
    </xf>
    <xf numFmtId="0" fontId="32" fillId="16" borderId="3" xfId="21" applyFont="1" applyFill="1" applyBorder="1" applyAlignment="1">
      <alignment horizontal="center" vertical="center" wrapText="1"/>
    </xf>
    <xf numFmtId="3" fontId="65" fillId="17" borderId="22" xfId="21" applyNumberFormat="1" applyFont="1" applyFill="1" applyBorder="1" applyAlignment="1">
      <alignment vertical="center" wrapText="1"/>
    </xf>
    <xf numFmtId="165" fontId="32" fillId="17" borderId="37" xfId="21" applyNumberFormat="1" applyFont="1" applyFill="1" applyBorder="1" applyAlignment="1">
      <alignment vertical="center"/>
    </xf>
    <xf numFmtId="0" fontId="32" fillId="17" borderId="37" xfId="21" applyFont="1" applyFill="1" applyBorder="1" applyAlignment="1">
      <alignment horizontal="center" vertical="center"/>
    </xf>
    <xf numFmtId="44" fontId="32" fillId="17" borderId="38" xfId="21" applyNumberFormat="1" applyFont="1" applyFill="1" applyBorder="1" applyAlignment="1">
      <alignment vertical="center"/>
    </xf>
    <xf numFmtId="165" fontId="32" fillId="17" borderId="38" xfId="21" applyNumberFormat="1" applyFont="1" applyFill="1" applyBorder="1" applyAlignment="1">
      <alignment vertical="center"/>
    </xf>
    <xf numFmtId="3" fontId="31" fillId="18" borderId="22" xfId="21" applyNumberFormat="1" applyFont="1" applyFill="1" applyBorder="1" applyAlignment="1">
      <alignment vertical="center" wrapText="1"/>
    </xf>
    <xf numFmtId="3" fontId="31" fillId="18" borderId="37" xfId="21" applyNumberFormat="1" applyFont="1" applyFill="1" applyBorder="1" applyAlignment="1">
      <alignment vertical="center"/>
    </xf>
    <xf numFmtId="9" fontId="32" fillId="18" borderId="37" xfId="21" applyNumberFormat="1" applyFont="1" applyFill="1" applyBorder="1" applyAlignment="1">
      <alignment vertical="center"/>
    </xf>
    <xf numFmtId="165" fontId="32" fillId="19" borderId="38" xfId="21" applyNumberFormat="1" applyFont="1" applyFill="1" applyBorder="1" applyAlignment="1">
      <alignment vertical="center"/>
    </xf>
    <xf numFmtId="3" fontId="32" fillId="10" borderId="22" xfId="21" applyNumberFormat="1" applyFont="1" applyFill="1" applyBorder="1" applyAlignment="1">
      <alignment vertical="center" wrapText="1"/>
    </xf>
    <xf numFmtId="3" fontId="31" fillId="10" borderId="37" xfId="21" applyNumberFormat="1" applyFont="1" applyFill="1" applyBorder="1" applyAlignment="1">
      <alignment vertical="center"/>
    </xf>
    <xf numFmtId="4" fontId="31" fillId="10" borderId="37" xfId="21" applyNumberFormat="1" applyFont="1" applyFill="1" applyBorder="1" applyAlignment="1">
      <alignment horizontal="center" vertical="center"/>
    </xf>
    <xf numFmtId="3" fontId="31" fillId="10" borderId="38" xfId="21" applyNumberFormat="1" applyFont="1" applyFill="1" applyBorder="1" applyAlignment="1">
      <alignment vertical="center"/>
    </xf>
    <xf numFmtId="3" fontId="31" fillId="10" borderId="19" xfId="21" applyNumberFormat="1" applyFont="1" applyFill="1" applyBorder="1" applyAlignment="1">
      <alignment vertical="center"/>
    </xf>
    <xf numFmtId="3" fontId="31" fillId="10" borderId="20" xfId="21" applyNumberFormat="1" applyFont="1" applyFill="1" applyBorder="1" applyAlignment="1">
      <alignment vertical="center"/>
    </xf>
    <xf numFmtId="4" fontId="31" fillId="10" borderId="20" xfId="21" applyNumberFormat="1" applyFont="1" applyFill="1" applyBorder="1" applyAlignment="1">
      <alignment horizontal="center" vertical="center"/>
    </xf>
    <xf numFmtId="3" fontId="31" fillId="10" borderId="21" xfId="21" applyNumberFormat="1" applyFont="1" applyFill="1" applyBorder="1" applyAlignment="1">
      <alignment vertical="center"/>
    </xf>
    <xf numFmtId="42" fontId="32" fillId="0" borderId="0" xfId="1" applyFont="1" applyAlignment="1">
      <alignment vertical="center"/>
    </xf>
    <xf numFmtId="3" fontId="31" fillId="18" borderId="0" xfId="21" applyNumberFormat="1" applyFont="1" applyFill="1" applyAlignment="1">
      <alignment vertical="center"/>
    </xf>
    <xf numFmtId="3" fontId="32" fillId="10" borderId="37" xfId="21" applyNumberFormat="1" applyFont="1" applyFill="1" applyBorder="1" applyAlignment="1">
      <alignment vertical="center" wrapText="1"/>
    </xf>
    <xf numFmtId="3" fontId="32" fillId="10" borderId="37" xfId="21" applyNumberFormat="1" applyFont="1" applyFill="1" applyBorder="1" applyAlignment="1">
      <alignment vertical="center"/>
    </xf>
    <xf numFmtId="3" fontId="32" fillId="11" borderId="0" xfId="21" applyNumberFormat="1" applyFont="1" applyFill="1" applyAlignment="1">
      <alignment vertical="center"/>
    </xf>
    <xf numFmtId="0" fontId="31" fillId="0" borderId="22" xfId="21" applyFont="1" applyBorder="1" applyAlignment="1">
      <alignment vertical="center"/>
    </xf>
    <xf numFmtId="0" fontId="31" fillId="0" borderId="19" xfId="21" applyFont="1" applyBorder="1" applyAlignment="1">
      <alignment vertical="center"/>
    </xf>
    <xf numFmtId="1" fontId="66" fillId="0" borderId="0" xfId="21" applyNumberFormat="1" applyFont="1" applyAlignment="1">
      <alignment vertical="center"/>
    </xf>
    <xf numFmtId="186" fontId="31" fillId="0" borderId="0" xfId="21" applyNumberFormat="1" applyFont="1" applyAlignment="1">
      <alignment vertical="center" wrapText="1"/>
    </xf>
    <xf numFmtId="0" fontId="32" fillId="0" borderId="0" xfId="21" applyFont="1" applyAlignment="1">
      <alignment vertical="center" wrapText="1"/>
    </xf>
    <xf numFmtId="0" fontId="32" fillId="0" borderId="0" xfId="21" applyFont="1" applyAlignment="1">
      <alignment horizontal="center" vertical="center"/>
    </xf>
    <xf numFmtId="0" fontId="32" fillId="0" borderId="0" xfId="21" applyFont="1" applyAlignment="1">
      <alignment vertical="center"/>
    </xf>
    <xf numFmtId="3" fontId="65" fillId="0" borderId="0" xfId="21" applyNumberFormat="1" applyFont="1" applyAlignment="1">
      <alignment vertical="center"/>
    </xf>
    <xf numFmtId="3" fontId="66" fillId="0" borderId="0" xfId="21" applyNumberFormat="1" applyFont="1" applyAlignment="1">
      <alignment vertical="center"/>
    </xf>
    <xf numFmtId="3" fontId="31" fillId="0" borderId="0" xfId="21" applyNumberFormat="1" applyFont="1" applyAlignment="1">
      <alignment horizontal="center" vertical="center"/>
    </xf>
    <xf numFmtId="0" fontId="0" fillId="4" borderId="0" xfId="0" applyFill="1" applyAlignment="1">
      <alignment vertical="center"/>
    </xf>
    <xf numFmtId="0" fontId="0" fillId="4" borderId="0" xfId="0" applyFill="1" applyAlignment="1">
      <alignment horizontal="justify" vertical="center" wrapText="1"/>
    </xf>
    <xf numFmtId="0" fontId="0" fillId="4" borderId="0" xfId="0" applyFill="1" applyAlignment="1">
      <alignment horizontal="center" vertical="center"/>
    </xf>
    <xf numFmtId="42" fontId="0" fillId="4" borderId="0" xfId="1" applyFont="1" applyFill="1" applyAlignment="1">
      <alignment horizontal="center" vertical="center" wrapText="1"/>
    </xf>
    <xf numFmtId="42" fontId="0" fillId="0" borderId="0" xfId="1" applyFont="1" applyAlignment="1">
      <alignment horizontal="center" vertical="center"/>
    </xf>
    <xf numFmtId="0" fontId="0" fillId="0" borderId="0" xfId="0" applyAlignment="1">
      <alignment vertical="center"/>
    </xf>
    <xf numFmtId="44" fontId="0" fillId="0" borderId="0" xfId="20" applyFont="1" applyAlignment="1">
      <alignment horizontal="center" vertical="center"/>
    </xf>
    <xf numFmtId="42" fontId="0" fillId="0" borderId="0" xfId="1" applyFont="1" applyAlignment="1">
      <alignment vertical="center"/>
    </xf>
    <xf numFmtId="0" fontId="0" fillId="10" borderId="0" xfId="0" applyFill="1"/>
    <xf numFmtId="0" fontId="0" fillId="10" borderId="0" xfId="0" applyFill="1" applyAlignment="1">
      <alignment horizontal="justify"/>
    </xf>
    <xf numFmtId="0" fontId="0" fillId="10" borderId="0" xfId="0" applyFill="1" applyAlignment="1">
      <alignment horizontal="center" vertical="center"/>
    </xf>
    <xf numFmtId="42" fontId="0" fillId="10" borderId="0" xfId="1" applyFont="1" applyFill="1" applyAlignment="1">
      <alignment vertical="center"/>
    </xf>
    <xf numFmtId="42" fontId="0" fillId="3" borderId="0" xfId="1" applyFont="1" applyFill="1" applyAlignment="1">
      <alignment vertical="center"/>
    </xf>
    <xf numFmtId="44" fontId="0" fillId="0" borderId="0" xfId="20" applyFont="1"/>
    <xf numFmtId="42" fontId="0" fillId="0" borderId="0" xfId="1" applyFont="1"/>
    <xf numFmtId="0" fontId="0" fillId="3" borderId="0" xfId="0" applyFill="1"/>
    <xf numFmtId="0" fontId="0" fillId="3" borderId="0" xfId="0" applyFill="1" applyAlignment="1">
      <alignment horizontal="justify"/>
    </xf>
    <xf numFmtId="0" fontId="0" fillId="3" borderId="0" xfId="0" applyFill="1" applyAlignment="1">
      <alignment horizontal="center" vertical="center"/>
    </xf>
    <xf numFmtId="0" fontId="0" fillId="21" borderId="0" xfId="0" applyFill="1"/>
    <xf numFmtId="0" fontId="0" fillId="21" borderId="0" xfId="0" applyFill="1" applyAlignment="1">
      <alignment horizontal="justify"/>
    </xf>
    <xf numFmtId="0" fontId="0" fillId="21" borderId="0" xfId="0" applyFill="1" applyAlignment="1">
      <alignment horizontal="center" vertical="center"/>
    </xf>
    <xf numFmtId="42" fontId="0" fillId="21" borderId="0" xfId="1" applyFont="1" applyFill="1" applyAlignment="1">
      <alignment vertical="center"/>
    </xf>
    <xf numFmtId="42" fontId="0" fillId="21" borderId="0" xfId="1" applyFont="1" applyFill="1"/>
    <xf numFmtId="42" fontId="0" fillId="3" borderId="0" xfId="1" applyFont="1" applyFill="1"/>
    <xf numFmtId="42" fontId="0" fillId="3" borderId="0" xfId="1" applyFont="1" applyFill="1" applyAlignment="1">
      <alignment horizontal="center" vertical="center"/>
    </xf>
    <xf numFmtId="0" fontId="0" fillId="22" borderId="0" xfId="0" applyFill="1"/>
    <xf numFmtId="0" fontId="0" fillId="22" borderId="0" xfId="0" applyFill="1" applyAlignment="1">
      <alignment horizontal="justify"/>
    </xf>
    <xf numFmtId="0" fontId="0" fillId="22" borderId="0" xfId="0" applyFill="1" applyAlignment="1">
      <alignment horizontal="center" vertical="center"/>
    </xf>
    <xf numFmtId="42" fontId="0" fillId="22" borderId="0" xfId="1" applyFont="1" applyFill="1" applyAlignment="1">
      <alignment vertical="center"/>
    </xf>
    <xf numFmtId="0" fontId="67" fillId="21" borderId="0" xfId="0" applyFont="1" applyFill="1"/>
    <xf numFmtId="0" fontId="67" fillId="21" borderId="0" xfId="0" applyFont="1" applyFill="1" applyAlignment="1">
      <alignment horizontal="justify"/>
    </xf>
    <xf numFmtId="0" fontId="67" fillId="21" borderId="0" xfId="0" applyFont="1" applyFill="1" applyAlignment="1">
      <alignment horizontal="center" vertical="center"/>
    </xf>
    <xf numFmtId="42" fontId="67" fillId="21" borderId="0" xfId="1" applyFont="1" applyFill="1" applyAlignment="1">
      <alignment vertical="center"/>
    </xf>
    <xf numFmtId="187" fontId="69" fillId="0" borderId="69" xfId="10" applyNumberFormat="1" applyFont="1" applyBorder="1" applyAlignment="1">
      <alignment vertical="center"/>
    </xf>
    <xf numFmtId="0" fontId="67" fillId="2" borderId="0" xfId="0" applyFont="1" applyFill="1" applyAlignment="1">
      <alignment horizontal="justify"/>
    </xf>
    <xf numFmtId="0" fontId="67" fillId="2" borderId="0" xfId="0" applyFont="1" applyFill="1"/>
    <xf numFmtId="0" fontId="67" fillId="2" borderId="0" xfId="0" applyFont="1" applyFill="1" applyAlignment="1">
      <alignment horizontal="center" vertical="center"/>
    </xf>
    <xf numFmtId="42" fontId="67" fillId="2" borderId="0" xfId="1" applyFont="1" applyFill="1" applyAlignment="1">
      <alignment vertical="center"/>
    </xf>
    <xf numFmtId="42" fontId="0" fillId="2" borderId="0" xfId="1" applyFont="1" applyFill="1" applyAlignment="1">
      <alignment vertical="center"/>
    </xf>
    <xf numFmtId="0" fontId="0" fillId="0" borderId="0" xfId="0" applyAlignment="1">
      <alignment horizontal="justify"/>
    </xf>
    <xf numFmtId="0" fontId="59" fillId="0" borderId="0" xfId="0" applyNumberFormat="1" applyFont="1" applyAlignment="1">
      <alignment horizontal="justify" vertical="top" wrapText="1"/>
    </xf>
    <xf numFmtId="0" fontId="0" fillId="8" borderId="0" xfId="0" applyFill="1"/>
    <xf numFmtId="0" fontId="0" fillId="2" borderId="0" xfId="0" applyFill="1"/>
    <xf numFmtId="0" fontId="59" fillId="5" borderId="0" xfId="0" applyNumberFormat="1" applyFont="1" applyFill="1" applyBorder="1" applyAlignment="1">
      <alignment horizontal="justify" vertical="center" wrapText="1"/>
    </xf>
    <xf numFmtId="0" fontId="59" fillId="5" borderId="0" xfId="0" applyNumberFormat="1" applyFont="1" applyFill="1" applyBorder="1" applyAlignment="1">
      <alignment horizontal="center" vertical="center" wrapText="1"/>
    </xf>
    <xf numFmtId="0" fontId="2" fillId="0" borderId="37"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left" vertical="center" wrapText="1"/>
    </xf>
    <xf numFmtId="0" fontId="0" fillId="2" borderId="0" xfId="0" applyFill="1" applyAlignment="1">
      <alignment horizontal="justify"/>
    </xf>
    <xf numFmtId="0" fontId="0" fillId="2" borderId="0" xfId="0" applyFill="1" applyAlignment="1">
      <alignment horizontal="center" vertical="center"/>
    </xf>
    <xf numFmtId="0" fontId="59" fillId="5" borderId="0" xfId="0" applyNumberFormat="1" applyFont="1" applyFill="1" applyBorder="1" applyAlignment="1">
      <alignment horizontal="justify" vertical="center" wrapText="1" readingOrder="1"/>
    </xf>
    <xf numFmtId="0" fontId="0" fillId="2" borderId="0" xfId="0" applyFill="1" applyAlignment="1">
      <alignment horizontal="center" vertical="center" wrapText="1"/>
    </xf>
    <xf numFmtId="44" fontId="0" fillId="2" borderId="0" xfId="1" applyNumberFormat="1" applyFont="1" applyFill="1" applyAlignment="1">
      <alignment vertical="center"/>
    </xf>
    <xf numFmtId="0" fontId="0" fillId="2" borderId="0" xfId="0" applyFill="1" applyAlignment="1">
      <alignment horizontal="justify" wrapText="1"/>
    </xf>
    <xf numFmtId="0" fontId="2" fillId="2" borderId="70" xfId="0" applyNumberFormat="1" applyFont="1" applyFill="1" applyBorder="1" applyAlignment="1" applyProtection="1">
      <alignment vertical="top" wrapText="1"/>
    </xf>
    <xf numFmtId="0" fontId="2" fillId="2" borderId="0" xfId="0" applyNumberFormat="1" applyFont="1" applyFill="1" applyBorder="1" applyAlignment="1" applyProtection="1">
      <alignment vertical="top" wrapText="1"/>
    </xf>
    <xf numFmtId="0" fontId="2" fillId="0" borderId="0" xfId="0" applyNumberFormat="1" applyFont="1" applyFill="1" applyBorder="1" applyAlignment="1" applyProtection="1">
      <alignment vertical="top" wrapText="1"/>
    </xf>
    <xf numFmtId="0" fontId="0" fillId="0" borderId="0" xfId="0" applyFill="1"/>
    <xf numFmtId="0" fontId="2" fillId="0" borderId="0" xfId="0" applyFont="1" applyFill="1"/>
    <xf numFmtId="0" fontId="0" fillId="0" borderId="0" xfId="0" applyFont="1" applyFill="1"/>
    <xf numFmtId="0" fontId="2" fillId="0" borderId="0" xfId="0" applyFont="1"/>
    <xf numFmtId="0" fontId="0" fillId="0" borderId="0" xfId="0" applyAlignment="1">
      <alignment horizontal="left"/>
    </xf>
    <xf numFmtId="42" fontId="0" fillId="23" borderId="0" xfId="1" applyFont="1" applyFill="1" applyAlignment="1">
      <alignment vertical="center"/>
    </xf>
    <xf numFmtId="0" fontId="59" fillId="5" borderId="47" xfId="0" applyNumberFormat="1" applyFont="1" applyFill="1" applyBorder="1" applyAlignment="1">
      <alignment vertical="center" wrapText="1" readingOrder="1"/>
    </xf>
    <xf numFmtId="0" fontId="59" fillId="0" borderId="47" xfId="0" applyNumberFormat="1" applyFont="1" applyBorder="1" applyAlignment="1">
      <alignment horizontal="left" vertical="center" wrapText="1" readingOrder="1"/>
    </xf>
    <xf numFmtId="188" fontId="0" fillId="0" borderId="0" xfId="20" applyNumberFormat="1" applyFont="1"/>
    <xf numFmtId="0" fontId="2" fillId="0" borderId="37" xfId="0" applyNumberFormat="1" applyFont="1" applyFill="1" applyBorder="1" applyAlignment="1" applyProtection="1">
      <alignment horizontal="center" vertical="center"/>
    </xf>
    <xf numFmtId="177" fontId="2" fillId="0" borderId="37" xfId="0" applyNumberFormat="1" applyFont="1" applyFill="1" applyBorder="1" applyAlignment="1" applyProtection="1">
      <alignment horizontal="right" vertical="center"/>
    </xf>
    <xf numFmtId="41" fontId="0" fillId="0" borderId="0" xfId="19" applyFont="1" applyAlignment="1">
      <alignment vertical="center"/>
    </xf>
    <xf numFmtId="44" fontId="0" fillId="0" borderId="0" xfId="0" applyNumberFormat="1"/>
    <xf numFmtId="10" fontId="0" fillId="0" borderId="0" xfId="1" applyNumberFormat="1" applyFont="1" applyAlignment="1">
      <alignment horizontal="center" vertical="center"/>
    </xf>
    <xf numFmtId="0" fontId="2" fillId="0" borderId="70" xfId="0" applyNumberFormat="1" applyFont="1" applyFill="1" applyBorder="1" applyAlignment="1" applyProtection="1">
      <alignment vertical="top" wrapText="1"/>
    </xf>
    <xf numFmtId="0" fontId="22" fillId="5" borderId="71" xfId="0" applyFont="1" applyFill="1" applyBorder="1" applyAlignment="1">
      <alignment horizontal="justify" vertical="top" wrapText="1"/>
    </xf>
    <xf numFmtId="0" fontId="22" fillId="5" borderId="71" xfId="8" applyFont="1" applyFill="1" applyBorder="1" applyAlignment="1">
      <alignment horizontal="center" vertical="center"/>
    </xf>
    <xf numFmtId="4" fontId="22" fillId="5" borderId="71" xfId="8" applyNumberFormat="1" applyFont="1" applyFill="1" applyBorder="1" applyAlignment="1">
      <alignment horizontal="center" vertical="center"/>
    </xf>
    <xf numFmtId="42" fontId="18" fillId="0" borderId="71" xfId="1" applyFont="1" applyBorder="1" applyAlignment="1">
      <alignment horizontal="center" vertical="center"/>
    </xf>
    <xf numFmtId="0" fontId="22" fillId="0" borderId="71" xfId="0" applyFont="1" applyFill="1" applyBorder="1" applyAlignment="1">
      <alignment horizontal="justify" vertical="top" wrapText="1"/>
    </xf>
    <xf numFmtId="3" fontId="22" fillId="0" borderId="71" xfId="0" applyNumberFormat="1" applyFont="1" applyFill="1" applyBorder="1" applyAlignment="1">
      <alignment horizontal="center" vertical="center" wrapText="1"/>
    </xf>
    <xf numFmtId="4" fontId="22" fillId="5" borderId="71" xfId="0" applyNumberFormat="1" applyFont="1" applyFill="1" applyBorder="1" applyAlignment="1">
      <alignment horizontal="center" vertical="center" wrapText="1"/>
    </xf>
    <xf numFmtId="0" fontId="22" fillId="5" borderId="5" xfId="0" applyFont="1" applyFill="1" applyBorder="1" applyAlignment="1">
      <alignment horizontal="justify" vertical="justify" wrapText="1"/>
    </xf>
    <xf numFmtId="4" fontId="22" fillId="0" borderId="71" xfId="0" applyNumberFormat="1" applyFont="1" applyFill="1" applyBorder="1" applyAlignment="1">
      <alignment horizontal="center" vertical="center" wrapText="1"/>
    </xf>
    <xf numFmtId="0" fontId="22" fillId="5" borderId="71" xfId="0" applyFont="1" applyFill="1" applyBorder="1" applyAlignment="1">
      <alignment horizontal="justify" vertical="justify" wrapText="1"/>
    </xf>
    <xf numFmtId="3" fontId="22" fillId="5" borderId="71" xfId="0" applyNumberFormat="1" applyFont="1" applyFill="1" applyBorder="1" applyAlignment="1">
      <alignment horizontal="center" vertical="center" wrapText="1"/>
    </xf>
    <xf numFmtId="0" fontId="22" fillId="0" borderId="71" xfId="0" applyFont="1" applyFill="1" applyBorder="1" applyAlignment="1">
      <alignment horizontal="justify" vertical="center" wrapText="1"/>
    </xf>
    <xf numFmtId="0" fontId="70" fillId="9" borderId="22" xfId="0" applyFont="1" applyFill="1" applyBorder="1" applyAlignment="1">
      <alignment horizontal="center" vertical="center"/>
    </xf>
    <xf numFmtId="0" fontId="70" fillId="9" borderId="5" xfId="0" applyFont="1" applyFill="1" applyBorder="1"/>
    <xf numFmtId="0" fontId="70" fillId="9" borderId="5" xfId="0" applyFont="1" applyFill="1" applyBorder="1" applyAlignment="1">
      <alignment horizontal="center" vertical="center"/>
    </xf>
    <xf numFmtId="42" fontId="18" fillId="9" borderId="5" xfId="1" applyFont="1" applyFill="1" applyBorder="1" applyAlignment="1">
      <alignment horizontal="center" vertical="center"/>
    </xf>
    <xf numFmtId="167" fontId="60" fillId="3" borderId="42" xfId="1" applyNumberFormat="1" applyFont="1" applyFill="1" applyBorder="1" applyAlignment="1">
      <alignment horizontal="center" vertical="center" wrapText="1"/>
    </xf>
    <xf numFmtId="3" fontId="60" fillId="3" borderId="42" xfId="0" applyNumberFormat="1" applyFont="1" applyFill="1" applyBorder="1" applyAlignment="1">
      <alignment horizontal="center" vertical="center" wrapText="1"/>
    </xf>
    <xf numFmtId="42" fontId="18" fillId="5" borderId="5" xfId="1" applyFont="1" applyFill="1" applyBorder="1" applyAlignment="1">
      <alignment horizontal="center" vertical="center"/>
    </xf>
    <xf numFmtId="186" fontId="31" fillId="0" borderId="0" xfId="21" applyNumberFormat="1" applyFont="1" applyAlignment="1">
      <alignment vertical="center"/>
    </xf>
    <xf numFmtId="3" fontId="59" fillId="5" borderId="47" xfId="0" applyNumberFormat="1" applyFont="1" applyFill="1" applyBorder="1" applyAlignment="1">
      <alignment horizontal="justify" vertical="center" wrapText="1"/>
    </xf>
    <xf numFmtId="44" fontId="59" fillId="5" borderId="48" xfId="1" applyNumberFormat="1" applyFont="1" applyFill="1" applyBorder="1" applyAlignment="1">
      <alignment horizontal="center" vertical="center" wrapText="1"/>
    </xf>
    <xf numFmtId="1" fontId="59" fillId="5" borderId="48" xfId="0" applyNumberFormat="1" applyFont="1" applyFill="1" applyBorder="1" applyAlignment="1">
      <alignment horizontal="center" vertical="center" wrapText="1"/>
    </xf>
    <xf numFmtId="42" fontId="18" fillId="5" borderId="37" xfId="1" applyFont="1" applyFill="1" applyBorder="1" applyAlignment="1">
      <alignment horizontal="center" vertical="center"/>
    </xf>
    <xf numFmtId="0" fontId="31" fillId="14" borderId="71" xfId="14" applyFont="1" applyFill="1" applyBorder="1" applyAlignment="1">
      <alignment vertical="center"/>
    </xf>
    <xf numFmtId="176" fontId="33" fillId="14" borderId="71" xfId="14" applyNumberFormat="1" applyFont="1" applyFill="1" applyBorder="1"/>
    <xf numFmtId="4" fontId="59" fillId="0" borderId="48" xfId="0" applyNumberFormat="1" applyFont="1" applyBorder="1" applyAlignment="1">
      <alignment horizontal="center" vertical="center" wrapText="1"/>
    </xf>
    <xf numFmtId="1" fontId="59" fillId="5" borderId="47" xfId="0" applyNumberFormat="1" applyFont="1" applyFill="1" applyBorder="1" applyAlignment="1">
      <alignment horizontal="justify" vertical="center" wrapText="1"/>
    </xf>
    <xf numFmtId="0" fontId="62" fillId="0" borderId="47" xfId="0" applyFont="1" applyBorder="1" applyAlignment="1">
      <alignment horizontal="left" vertical="center" wrapText="1"/>
    </xf>
    <xf numFmtId="0" fontId="62" fillId="0" borderId="48" xfId="0" applyFont="1" applyBorder="1" applyAlignment="1">
      <alignment horizontal="center" vertical="center" wrapText="1"/>
    </xf>
    <xf numFmtId="0" fontId="59" fillId="0" borderId="47" xfId="0" applyFont="1" applyBorder="1" applyAlignment="1">
      <alignment horizontal="left" vertical="center" wrapText="1"/>
    </xf>
    <xf numFmtId="0" fontId="59" fillId="0" borderId="48" xfId="0" applyFont="1" applyBorder="1" applyAlignment="1">
      <alignment horizontal="center" vertical="center" wrapText="1"/>
    </xf>
    <xf numFmtId="0" fontId="59" fillId="0" borderId="49" xfId="0" applyFont="1" applyBorder="1" applyAlignment="1">
      <alignment horizontal="left" vertical="center" wrapText="1"/>
    </xf>
    <xf numFmtId="0" fontId="59" fillId="0" borderId="50" xfId="0" applyFont="1" applyBorder="1" applyAlignment="1">
      <alignment horizontal="center" vertical="center" wrapText="1"/>
    </xf>
    <xf numFmtId="3" fontId="59" fillId="5" borderId="47" xfId="0" applyNumberFormat="1" applyFont="1" applyFill="1" applyBorder="1" applyAlignment="1">
      <alignment vertical="center" wrapText="1"/>
    </xf>
    <xf numFmtId="10" fontId="2" fillId="11" borderId="5" xfId="2" applyNumberFormat="1" applyFont="1" applyFill="1" applyBorder="1" applyAlignment="1" applyProtection="1">
      <alignment horizontal="center" vertical="center"/>
    </xf>
    <xf numFmtId="0" fontId="19" fillId="8" borderId="2" xfId="0" applyFont="1" applyFill="1" applyBorder="1" applyAlignment="1">
      <alignment vertical="center"/>
    </xf>
    <xf numFmtId="4" fontId="22" fillId="0" borderId="72" xfId="0" applyNumberFormat="1" applyFont="1" applyFill="1" applyBorder="1" applyAlignment="1">
      <alignment horizontal="center" vertical="center" wrapText="1"/>
    </xf>
    <xf numFmtId="0" fontId="22" fillId="5" borderId="72" xfId="8" applyFont="1" applyFill="1" applyBorder="1" applyAlignment="1">
      <alignment horizontal="justify" vertical="top"/>
    </xf>
    <xf numFmtId="0" fontId="22" fillId="5" borderId="72" xfId="8" applyFont="1" applyFill="1" applyBorder="1" applyAlignment="1">
      <alignment horizontal="center" vertical="center"/>
    </xf>
    <xf numFmtId="0" fontId="18" fillId="0" borderId="73" xfId="0" applyFont="1" applyBorder="1" applyAlignment="1">
      <alignment horizontal="center" vertical="center"/>
    </xf>
    <xf numFmtId="4" fontId="22" fillId="5" borderId="74" xfId="8" applyNumberFormat="1" applyFont="1" applyFill="1" applyBorder="1" applyAlignment="1">
      <alignment horizontal="center" vertical="center"/>
    </xf>
    <xf numFmtId="42" fontId="18" fillId="5" borderId="74" xfId="1" applyFont="1" applyFill="1" applyBorder="1" applyAlignment="1">
      <alignment horizontal="center" vertical="center"/>
    </xf>
    <xf numFmtId="0" fontId="22" fillId="0" borderId="74" xfId="0" applyFont="1" applyFill="1" applyBorder="1" applyAlignment="1">
      <alignment horizontal="justify" vertical="top" wrapText="1"/>
    </xf>
    <xf numFmtId="3" fontId="22" fillId="0" borderId="74" xfId="0" applyNumberFormat="1" applyFont="1" applyFill="1" applyBorder="1" applyAlignment="1">
      <alignment horizontal="center" vertical="center" wrapText="1"/>
    </xf>
    <xf numFmtId="4" fontId="22" fillId="0" borderId="74" xfId="0" applyNumberFormat="1" applyFont="1" applyFill="1" applyBorder="1" applyAlignment="1">
      <alignment horizontal="center" vertical="center" wrapText="1"/>
    </xf>
    <xf numFmtId="0" fontId="21" fillId="9" borderId="22" xfId="0" applyFont="1" applyFill="1" applyBorder="1" applyAlignment="1">
      <alignment horizontal="center"/>
    </xf>
    <xf numFmtId="0" fontId="21" fillId="9" borderId="5" xfId="0" applyFont="1" applyFill="1" applyBorder="1" applyAlignment="1">
      <alignment horizontal="center"/>
    </xf>
    <xf numFmtId="42" fontId="20" fillId="9" borderId="5" xfId="1" applyFont="1" applyFill="1" applyBorder="1" applyAlignment="1">
      <alignment horizontal="center"/>
    </xf>
    <xf numFmtId="0" fontId="0" fillId="0" borderId="0" xfId="0" applyAlignment="1"/>
    <xf numFmtId="0" fontId="21" fillId="9" borderId="5" xfId="0" applyFont="1" applyFill="1" applyBorder="1" applyAlignment="1">
      <alignment vertical="top"/>
    </xf>
    <xf numFmtId="0" fontId="31" fillId="14" borderId="74" xfId="14" applyFont="1" applyFill="1" applyBorder="1" applyAlignment="1">
      <alignment vertical="center"/>
    </xf>
    <xf numFmtId="176" fontId="33" fillId="14" borderId="74" xfId="14" applyNumberFormat="1" applyFont="1" applyFill="1" applyBorder="1"/>
    <xf numFmtId="182" fontId="71" fillId="5" borderId="48" xfId="0" applyNumberFormat="1" applyFont="1" applyFill="1" applyBorder="1" applyAlignment="1">
      <alignment horizontal="center" vertical="center" wrapText="1"/>
    </xf>
    <xf numFmtId="42" fontId="18" fillId="0" borderId="74" xfId="1" applyFont="1" applyBorder="1" applyAlignment="1">
      <alignment horizontal="center" vertical="center"/>
    </xf>
    <xf numFmtId="0" fontId="22" fillId="5" borderId="74" xfId="0" applyFont="1" applyFill="1" applyBorder="1" applyAlignment="1">
      <alignment horizontal="justify" vertical="top" wrapText="1"/>
    </xf>
    <xf numFmtId="3" fontId="22" fillId="5" borderId="74" xfId="0" applyNumberFormat="1" applyFont="1" applyFill="1" applyBorder="1" applyAlignment="1">
      <alignment horizontal="center" vertical="center" wrapText="1"/>
    </xf>
    <xf numFmtId="4" fontId="22" fillId="5" borderId="74" xfId="0" applyNumberFormat="1" applyFont="1" applyFill="1" applyBorder="1" applyAlignment="1">
      <alignment horizontal="center" vertical="center" wrapText="1"/>
    </xf>
    <xf numFmtId="42" fontId="19" fillId="8" borderId="2" xfId="1" applyFont="1" applyFill="1" applyBorder="1" applyAlignment="1">
      <alignment horizontal="center" vertical="center"/>
    </xf>
    <xf numFmtId="42" fontId="19" fillId="8" borderId="3" xfId="1" applyFont="1" applyFill="1" applyBorder="1" applyAlignment="1">
      <alignment horizontal="center" vertical="center"/>
    </xf>
    <xf numFmtId="42" fontId="20" fillId="9" borderId="75" xfId="1" applyFont="1" applyFill="1" applyBorder="1" applyAlignment="1">
      <alignment horizontal="center" vertical="center"/>
    </xf>
    <xf numFmtId="42" fontId="18" fillId="0" borderId="75" xfId="1" applyFont="1" applyBorder="1" applyAlignment="1">
      <alignment horizontal="center" vertical="center"/>
    </xf>
    <xf numFmtId="42" fontId="20" fillId="9" borderId="75" xfId="1" applyFont="1" applyFill="1" applyBorder="1" applyAlignment="1">
      <alignment horizontal="center"/>
    </xf>
    <xf numFmtId="42" fontId="18" fillId="9" borderId="75" xfId="1" applyFont="1" applyFill="1" applyBorder="1" applyAlignment="1">
      <alignment horizontal="center" vertical="center"/>
    </xf>
    <xf numFmtId="42" fontId="18" fillId="5" borderId="75" xfId="1" applyFont="1" applyFill="1" applyBorder="1" applyAlignment="1">
      <alignment horizontal="center" vertical="center"/>
    </xf>
    <xf numFmtId="166" fontId="24" fillId="0" borderId="14" xfId="1" applyNumberFormat="1" applyFont="1" applyBorder="1" applyAlignment="1">
      <alignment horizontal="center" vertical="center"/>
    </xf>
    <xf numFmtId="44" fontId="24" fillId="0" borderId="14" xfId="1" applyNumberFormat="1" applyFont="1" applyBorder="1" applyAlignment="1">
      <alignment horizontal="center" vertical="center"/>
    </xf>
    <xf numFmtId="42" fontId="60" fillId="11" borderId="41" xfId="1" applyFont="1" applyFill="1" applyBorder="1" applyAlignment="1">
      <alignment horizontal="right" vertical="center" wrapText="1"/>
    </xf>
    <xf numFmtId="42" fontId="59" fillId="11" borderId="48" xfId="1" applyFont="1" applyFill="1" applyBorder="1" applyAlignment="1">
      <alignment horizontal="center" vertical="center" wrapText="1"/>
    </xf>
    <xf numFmtId="0" fontId="19" fillId="8" borderId="80" xfId="0" applyFont="1" applyFill="1" applyBorder="1" applyAlignment="1">
      <alignment horizontal="center" vertical="center" wrapText="1"/>
    </xf>
    <xf numFmtId="0" fontId="0" fillId="0" borderId="0" xfId="0"/>
    <xf numFmtId="0" fontId="0" fillId="0" borderId="0" xfId="0" applyAlignment="1">
      <alignment horizontal="center" vertical="center"/>
    </xf>
    <xf numFmtId="42" fontId="0" fillId="0" borderId="0" xfId="0" applyNumberFormat="1" applyAlignment="1">
      <alignment horizontal="center" vertical="center"/>
    </xf>
    <xf numFmtId="2" fontId="0" fillId="0" borderId="85" xfId="0" applyNumberFormat="1" applyBorder="1" applyAlignment="1">
      <alignment horizontal="center" vertical="center"/>
    </xf>
    <xf numFmtId="0" fontId="0" fillId="0" borderId="83" xfId="0" applyBorder="1" applyAlignment="1">
      <alignment horizontal="justify" vertical="center" wrapText="1"/>
    </xf>
    <xf numFmtId="0" fontId="19" fillId="8" borderId="79" xfId="0" applyFont="1" applyFill="1" applyBorder="1" applyAlignment="1">
      <alignment horizontal="center" vertical="center"/>
    </xf>
    <xf numFmtId="0" fontId="0" fillId="0" borderId="83" xfId="0" applyBorder="1" applyAlignment="1">
      <alignment horizontal="center" vertical="center"/>
    </xf>
    <xf numFmtId="42" fontId="0" fillId="0" borderId="86" xfId="0" applyNumberFormat="1" applyBorder="1" applyAlignment="1">
      <alignment horizontal="center" vertical="center"/>
    </xf>
    <xf numFmtId="42" fontId="19" fillId="8" borderId="80" xfId="25" applyFont="1" applyFill="1" applyBorder="1" applyAlignment="1">
      <alignment horizontal="center" vertical="center" wrapText="1"/>
    </xf>
    <xf numFmtId="0" fontId="0" fillId="0" borderId="82" xfId="0" applyBorder="1" applyAlignment="1">
      <alignment horizontal="center" vertical="center"/>
    </xf>
    <xf numFmtId="3" fontId="0" fillId="0" borderId="86" xfId="0" applyNumberFormat="1" applyBorder="1" applyAlignment="1">
      <alignment horizontal="center" vertical="center"/>
    </xf>
    <xf numFmtId="2" fontId="0" fillId="0" borderId="82" xfId="0" applyNumberFormat="1" applyBorder="1" applyAlignment="1">
      <alignment horizontal="center" vertical="center"/>
    </xf>
    <xf numFmtId="0" fontId="19" fillId="8" borderId="80" xfId="0" applyFont="1" applyFill="1" applyBorder="1" applyAlignment="1">
      <alignment horizontal="center" vertical="center"/>
    </xf>
    <xf numFmtId="42" fontId="0" fillId="0" borderId="83" xfId="0" applyNumberFormat="1" applyBorder="1" applyAlignment="1">
      <alignment horizontal="center" vertical="center"/>
    </xf>
    <xf numFmtId="0" fontId="0" fillId="0" borderId="86" xfId="0" applyBorder="1" applyAlignment="1">
      <alignment horizontal="justify" vertical="center" wrapText="1"/>
    </xf>
    <xf numFmtId="3" fontId="0" fillId="0" borderId="83" xfId="0" applyNumberFormat="1" applyBorder="1" applyAlignment="1">
      <alignment horizontal="center" vertical="center"/>
    </xf>
    <xf numFmtId="0" fontId="0" fillId="0" borderId="84" xfId="0" applyBorder="1" applyAlignment="1">
      <alignment horizontal="justify" vertical="center" wrapText="1"/>
    </xf>
    <xf numFmtId="0" fontId="0" fillId="0" borderId="87" xfId="0" applyBorder="1" applyAlignment="1">
      <alignment horizontal="justify" vertical="center" wrapText="1"/>
    </xf>
    <xf numFmtId="42" fontId="19" fillId="8" borderId="81" xfId="25" applyFont="1" applyFill="1" applyBorder="1" applyAlignment="1">
      <alignment horizontal="center" vertical="center" wrapText="1"/>
    </xf>
    <xf numFmtId="42" fontId="0" fillId="11" borderId="83" xfId="0" applyNumberFormat="1" applyFill="1" applyBorder="1" applyAlignment="1">
      <alignment horizontal="center" vertical="center"/>
    </xf>
    <xf numFmtId="3" fontId="32" fillId="24" borderId="1" xfId="21" applyNumberFormat="1" applyFont="1" applyFill="1" applyBorder="1" applyAlignment="1">
      <alignment horizontal="left" vertical="center"/>
    </xf>
    <xf numFmtId="3" fontId="32" fillId="10" borderId="2" xfId="21" applyNumberFormat="1" applyFont="1" applyFill="1" applyBorder="1" applyAlignment="1">
      <alignment horizontal="center" vertical="center"/>
    </xf>
    <xf numFmtId="3" fontId="31" fillId="10" borderId="37" xfId="21" applyNumberFormat="1" applyFont="1" applyFill="1" applyBorder="1" applyAlignment="1">
      <alignment horizontal="center" vertical="center" wrapText="1"/>
    </xf>
    <xf numFmtId="0" fontId="74" fillId="0" borderId="0" xfId="0" applyFont="1" applyAlignment="1">
      <alignment horizontal="center" vertical="center"/>
    </xf>
    <xf numFmtId="3" fontId="59" fillId="11" borderId="47" xfId="0" applyNumberFormat="1" applyFont="1" applyFill="1" applyBorder="1" applyAlignment="1">
      <alignment vertical="center" wrapText="1"/>
    </xf>
    <xf numFmtId="0" fontId="59" fillId="11" borderId="48" xfId="0" applyNumberFormat="1" applyFont="1" applyFill="1" applyBorder="1" applyAlignment="1">
      <alignment horizontal="center" vertical="center" wrapText="1"/>
    </xf>
    <xf numFmtId="182" fontId="59" fillId="11" borderId="48" xfId="0" applyNumberFormat="1" applyFont="1" applyFill="1" applyBorder="1" applyAlignment="1">
      <alignment horizontal="center" vertical="center" wrapText="1"/>
    </xf>
    <xf numFmtId="42" fontId="59" fillId="11" borderId="46" xfId="1" applyFont="1" applyFill="1" applyBorder="1" applyAlignment="1">
      <alignment horizontal="center" vertical="center" wrapText="1"/>
    </xf>
    <xf numFmtId="0" fontId="59" fillId="11" borderId="49" xfId="0" applyNumberFormat="1" applyFont="1" applyFill="1" applyBorder="1" applyAlignment="1">
      <alignment horizontal="left" vertical="center" wrapText="1"/>
    </xf>
    <xf numFmtId="0" fontId="59" fillId="11" borderId="50" xfId="0" applyNumberFormat="1" applyFont="1" applyFill="1" applyBorder="1" applyAlignment="1">
      <alignment horizontal="center" vertical="center" wrapText="1"/>
    </xf>
    <xf numFmtId="183" fontId="59" fillId="11" borderId="50" xfId="0" applyNumberFormat="1" applyFont="1" applyFill="1" applyBorder="1" applyAlignment="1">
      <alignment horizontal="center" vertical="center" wrapText="1"/>
    </xf>
    <xf numFmtId="184" fontId="59" fillId="11" borderId="50" xfId="0" applyNumberFormat="1" applyFont="1" applyFill="1" applyBorder="1" applyAlignment="1">
      <alignment horizontal="right" vertical="center" wrapText="1"/>
    </xf>
    <xf numFmtId="0" fontId="59" fillId="11" borderId="47" xfId="0" applyNumberFormat="1" applyFont="1" applyFill="1" applyBorder="1" applyAlignment="1">
      <alignment horizontal="left" vertical="center" wrapText="1"/>
    </xf>
    <xf numFmtId="42" fontId="59" fillId="11" borderId="48" xfId="1" applyFont="1" applyFill="1" applyBorder="1" applyAlignment="1">
      <alignment horizontal="right" vertical="center" wrapText="1"/>
    </xf>
    <xf numFmtId="0" fontId="62" fillId="11" borderId="47" xfId="0" applyNumberFormat="1" applyFont="1" applyFill="1" applyBorder="1" applyAlignment="1">
      <alignment horizontal="left" vertical="center" wrapText="1"/>
    </xf>
    <xf numFmtId="0" fontId="62" fillId="11" borderId="48" xfId="0" applyNumberFormat="1" applyFont="1" applyFill="1" applyBorder="1" applyAlignment="1">
      <alignment horizontal="center" vertical="center" wrapText="1"/>
    </xf>
    <xf numFmtId="42" fontId="62" fillId="11" borderId="48" xfId="1" applyFont="1" applyFill="1" applyBorder="1" applyAlignment="1">
      <alignment horizontal="right" vertical="center" wrapText="1"/>
    </xf>
    <xf numFmtId="42" fontId="59" fillId="11" borderId="46" xfId="1" applyFont="1" applyFill="1" applyBorder="1" applyAlignment="1">
      <alignment horizontal="right" vertical="center" wrapText="1"/>
    </xf>
    <xf numFmtId="167" fontId="0" fillId="0" borderId="82" xfId="0" applyNumberFormat="1" applyBorder="1" applyAlignment="1">
      <alignment horizontal="center" vertical="center"/>
    </xf>
    <xf numFmtId="0" fontId="0" fillId="0" borderId="88" xfId="0" applyBorder="1" applyAlignment="1">
      <alignment horizontal="center" vertical="center"/>
    </xf>
    <xf numFmtId="0" fontId="0" fillId="0" borderId="89" xfId="0" applyBorder="1" applyAlignment="1">
      <alignment horizontal="justify" vertical="center" wrapText="1"/>
    </xf>
    <xf numFmtId="3" fontId="0" fillId="0" borderId="89" xfId="0" applyNumberFormat="1" applyBorder="1" applyAlignment="1">
      <alignment horizontal="center" vertical="center"/>
    </xf>
    <xf numFmtId="42" fontId="0" fillId="0" borderId="89" xfId="0" applyNumberFormat="1" applyBorder="1" applyAlignment="1">
      <alignment horizontal="center" vertical="center"/>
    </xf>
    <xf numFmtId="0" fontId="0" fillId="0" borderId="90" xfId="0" applyBorder="1" applyAlignment="1">
      <alignment horizontal="justify" vertical="center" wrapText="1"/>
    </xf>
    <xf numFmtId="42" fontId="18" fillId="11" borderId="5" xfId="1" applyFont="1" applyFill="1" applyBorder="1" applyAlignment="1">
      <alignment horizontal="center" vertical="center"/>
    </xf>
    <xf numFmtId="42" fontId="18" fillId="11" borderId="37" xfId="1" applyFont="1" applyFill="1" applyBorder="1" applyAlignment="1">
      <alignment horizontal="center" vertical="center"/>
    </xf>
    <xf numFmtId="42" fontId="18" fillId="11" borderId="74" xfId="1" applyFont="1" applyFill="1" applyBorder="1" applyAlignment="1">
      <alignment horizontal="center" vertical="center"/>
    </xf>
    <xf numFmtId="42" fontId="18" fillId="11" borderId="71" xfId="1" applyFont="1" applyFill="1" applyBorder="1" applyAlignment="1">
      <alignment horizontal="center" vertical="center"/>
    </xf>
    <xf numFmtId="42" fontId="18" fillId="11" borderId="72" xfId="1" applyFont="1" applyFill="1" applyBorder="1" applyAlignment="1">
      <alignment horizontal="center" vertical="center"/>
    </xf>
    <xf numFmtId="183" fontId="59" fillId="11" borderId="48" xfId="0" applyNumberFormat="1" applyFont="1" applyFill="1" applyBorder="1" applyAlignment="1">
      <alignment horizontal="center" vertical="center" wrapText="1"/>
    </xf>
    <xf numFmtId="184" fontId="59" fillId="11" borderId="48" xfId="0" applyNumberFormat="1" applyFont="1" applyFill="1" applyBorder="1" applyAlignment="1">
      <alignment horizontal="right" vertical="center" wrapText="1"/>
    </xf>
    <xf numFmtId="42" fontId="18" fillId="25" borderId="5" xfId="1" applyFont="1" applyFill="1" applyBorder="1" applyAlignment="1">
      <alignment horizontal="center" vertical="center"/>
    </xf>
    <xf numFmtId="0" fontId="0" fillId="25" borderId="82" xfId="0" applyFill="1" applyBorder="1" applyAlignment="1">
      <alignment horizontal="center" vertical="center"/>
    </xf>
    <xf numFmtId="0" fontId="0" fillId="25" borderId="83" xfId="0" applyFill="1" applyBorder="1" applyAlignment="1">
      <alignment horizontal="justify" vertical="center" wrapText="1"/>
    </xf>
    <xf numFmtId="3" fontId="0" fillId="25" borderId="83" xfId="0" applyNumberFormat="1" applyFill="1" applyBorder="1" applyAlignment="1">
      <alignment horizontal="center" vertical="center"/>
    </xf>
    <xf numFmtId="42" fontId="0" fillId="25" borderId="83" xfId="0" applyNumberFormat="1" applyFill="1" applyBorder="1" applyAlignment="1">
      <alignment horizontal="center" vertical="center"/>
    </xf>
    <xf numFmtId="0" fontId="0" fillId="25" borderId="84" xfId="0" applyFill="1" applyBorder="1" applyAlignment="1">
      <alignment horizontal="justify" vertical="center" wrapText="1"/>
    </xf>
    <xf numFmtId="168" fontId="2" fillId="0" borderId="5" xfId="4" applyNumberFormat="1" applyBorder="1" applyAlignment="1">
      <alignment horizontal="center" vertical="center"/>
    </xf>
    <xf numFmtId="0" fontId="2" fillId="0" borderId="5" xfId="4" applyBorder="1" applyAlignment="1">
      <alignment horizontal="center" vertical="center"/>
    </xf>
    <xf numFmtId="169" fontId="2" fillId="0" borderId="5" xfId="4" applyNumberFormat="1" applyBorder="1" applyAlignment="1">
      <alignment horizontal="center" vertical="center"/>
    </xf>
    <xf numFmtId="0" fontId="3" fillId="0" borderId="1" xfId="3" applyFont="1" applyBorder="1" applyAlignment="1">
      <alignment horizontal="center"/>
    </xf>
    <xf numFmtId="0" fontId="3" fillId="0" borderId="2" xfId="3" applyFont="1" applyBorder="1" applyAlignment="1">
      <alignment horizontal="center"/>
    </xf>
    <xf numFmtId="0" fontId="3" fillId="0" borderId="3" xfId="3" applyFont="1" applyBorder="1" applyAlignment="1">
      <alignment horizontal="center"/>
    </xf>
    <xf numFmtId="0" fontId="3" fillId="0" borderId="5" xfId="3" applyFont="1" applyBorder="1" applyAlignment="1">
      <alignment horizontal="left"/>
    </xf>
    <xf numFmtId="166" fontId="3" fillId="0" borderId="5" xfId="1" applyNumberFormat="1" applyFont="1" applyBorder="1" applyAlignment="1">
      <alignment horizontal="center"/>
    </xf>
    <xf numFmtId="44" fontId="3" fillId="0" borderId="5" xfId="1" applyNumberFormat="1" applyFont="1" applyBorder="1" applyAlignment="1">
      <alignment horizontal="center"/>
    </xf>
    <xf numFmtId="42" fontId="3" fillId="0" borderId="5" xfId="1" applyFont="1" applyBorder="1" applyAlignment="1">
      <alignment horizontal="center"/>
    </xf>
    <xf numFmtId="0" fontId="3" fillId="0" borderId="9" xfId="3" applyFont="1" applyBorder="1" applyAlignment="1">
      <alignment horizontal="left"/>
    </xf>
    <xf numFmtId="0" fontId="3" fillId="0" borderId="10" xfId="3" applyFont="1" applyBorder="1" applyAlignment="1">
      <alignment horizontal="left"/>
    </xf>
    <xf numFmtId="166" fontId="3" fillId="0" borderId="10" xfId="1" applyNumberFormat="1" applyFont="1" applyBorder="1" applyAlignment="1">
      <alignment horizontal="center"/>
    </xf>
    <xf numFmtId="166" fontId="3" fillId="0" borderId="11" xfId="1" applyNumberFormat="1" applyFont="1" applyBorder="1" applyAlignment="1">
      <alignment horizontal="center"/>
    </xf>
    <xf numFmtId="0" fontId="3" fillId="2" borderId="14"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4" fillId="0" borderId="16" xfId="4" applyFont="1" applyBorder="1" applyAlignment="1" applyProtection="1">
      <alignment horizontal="center" vertical="center" wrapText="1"/>
      <protection locked="0"/>
    </xf>
    <xf numFmtId="0" fontId="4" fillId="0" borderId="17" xfId="4" applyFont="1" applyBorder="1" applyAlignment="1" applyProtection="1">
      <alignment horizontal="center" vertical="center" wrapText="1"/>
      <protection locked="0"/>
    </xf>
    <xf numFmtId="0" fontId="4" fillId="0" borderId="18" xfId="4" applyFont="1" applyBorder="1" applyAlignment="1" applyProtection="1">
      <alignment horizontal="center" vertical="center" wrapText="1"/>
      <protection locked="0"/>
    </xf>
    <xf numFmtId="0" fontId="5" fillId="0" borderId="19" xfId="4" applyFont="1" applyBorder="1" applyAlignment="1">
      <alignment horizontal="center" vertical="center" wrapText="1"/>
    </xf>
    <xf numFmtId="0" fontId="5" fillId="0" borderId="20" xfId="4" applyFont="1" applyBorder="1" applyAlignment="1">
      <alignment horizontal="center" vertical="center" wrapText="1"/>
    </xf>
    <xf numFmtId="0" fontId="5" fillId="0" borderId="21" xfId="4" applyFont="1" applyBorder="1" applyAlignment="1">
      <alignment horizontal="center" vertical="center" wrapText="1"/>
    </xf>
    <xf numFmtId="0" fontId="5" fillId="0" borderId="27" xfId="4" applyFont="1" applyBorder="1" applyAlignment="1">
      <alignment horizontal="left" vertical="center" wrapText="1"/>
    </xf>
    <xf numFmtId="0" fontId="5" fillId="0" borderId="28" xfId="4" applyFont="1" applyBorder="1" applyAlignment="1">
      <alignment horizontal="left" vertical="center" wrapText="1"/>
    </xf>
    <xf numFmtId="0" fontId="6" fillId="4" borderId="23" xfId="4" applyFont="1" applyFill="1" applyBorder="1" applyAlignment="1">
      <alignment horizontal="center" vertical="center"/>
    </xf>
    <xf numFmtId="0" fontId="6" fillId="4" borderId="24" xfId="4" applyFont="1" applyFill="1" applyBorder="1" applyAlignment="1">
      <alignment horizontal="center" vertical="center"/>
    </xf>
    <xf numFmtId="0" fontId="6" fillId="4" borderId="26" xfId="4" applyFont="1" applyFill="1" applyBorder="1" applyAlignment="1">
      <alignment horizontal="center" vertical="center"/>
    </xf>
    <xf numFmtId="0" fontId="6" fillId="0" borderId="24" xfId="4" applyFont="1" applyBorder="1" applyAlignment="1">
      <alignment horizontal="left" vertical="center" wrapText="1"/>
    </xf>
    <xf numFmtId="168" fontId="0" fillId="0" borderId="5" xfId="9" applyFont="1" applyBorder="1" applyAlignment="1">
      <alignment horizontal="center" vertical="center"/>
    </xf>
    <xf numFmtId="0" fontId="5" fillId="3" borderId="5" xfId="4" applyFont="1" applyFill="1" applyBorder="1" applyAlignment="1">
      <alignment horizontal="left" vertical="center" wrapText="1"/>
    </xf>
    <xf numFmtId="0" fontId="11" fillId="3" borderId="5" xfId="8" applyFont="1" applyFill="1" applyBorder="1" applyAlignment="1">
      <alignment horizontal="left" vertical="center" wrapText="1"/>
    </xf>
    <xf numFmtId="0" fontId="5" fillId="2" borderId="20" xfId="4" applyFont="1" applyFill="1" applyBorder="1" applyAlignment="1">
      <alignment horizontal="left" vertical="center" wrapText="1"/>
    </xf>
    <xf numFmtId="0" fontId="11" fillId="2" borderId="20" xfId="8" applyFont="1" applyFill="1" applyBorder="1" applyAlignment="1">
      <alignment horizontal="left" vertical="center" wrapText="1"/>
    </xf>
    <xf numFmtId="0" fontId="17" fillId="2" borderId="0" xfId="0" applyFont="1" applyFill="1" applyAlignment="1">
      <alignment horizontal="center" vertical="center"/>
    </xf>
    <xf numFmtId="0" fontId="17" fillId="7" borderId="0" xfId="0" applyFont="1" applyFill="1" applyAlignment="1">
      <alignment horizontal="center" vertical="center"/>
    </xf>
    <xf numFmtId="0" fontId="61" fillId="8" borderId="55" xfId="0" applyNumberFormat="1" applyFont="1" applyFill="1" applyBorder="1" applyAlignment="1">
      <alignment horizontal="left" vertical="center" wrapText="1"/>
    </xf>
    <xf numFmtId="0" fontId="61" fillId="8" borderId="56" xfId="0" applyNumberFormat="1" applyFont="1" applyFill="1" applyBorder="1" applyAlignment="1">
      <alignment horizontal="left" vertical="center" wrapText="1"/>
    </xf>
    <xf numFmtId="0" fontId="61" fillId="8" borderId="57" xfId="0" applyNumberFormat="1" applyFont="1" applyFill="1" applyBorder="1" applyAlignment="1">
      <alignment horizontal="left" vertical="center" wrapText="1"/>
    </xf>
    <xf numFmtId="0" fontId="60" fillId="5" borderId="76" xfId="0" applyNumberFormat="1" applyFont="1" applyFill="1" applyBorder="1" applyAlignment="1">
      <alignment horizontal="right" vertical="center" wrapText="1"/>
    </xf>
    <xf numFmtId="0" fontId="60" fillId="5" borderId="77" xfId="0" applyNumberFormat="1" applyFont="1" applyFill="1" applyBorder="1" applyAlignment="1">
      <alignment horizontal="right" vertical="center" wrapText="1"/>
    </xf>
    <xf numFmtId="0" fontId="60" fillId="5" borderId="78" xfId="0" applyNumberFormat="1" applyFont="1" applyFill="1" applyBorder="1" applyAlignment="1">
      <alignment horizontal="right" vertical="center" wrapText="1"/>
    </xf>
    <xf numFmtId="0" fontId="61" fillId="3" borderId="39" xfId="0" applyNumberFormat="1" applyFont="1" applyFill="1" applyBorder="1" applyAlignment="1">
      <alignment horizontal="left" vertical="center" wrapText="1"/>
    </xf>
    <xf numFmtId="0" fontId="61" fillId="3" borderId="40" xfId="0" applyNumberFormat="1" applyFont="1" applyFill="1" applyBorder="1" applyAlignment="1">
      <alignment horizontal="left" vertical="center" wrapText="1"/>
    </xf>
    <xf numFmtId="0" fontId="40" fillId="4" borderId="39" xfId="0" applyNumberFormat="1" applyFont="1" applyFill="1" applyBorder="1" applyAlignment="1">
      <alignment horizontal="center" vertical="center" wrapText="1" readingOrder="1"/>
    </xf>
    <xf numFmtId="0" fontId="40" fillId="4" borderId="40" xfId="0" applyNumberFormat="1" applyFont="1" applyFill="1" applyBorder="1" applyAlignment="1">
      <alignment horizontal="center" vertical="center" wrapText="1" readingOrder="1"/>
    </xf>
    <xf numFmtId="0" fontId="40" fillId="4" borderId="41" xfId="0" applyNumberFormat="1" applyFont="1" applyFill="1" applyBorder="1" applyAlignment="1">
      <alignment horizontal="center" vertical="center" wrapText="1" readingOrder="1"/>
    </xf>
    <xf numFmtId="0" fontId="61" fillId="3" borderId="39" xfId="0" applyNumberFormat="1" applyFont="1" applyFill="1" applyBorder="1" applyAlignment="1">
      <alignment horizontal="center" vertical="center" wrapText="1" readingOrder="1"/>
    </xf>
    <xf numFmtId="0" fontId="61" fillId="3" borderId="40" xfId="0" applyNumberFormat="1" applyFont="1" applyFill="1" applyBorder="1" applyAlignment="1">
      <alignment horizontal="center" vertical="center" wrapText="1" readingOrder="1"/>
    </xf>
    <xf numFmtId="0" fontId="61" fillId="3" borderId="41" xfId="0" applyNumberFormat="1" applyFont="1" applyFill="1" applyBorder="1" applyAlignment="1">
      <alignment horizontal="center" vertical="center" wrapText="1" readingOrder="1"/>
    </xf>
    <xf numFmtId="0" fontId="59" fillId="3" borderId="39" xfId="0" applyNumberFormat="1" applyFont="1" applyFill="1" applyBorder="1" applyAlignment="1">
      <alignment horizontal="justify" vertical="center" wrapText="1"/>
    </xf>
    <xf numFmtId="0" fontId="59" fillId="3" borderId="40" xfId="0" applyNumberFormat="1" applyFont="1" applyFill="1" applyBorder="1" applyAlignment="1">
      <alignment horizontal="justify" vertical="center" wrapText="1"/>
    </xf>
    <xf numFmtId="0" fontId="59" fillId="3" borderId="41" xfId="0" applyNumberFormat="1" applyFont="1" applyFill="1" applyBorder="1" applyAlignment="1">
      <alignment horizontal="justify" vertical="center" wrapText="1"/>
    </xf>
    <xf numFmtId="0" fontId="60" fillId="5" borderId="51" xfId="0" applyNumberFormat="1" applyFont="1" applyFill="1" applyBorder="1" applyAlignment="1">
      <alignment horizontal="right" vertical="center" wrapText="1"/>
    </xf>
    <xf numFmtId="0" fontId="60" fillId="5" borderId="52" xfId="0" applyNumberFormat="1" applyFont="1" applyFill="1" applyBorder="1" applyAlignment="1">
      <alignment horizontal="right" vertical="center" wrapText="1"/>
    </xf>
    <xf numFmtId="0" fontId="60" fillId="5" borderId="53" xfId="0" applyNumberFormat="1" applyFont="1" applyFill="1" applyBorder="1" applyAlignment="1">
      <alignment horizontal="right" vertical="center" wrapText="1"/>
    </xf>
    <xf numFmtId="0" fontId="23" fillId="2" borderId="23" xfId="10" applyFont="1" applyFill="1" applyBorder="1" applyAlignment="1">
      <alignment horizontal="center" vertical="center"/>
    </xf>
    <xf numFmtId="0" fontId="23" fillId="2" borderId="24" xfId="10" applyFont="1" applyFill="1" applyBorder="1" applyAlignment="1">
      <alignment horizontal="center" vertical="center"/>
    </xf>
    <xf numFmtId="0" fontId="23" fillId="2" borderId="26" xfId="10" applyFont="1" applyFill="1" applyBorder="1" applyAlignment="1">
      <alignment horizontal="center" vertical="center"/>
    </xf>
    <xf numFmtId="0" fontId="0" fillId="0" borderId="29" xfId="0" applyBorder="1" applyAlignment="1">
      <alignment horizontal="justify" vertical="top" wrapText="1"/>
    </xf>
    <xf numFmtId="0" fontId="0" fillId="0" borderId="30" xfId="0" applyBorder="1" applyAlignment="1">
      <alignment horizontal="justify" vertical="top" wrapText="1"/>
    </xf>
    <xf numFmtId="0" fontId="0" fillId="0" borderId="31" xfId="0" applyBorder="1" applyAlignment="1">
      <alignment horizontal="justify" vertical="top" wrapText="1"/>
    </xf>
    <xf numFmtId="0" fontId="28" fillId="0" borderId="0" xfId="14" applyFont="1" applyFill="1" applyAlignment="1">
      <alignment horizontal="center" vertical="center" wrapText="1"/>
    </xf>
    <xf numFmtId="0" fontId="29" fillId="0" borderId="0" xfId="14" applyFont="1" applyFill="1" applyAlignment="1">
      <alignment horizontal="center" vertical="center" wrapText="1"/>
    </xf>
    <xf numFmtId="0" fontId="30" fillId="0" borderId="32" xfId="15" applyFont="1" applyFill="1" applyBorder="1" applyAlignment="1">
      <alignment horizontal="center" vertical="center" wrapText="1"/>
    </xf>
    <xf numFmtId="0" fontId="30" fillId="0" borderId="27" xfId="15" applyFont="1" applyFill="1" applyBorder="1" applyAlignment="1">
      <alignment horizontal="center" vertical="center" wrapText="1"/>
    </xf>
    <xf numFmtId="0" fontId="30" fillId="0" borderId="28" xfId="15" applyFont="1" applyFill="1" applyBorder="1" applyAlignment="1">
      <alignment horizontal="center" vertical="center" wrapText="1"/>
    </xf>
    <xf numFmtId="0" fontId="30" fillId="0" borderId="33" xfId="15" applyFont="1" applyFill="1" applyBorder="1" applyAlignment="1">
      <alignment horizontal="center" vertical="center" wrapText="1"/>
    </xf>
    <xf numFmtId="0" fontId="30" fillId="0" borderId="34" xfId="15" applyFont="1" applyFill="1" applyBorder="1" applyAlignment="1">
      <alignment horizontal="center" vertical="center" wrapText="1"/>
    </xf>
    <xf numFmtId="0" fontId="30" fillId="0" borderId="35" xfId="15" applyFont="1" applyFill="1" applyBorder="1" applyAlignment="1">
      <alignment horizontal="center" vertical="center" wrapText="1"/>
    </xf>
    <xf numFmtId="0" fontId="50" fillId="0" borderId="5" xfId="14" applyFont="1" applyFill="1" applyBorder="1" applyAlignment="1">
      <alignment horizontal="center" vertical="center" wrapText="1"/>
    </xf>
    <xf numFmtId="0" fontId="31" fillId="0" borderId="23" xfId="21" applyFont="1" applyBorder="1" applyAlignment="1">
      <alignment horizontal="center" vertical="center"/>
    </xf>
    <xf numFmtId="0" fontId="31" fillId="0" borderId="25" xfId="21" applyFont="1" applyBorder="1" applyAlignment="1">
      <alignment horizontal="center" vertical="center"/>
    </xf>
    <xf numFmtId="0" fontId="31" fillId="0" borderId="9" xfId="21" applyFont="1" applyBorder="1" applyAlignment="1">
      <alignment horizontal="center" vertical="center"/>
    </xf>
    <xf numFmtId="0" fontId="31" fillId="0" borderId="68" xfId="21" applyFont="1" applyBorder="1" applyAlignment="1">
      <alignment horizontal="center" vertical="center"/>
    </xf>
    <xf numFmtId="0" fontId="32" fillId="16" borderId="1" xfId="21" applyFont="1" applyFill="1" applyBorder="1" applyAlignment="1">
      <alignment horizontal="center" vertical="center" wrapText="1"/>
    </xf>
    <xf numFmtId="0" fontId="32" fillId="16" borderId="2" xfId="21" applyFont="1" applyFill="1" applyBorder="1" applyAlignment="1">
      <alignment horizontal="center" vertical="center" wrapText="1"/>
    </xf>
    <xf numFmtId="0" fontId="31" fillId="20" borderId="63" xfId="21" applyFont="1" applyFill="1" applyBorder="1" applyAlignment="1">
      <alignment horizontal="center" vertical="center"/>
    </xf>
    <xf numFmtId="0" fontId="31" fillId="20" borderId="64" xfId="21" applyFont="1" applyFill="1" applyBorder="1" applyAlignment="1">
      <alignment horizontal="center" vertical="center"/>
    </xf>
    <xf numFmtId="0" fontId="31" fillId="20" borderId="65" xfId="21" applyFont="1" applyFill="1" applyBorder="1" applyAlignment="1">
      <alignment horizontal="center" vertical="center"/>
    </xf>
    <xf numFmtId="0" fontId="31" fillId="20" borderId="66" xfId="21" applyFont="1" applyFill="1" applyBorder="1" applyAlignment="1">
      <alignment horizontal="center" vertical="center"/>
    </xf>
    <xf numFmtId="0" fontId="31" fillId="20" borderId="34" xfId="21" applyFont="1" applyFill="1" applyBorder="1" applyAlignment="1">
      <alignment horizontal="center" vertical="center"/>
    </xf>
    <xf numFmtId="0" fontId="31" fillId="20" borderId="67" xfId="21" applyFont="1" applyFill="1" applyBorder="1" applyAlignment="1">
      <alignment horizontal="center" vertical="center"/>
    </xf>
  </cellXfs>
  <cellStyles count="31">
    <cellStyle name="Millares [0]" xfId="19" builtinId="6"/>
    <cellStyle name="Millares [0] 2" xfId="18"/>
    <cellStyle name="Millares [0] 3" xfId="26"/>
    <cellStyle name="Millares [0] 4" xfId="23"/>
    <cellStyle name="Moneda" xfId="20" builtinId="4"/>
    <cellStyle name="Moneda [0]" xfId="1" builtinId="7"/>
    <cellStyle name="Moneda [0] 2" xfId="9"/>
    <cellStyle name="Moneda [0] 3" xfId="25"/>
    <cellStyle name="Moneda [0] 4" xfId="22"/>
    <cellStyle name="Moneda 2" xfId="27"/>
    <cellStyle name="Moneda 2 11" xfId="13"/>
    <cellStyle name="Moneda 3" xfId="29"/>
    <cellStyle name="Moneda 3 4 2" xfId="12"/>
    <cellStyle name="Moneda 4" xfId="28"/>
    <cellStyle name="Moneda 5" xfId="24"/>
    <cellStyle name="Moneda 6" xfId="30"/>
    <cellStyle name="Normal" xfId="0" builtinId="0"/>
    <cellStyle name="Normal 10" xfId="14"/>
    <cellStyle name="Normal 10 2" xfId="21"/>
    <cellStyle name="Normal 2 10 2 2" xfId="10"/>
    <cellStyle name="Normal 2 2 2 2 2" xfId="8"/>
    <cellStyle name="Normal 2 3 2" xfId="4"/>
    <cellStyle name="Normal 2_FORMATOS_PARA_ENTREGAR" xfId="6"/>
    <cellStyle name="Normal 3 3 2" xfId="11"/>
    <cellStyle name="Normal 5" xfId="3"/>
    <cellStyle name="Normal 9" xfId="15"/>
    <cellStyle name="Normal_CANTIDADES DE OBRA INTERVENTORIA ALCANTARILLADO ESMERALDAL" xfId="17"/>
    <cellStyle name="Normal_Presupuesto ultimo Las Flores 2 Etapa 16-1-2010 2 2" xfId="5"/>
    <cellStyle name="Porcentaje" xfId="2" builtinId="5"/>
    <cellStyle name="Porcentaje 2" xfId="7"/>
    <cellStyle name="Porcentaje 4" xfId="16"/>
  </cellStyles>
  <dxfs count="3">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6" Type="http://schemas.openxmlformats.org/officeDocument/2006/relationships/externalLink" Target="externalLinks/externalLink8.xml"/><Relationship Id="rId107" Type="http://schemas.openxmlformats.org/officeDocument/2006/relationships/sharedStrings" Target="sharedStrings.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calcChain" Target="calcChain.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62" Type="http://schemas.openxmlformats.org/officeDocument/2006/relationships/externalLink" Target="externalLinks/externalLink54.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6" Type="http://schemas.openxmlformats.org/officeDocument/2006/relationships/styles" Target="styles.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3" Type="http://schemas.openxmlformats.org/officeDocument/2006/relationships/image" Target="../media/image8.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7.png"/><Relationship Id="rId16" Type="http://schemas.openxmlformats.org/officeDocument/2006/relationships/image" Target="../media/image21.png"/><Relationship Id="rId1" Type="http://schemas.openxmlformats.org/officeDocument/2006/relationships/image" Target="../media/image6.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4" Type="http://schemas.openxmlformats.org/officeDocument/2006/relationships/image" Target="../media/image9.png"/><Relationship Id="rId9" Type="http://schemas.openxmlformats.org/officeDocument/2006/relationships/image" Target="../media/image14.png"/><Relationship Id="rId14"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1</xdr:col>
      <xdr:colOff>457283</xdr:colOff>
      <xdr:row>6</xdr:row>
      <xdr:rowOff>185141</xdr:rowOff>
    </xdr:from>
    <xdr:to>
      <xdr:col>2</xdr:col>
      <xdr:colOff>1140822</xdr:colOff>
      <xdr:row>6</xdr:row>
      <xdr:rowOff>1541501</xdr:rowOff>
    </xdr:to>
    <xdr:pic>
      <xdr:nvPicPr>
        <xdr:cNvPr id="2" name="Imagen 1" descr="C:\Users\User\AppData\Local\Microsoft\Windows\Temporary Internet Files\Low\Content.IE5\SR7THVJV\logo-conmezclas-sin-fondo[1].png">
          <a:extLst>
            <a:ext uri="{FF2B5EF4-FFF2-40B4-BE49-F238E27FC236}">
              <a16:creationId xmlns:a16="http://schemas.microsoft.com/office/drawing/2014/main" id="{ECB02716-3606-4A90-9C0F-D9F9288B75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3023" y="1206221"/>
          <a:ext cx="1468399" cy="1356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180109</xdr:colOff>
      <xdr:row>1537</xdr:row>
      <xdr:rowOff>27709</xdr:rowOff>
    </xdr:from>
    <xdr:to>
      <xdr:col>13</xdr:col>
      <xdr:colOff>624437</xdr:colOff>
      <xdr:row>1543</xdr:row>
      <xdr:rowOff>185945</xdr:rowOff>
    </xdr:to>
    <xdr:pic>
      <xdr:nvPicPr>
        <xdr:cNvPr id="2" name="Imagen 1"/>
        <xdr:cNvPicPr>
          <a:picLocks noChangeAspect="1"/>
        </xdr:cNvPicPr>
      </xdr:nvPicPr>
      <xdr:blipFill>
        <a:blip xmlns:r="http://schemas.openxmlformats.org/officeDocument/2006/relationships" r:embed="rId1"/>
        <a:stretch>
          <a:fillRect/>
        </a:stretch>
      </xdr:blipFill>
      <xdr:spPr>
        <a:xfrm>
          <a:off x="7107382" y="309025636"/>
          <a:ext cx="6000000" cy="1800000"/>
        </a:xfrm>
        <a:prstGeom prst="rect">
          <a:avLst/>
        </a:prstGeom>
      </xdr:spPr>
    </xdr:pic>
    <xdr:clientData/>
  </xdr:twoCellAnchor>
  <xdr:twoCellAnchor editAs="oneCell">
    <xdr:from>
      <xdr:col>6</xdr:col>
      <xdr:colOff>394853</xdr:colOff>
      <xdr:row>1625</xdr:row>
      <xdr:rowOff>200259</xdr:rowOff>
    </xdr:from>
    <xdr:to>
      <xdr:col>10</xdr:col>
      <xdr:colOff>403185</xdr:colOff>
      <xdr:row>1628</xdr:row>
      <xdr:rowOff>163113</xdr:rowOff>
    </xdr:to>
    <xdr:pic>
      <xdr:nvPicPr>
        <xdr:cNvPr id="3" name="Imagen 2"/>
        <xdr:cNvPicPr>
          <a:picLocks noChangeAspect="1"/>
        </xdr:cNvPicPr>
      </xdr:nvPicPr>
      <xdr:blipFill>
        <a:blip xmlns:r="http://schemas.openxmlformats.org/officeDocument/2006/relationships" r:embed="rId2"/>
        <a:stretch>
          <a:fillRect/>
        </a:stretch>
      </xdr:blipFill>
      <xdr:spPr>
        <a:xfrm>
          <a:off x="7322126" y="328615332"/>
          <a:ext cx="3194877" cy="1452217"/>
        </a:xfrm>
        <a:prstGeom prst="rect">
          <a:avLst/>
        </a:prstGeom>
      </xdr:spPr>
    </xdr:pic>
    <xdr:clientData/>
  </xdr:twoCellAnchor>
  <xdr:twoCellAnchor editAs="oneCell">
    <xdr:from>
      <xdr:col>6</xdr:col>
      <xdr:colOff>152400</xdr:colOff>
      <xdr:row>1855</xdr:row>
      <xdr:rowOff>1185</xdr:rowOff>
    </xdr:from>
    <xdr:to>
      <xdr:col>12</xdr:col>
      <xdr:colOff>309170</xdr:colOff>
      <xdr:row>1858</xdr:row>
      <xdr:rowOff>139956</xdr:rowOff>
    </xdr:to>
    <xdr:pic>
      <xdr:nvPicPr>
        <xdr:cNvPr id="4" name="Imagen 3"/>
        <xdr:cNvPicPr>
          <a:picLocks noChangeAspect="1"/>
        </xdr:cNvPicPr>
      </xdr:nvPicPr>
      <xdr:blipFill>
        <a:blip xmlns:r="http://schemas.openxmlformats.org/officeDocument/2006/relationships" r:embed="rId3"/>
        <a:stretch>
          <a:fillRect/>
        </a:stretch>
      </xdr:blipFill>
      <xdr:spPr>
        <a:xfrm>
          <a:off x="7079673" y="380751803"/>
          <a:ext cx="4922733" cy="1226353"/>
        </a:xfrm>
        <a:prstGeom prst="rect">
          <a:avLst/>
        </a:prstGeom>
      </xdr:spPr>
    </xdr:pic>
    <xdr:clientData/>
  </xdr:twoCellAnchor>
  <xdr:twoCellAnchor editAs="oneCell">
    <xdr:from>
      <xdr:col>6</xdr:col>
      <xdr:colOff>214745</xdr:colOff>
      <xdr:row>1860</xdr:row>
      <xdr:rowOff>138545</xdr:rowOff>
    </xdr:from>
    <xdr:to>
      <xdr:col>12</xdr:col>
      <xdr:colOff>606184</xdr:colOff>
      <xdr:row>1898</xdr:row>
      <xdr:rowOff>27751</xdr:rowOff>
    </xdr:to>
    <xdr:pic>
      <xdr:nvPicPr>
        <xdr:cNvPr id="5" name="Imagen 4"/>
        <xdr:cNvPicPr>
          <a:picLocks noChangeAspect="1"/>
        </xdr:cNvPicPr>
      </xdr:nvPicPr>
      <xdr:blipFill>
        <a:blip xmlns:r="http://schemas.openxmlformats.org/officeDocument/2006/relationships" r:embed="rId4"/>
        <a:stretch>
          <a:fillRect/>
        </a:stretch>
      </xdr:blipFill>
      <xdr:spPr>
        <a:xfrm>
          <a:off x="7142018" y="382336963"/>
          <a:ext cx="5157402" cy="68164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634999</xdr:colOff>
      <xdr:row>486</xdr:row>
      <xdr:rowOff>129522</xdr:rowOff>
    </xdr:from>
    <xdr:to>
      <xdr:col>8</xdr:col>
      <xdr:colOff>1041400</xdr:colOff>
      <xdr:row>496</xdr:row>
      <xdr:rowOff>171449</xdr:rowOff>
    </xdr:to>
    <xdr:pic>
      <xdr:nvPicPr>
        <xdr:cNvPr id="2" name="Imagen 1"/>
        <xdr:cNvPicPr>
          <a:picLocks noChangeAspect="1"/>
        </xdr:cNvPicPr>
      </xdr:nvPicPr>
      <xdr:blipFill>
        <a:blip xmlns:r="http://schemas.openxmlformats.org/officeDocument/2006/relationships" r:embed="rId1"/>
        <a:stretch>
          <a:fillRect/>
        </a:stretch>
      </xdr:blipFill>
      <xdr:spPr>
        <a:xfrm rot="10800000" flipH="1" flipV="1">
          <a:off x="10053319" y="93344982"/>
          <a:ext cx="4338321" cy="1870727"/>
        </a:xfrm>
        <a:prstGeom prst="rect">
          <a:avLst/>
        </a:prstGeom>
      </xdr:spPr>
    </xdr:pic>
    <xdr:clientData/>
  </xdr:twoCellAnchor>
  <xdr:twoCellAnchor editAs="oneCell">
    <xdr:from>
      <xdr:col>4</xdr:col>
      <xdr:colOff>1168400</xdr:colOff>
      <xdr:row>499</xdr:row>
      <xdr:rowOff>133350</xdr:rowOff>
    </xdr:from>
    <xdr:to>
      <xdr:col>7</xdr:col>
      <xdr:colOff>363509</xdr:colOff>
      <xdr:row>508</xdr:row>
      <xdr:rowOff>59748</xdr:rowOff>
    </xdr:to>
    <xdr:pic>
      <xdr:nvPicPr>
        <xdr:cNvPr id="3" name="Imagen 2"/>
        <xdr:cNvPicPr>
          <a:picLocks noChangeAspect="1"/>
        </xdr:cNvPicPr>
      </xdr:nvPicPr>
      <xdr:blipFill>
        <a:blip xmlns:r="http://schemas.openxmlformats.org/officeDocument/2006/relationships" r:embed="rId2"/>
        <a:stretch>
          <a:fillRect/>
        </a:stretch>
      </xdr:blipFill>
      <xdr:spPr>
        <a:xfrm>
          <a:off x="9344660" y="95726250"/>
          <a:ext cx="3264189" cy="1572318"/>
        </a:xfrm>
        <a:prstGeom prst="rect">
          <a:avLst/>
        </a:prstGeom>
      </xdr:spPr>
    </xdr:pic>
    <xdr:clientData/>
  </xdr:twoCellAnchor>
  <xdr:twoCellAnchor editAs="oneCell">
    <xdr:from>
      <xdr:col>7</xdr:col>
      <xdr:colOff>958850</xdr:colOff>
      <xdr:row>501</xdr:row>
      <xdr:rowOff>31750</xdr:rowOff>
    </xdr:from>
    <xdr:to>
      <xdr:col>11</xdr:col>
      <xdr:colOff>611490</xdr:colOff>
      <xdr:row>510</xdr:row>
      <xdr:rowOff>22000</xdr:rowOff>
    </xdr:to>
    <xdr:pic>
      <xdr:nvPicPr>
        <xdr:cNvPr id="4" name="Imagen 3"/>
        <xdr:cNvPicPr>
          <a:picLocks noChangeAspect="1"/>
        </xdr:cNvPicPr>
      </xdr:nvPicPr>
      <xdr:blipFill>
        <a:blip xmlns:r="http://schemas.openxmlformats.org/officeDocument/2006/relationships" r:embed="rId3"/>
        <a:stretch>
          <a:fillRect/>
        </a:stretch>
      </xdr:blipFill>
      <xdr:spPr>
        <a:xfrm>
          <a:off x="13204190" y="95990410"/>
          <a:ext cx="3515980" cy="1788570"/>
        </a:xfrm>
        <a:prstGeom prst="rect">
          <a:avLst/>
        </a:prstGeom>
      </xdr:spPr>
    </xdr:pic>
    <xdr:clientData/>
  </xdr:twoCellAnchor>
  <xdr:twoCellAnchor editAs="oneCell">
    <xdr:from>
      <xdr:col>4</xdr:col>
      <xdr:colOff>1047751</xdr:colOff>
      <xdr:row>509</xdr:row>
      <xdr:rowOff>82550</xdr:rowOff>
    </xdr:from>
    <xdr:to>
      <xdr:col>7</xdr:col>
      <xdr:colOff>377992</xdr:colOff>
      <xdr:row>518</xdr:row>
      <xdr:rowOff>72800</xdr:rowOff>
    </xdr:to>
    <xdr:pic>
      <xdr:nvPicPr>
        <xdr:cNvPr id="5" name="Imagen 4"/>
        <xdr:cNvPicPr>
          <a:picLocks noChangeAspect="1"/>
        </xdr:cNvPicPr>
      </xdr:nvPicPr>
      <xdr:blipFill>
        <a:blip xmlns:r="http://schemas.openxmlformats.org/officeDocument/2006/relationships" r:embed="rId4"/>
        <a:stretch>
          <a:fillRect/>
        </a:stretch>
      </xdr:blipFill>
      <xdr:spPr>
        <a:xfrm>
          <a:off x="9224011" y="97656650"/>
          <a:ext cx="3399321" cy="1788570"/>
        </a:xfrm>
        <a:prstGeom prst="rect">
          <a:avLst/>
        </a:prstGeom>
      </xdr:spPr>
    </xdr:pic>
    <xdr:clientData/>
  </xdr:twoCellAnchor>
  <xdr:twoCellAnchor editAs="oneCell">
    <xdr:from>
      <xdr:col>5</xdr:col>
      <xdr:colOff>0</xdr:colOff>
      <xdr:row>520</xdr:row>
      <xdr:rowOff>0</xdr:rowOff>
    </xdr:from>
    <xdr:to>
      <xdr:col>7</xdr:col>
      <xdr:colOff>597947</xdr:colOff>
      <xdr:row>528</xdr:row>
      <xdr:rowOff>142650</xdr:rowOff>
    </xdr:to>
    <xdr:pic>
      <xdr:nvPicPr>
        <xdr:cNvPr id="6" name="Imagen 5"/>
        <xdr:cNvPicPr>
          <a:picLocks noChangeAspect="1"/>
        </xdr:cNvPicPr>
      </xdr:nvPicPr>
      <xdr:blipFill>
        <a:blip xmlns:r="http://schemas.openxmlformats.org/officeDocument/2006/relationships" r:embed="rId5"/>
        <a:stretch>
          <a:fillRect/>
        </a:stretch>
      </xdr:blipFill>
      <xdr:spPr>
        <a:xfrm>
          <a:off x="9418320" y="99921060"/>
          <a:ext cx="3424967" cy="1788570"/>
        </a:xfrm>
        <a:prstGeom prst="rect">
          <a:avLst/>
        </a:prstGeom>
      </xdr:spPr>
    </xdr:pic>
    <xdr:clientData/>
  </xdr:twoCellAnchor>
  <xdr:twoCellAnchor editAs="oneCell">
    <xdr:from>
      <xdr:col>7</xdr:col>
      <xdr:colOff>736601</xdr:colOff>
      <xdr:row>385</xdr:row>
      <xdr:rowOff>57150</xdr:rowOff>
    </xdr:from>
    <xdr:to>
      <xdr:col>12</xdr:col>
      <xdr:colOff>84350</xdr:colOff>
      <xdr:row>394</xdr:row>
      <xdr:rowOff>47400</xdr:rowOff>
    </xdr:to>
    <xdr:pic>
      <xdr:nvPicPr>
        <xdr:cNvPr id="7" name="Imagen 6"/>
        <xdr:cNvPicPr>
          <a:picLocks noChangeAspect="1"/>
        </xdr:cNvPicPr>
      </xdr:nvPicPr>
      <xdr:blipFill>
        <a:blip xmlns:r="http://schemas.openxmlformats.org/officeDocument/2006/relationships" r:embed="rId6"/>
        <a:stretch>
          <a:fillRect/>
        </a:stretch>
      </xdr:blipFill>
      <xdr:spPr>
        <a:xfrm>
          <a:off x="12981941" y="74161650"/>
          <a:ext cx="4003569" cy="1788570"/>
        </a:xfrm>
        <a:prstGeom prst="rect">
          <a:avLst/>
        </a:prstGeom>
      </xdr:spPr>
    </xdr:pic>
    <xdr:clientData/>
  </xdr:twoCellAnchor>
  <xdr:twoCellAnchor editAs="oneCell">
    <xdr:from>
      <xdr:col>7</xdr:col>
      <xdr:colOff>812801</xdr:colOff>
      <xdr:row>394</xdr:row>
      <xdr:rowOff>152400</xdr:rowOff>
    </xdr:from>
    <xdr:to>
      <xdr:col>11</xdr:col>
      <xdr:colOff>189346</xdr:colOff>
      <xdr:row>403</xdr:row>
      <xdr:rowOff>142650</xdr:rowOff>
    </xdr:to>
    <xdr:pic>
      <xdr:nvPicPr>
        <xdr:cNvPr id="8" name="Imagen 7"/>
        <xdr:cNvPicPr>
          <a:picLocks noChangeAspect="1"/>
        </xdr:cNvPicPr>
      </xdr:nvPicPr>
      <xdr:blipFill>
        <a:blip xmlns:r="http://schemas.openxmlformats.org/officeDocument/2006/relationships" r:embed="rId7"/>
        <a:stretch>
          <a:fillRect/>
        </a:stretch>
      </xdr:blipFill>
      <xdr:spPr>
        <a:xfrm>
          <a:off x="13058141" y="76055220"/>
          <a:ext cx="3239885" cy="1788570"/>
        </a:xfrm>
        <a:prstGeom prst="rect">
          <a:avLst/>
        </a:prstGeom>
      </xdr:spPr>
    </xdr:pic>
    <xdr:clientData/>
  </xdr:twoCellAnchor>
  <xdr:twoCellAnchor editAs="oneCell">
    <xdr:from>
      <xdr:col>12</xdr:col>
      <xdr:colOff>1</xdr:colOff>
      <xdr:row>397</xdr:row>
      <xdr:rowOff>0</xdr:rowOff>
    </xdr:from>
    <xdr:to>
      <xdr:col>17</xdr:col>
      <xdr:colOff>478310</xdr:colOff>
      <xdr:row>405</xdr:row>
      <xdr:rowOff>174400</xdr:rowOff>
    </xdr:to>
    <xdr:pic>
      <xdr:nvPicPr>
        <xdr:cNvPr id="9" name="Imagen 8"/>
        <xdr:cNvPicPr>
          <a:picLocks noChangeAspect="1"/>
        </xdr:cNvPicPr>
      </xdr:nvPicPr>
      <xdr:blipFill>
        <a:blip xmlns:r="http://schemas.openxmlformats.org/officeDocument/2006/relationships" r:embed="rId8"/>
        <a:stretch>
          <a:fillRect/>
        </a:stretch>
      </xdr:blipFill>
      <xdr:spPr>
        <a:xfrm>
          <a:off x="16901161" y="76451460"/>
          <a:ext cx="4440709" cy="1789840"/>
        </a:xfrm>
        <a:prstGeom prst="rect">
          <a:avLst/>
        </a:prstGeom>
      </xdr:spPr>
    </xdr:pic>
    <xdr:clientData/>
  </xdr:twoCellAnchor>
  <xdr:twoCellAnchor editAs="oneCell">
    <xdr:from>
      <xdr:col>13</xdr:col>
      <xdr:colOff>0</xdr:colOff>
      <xdr:row>390</xdr:row>
      <xdr:rowOff>0</xdr:rowOff>
    </xdr:from>
    <xdr:to>
      <xdr:col>17</xdr:col>
      <xdr:colOff>107200</xdr:colOff>
      <xdr:row>398</xdr:row>
      <xdr:rowOff>22000</xdr:rowOff>
    </xdr:to>
    <xdr:pic>
      <xdr:nvPicPr>
        <xdr:cNvPr id="10" name="Imagen 9"/>
        <xdr:cNvPicPr>
          <a:picLocks noChangeAspect="1"/>
        </xdr:cNvPicPr>
      </xdr:nvPicPr>
      <xdr:blipFill>
        <a:blip xmlns:r="http://schemas.openxmlformats.org/officeDocument/2006/relationships" r:embed="rId9"/>
        <a:stretch>
          <a:fillRect/>
        </a:stretch>
      </xdr:blipFill>
      <xdr:spPr>
        <a:xfrm>
          <a:off x="17693640" y="75018900"/>
          <a:ext cx="3277120" cy="1789840"/>
        </a:xfrm>
        <a:prstGeom prst="rect">
          <a:avLst/>
        </a:prstGeom>
      </xdr:spPr>
    </xdr:pic>
    <xdr:clientData/>
  </xdr:twoCellAnchor>
  <xdr:twoCellAnchor editAs="oneCell">
    <xdr:from>
      <xdr:col>17</xdr:col>
      <xdr:colOff>565150</xdr:colOff>
      <xdr:row>390</xdr:row>
      <xdr:rowOff>133350</xdr:rowOff>
    </xdr:from>
    <xdr:to>
      <xdr:col>21</xdr:col>
      <xdr:colOff>438691</xdr:colOff>
      <xdr:row>398</xdr:row>
      <xdr:rowOff>155350</xdr:rowOff>
    </xdr:to>
    <xdr:pic>
      <xdr:nvPicPr>
        <xdr:cNvPr id="11" name="Imagen 10"/>
        <xdr:cNvPicPr>
          <a:picLocks noChangeAspect="1"/>
        </xdr:cNvPicPr>
      </xdr:nvPicPr>
      <xdr:blipFill>
        <a:blip xmlns:r="http://schemas.openxmlformats.org/officeDocument/2006/relationships" r:embed="rId10"/>
        <a:stretch>
          <a:fillRect/>
        </a:stretch>
      </xdr:blipFill>
      <xdr:spPr>
        <a:xfrm>
          <a:off x="21428710" y="75152250"/>
          <a:ext cx="3043461" cy="1789840"/>
        </a:xfrm>
        <a:prstGeom prst="rect">
          <a:avLst/>
        </a:prstGeom>
      </xdr:spPr>
    </xdr:pic>
    <xdr:clientData/>
  </xdr:twoCellAnchor>
  <xdr:twoCellAnchor editAs="oneCell">
    <xdr:from>
      <xdr:col>6</xdr:col>
      <xdr:colOff>1</xdr:colOff>
      <xdr:row>395</xdr:row>
      <xdr:rowOff>0</xdr:rowOff>
    </xdr:from>
    <xdr:to>
      <xdr:col>8</xdr:col>
      <xdr:colOff>410500</xdr:colOff>
      <xdr:row>403</xdr:row>
      <xdr:rowOff>174400</xdr:rowOff>
    </xdr:to>
    <xdr:pic>
      <xdr:nvPicPr>
        <xdr:cNvPr id="12" name="Imagen 11"/>
        <xdr:cNvPicPr>
          <a:picLocks noChangeAspect="1"/>
        </xdr:cNvPicPr>
      </xdr:nvPicPr>
      <xdr:blipFill>
        <a:blip xmlns:r="http://schemas.openxmlformats.org/officeDocument/2006/relationships" r:embed="rId11"/>
        <a:stretch>
          <a:fillRect/>
        </a:stretch>
      </xdr:blipFill>
      <xdr:spPr>
        <a:xfrm>
          <a:off x="10607041" y="76085700"/>
          <a:ext cx="3153699" cy="1789840"/>
        </a:xfrm>
        <a:prstGeom prst="rect">
          <a:avLst/>
        </a:prstGeom>
      </xdr:spPr>
    </xdr:pic>
    <xdr:clientData/>
  </xdr:twoCellAnchor>
  <xdr:twoCellAnchor editAs="oneCell">
    <xdr:from>
      <xdr:col>7</xdr:col>
      <xdr:colOff>584200</xdr:colOff>
      <xdr:row>407</xdr:row>
      <xdr:rowOff>63500</xdr:rowOff>
    </xdr:from>
    <xdr:to>
      <xdr:col>10</xdr:col>
      <xdr:colOff>414830</xdr:colOff>
      <xdr:row>417</xdr:row>
      <xdr:rowOff>22000</xdr:rowOff>
    </xdr:to>
    <xdr:pic>
      <xdr:nvPicPr>
        <xdr:cNvPr id="13" name="Imagen 12"/>
        <xdr:cNvPicPr>
          <a:picLocks noChangeAspect="1"/>
        </xdr:cNvPicPr>
      </xdr:nvPicPr>
      <xdr:blipFill>
        <a:blip xmlns:r="http://schemas.openxmlformats.org/officeDocument/2006/relationships" r:embed="rId12"/>
        <a:stretch>
          <a:fillRect/>
        </a:stretch>
      </xdr:blipFill>
      <xdr:spPr>
        <a:xfrm>
          <a:off x="12829540" y="78313280"/>
          <a:ext cx="2901490" cy="1787300"/>
        </a:xfrm>
        <a:prstGeom prst="rect">
          <a:avLst/>
        </a:prstGeom>
      </xdr:spPr>
    </xdr:pic>
    <xdr:clientData/>
  </xdr:twoCellAnchor>
  <xdr:twoCellAnchor editAs="oneCell">
    <xdr:from>
      <xdr:col>12</xdr:col>
      <xdr:colOff>666751</xdr:colOff>
      <xdr:row>378</xdr:row>
      <xdr:rowOff>53886</xdr:rowOff>
    </xdr:from>
    <xdr:to>
      <xdr:col>18</xdr:col>
      <xdr:colOff>330200</xdr:colOff>
      <xdr:row>389</xdr:row>
      <xdr:rowOff>50874</xdr:rowOff>
    </xdr:to>
    <xdr:pic>
      <xdr:nvPicPr>
        <xdr:cNvPr id="14" name="Imagen 13"/>
        <xdr:cNvPicPr>
          <a:picLocks noChangeAspect="1"/>
        </xdr:cNvPicPr>
      </xdr:nvPicPr>
      <xdr:blipFill>
        <a:blip xmlns:r="http://schemas.openxmlformats.org/officeDocument/2006/relationships" r:embed="rId13"/>
        <a:stretch>
          <a:fillRect/>
        </a:stretch>
      </xdr:blipFill>
      <xdr:spPr>
        <a:xfrm>
          <a:off x="17567911" y="72878226"/>
          <a:ext cx="4418329" cy="2008668"/>
        </a:xfrm>
        <a:prstGeom prst="rect">
          <a:avLst/>
        </a:prstGeom>
      </xdr:spPr>
    </xdr:pic>
    <xdr:clientData/>
  </xdr:twoCellAnchor>
  <xdr:twoCellAnchor editAs="oneCell">
    <xdr:from>
      <xdr:col>5</xdr:col>
      <xdr:colOff>1</xdr:colOff>
      <xdr:row>405</xdr:row>
      <xdr:rowOff>0</xdr:rowOff>
    </xdr:from>
    <xdr:to>
      <xdr:col>7</xdr:col>
      <xdr:colOff>299838</xdr:colOff>
      <xdr:row>414</xdr:row>
      <xdr:rowOff>154080</xdr:rowOff>
    </xdr:to>
    <xdr:pic>
      <xdr:nvPicPr>
        <xdr:cNvPr id="15" name="Imagen 14"/>
        <xdr:cNvPicPr>
          <a:picLocks noChangeAspect="1"/>
        </xdr:cNvPicPr>
      </xdr:nvPicPr>
      <xdr:blipFill>
        <a:blip xmlns:r="http://schemas.openxmlformats.org/officeDocument/2006/relationships" r:embed="rId14"/>
        <a:stretch>
          <a:fillRect/>
        </a:stretch>
      </xdr:blipFill>
      <xdr:spPr>
        <a:xfrm>
          <a:off x="9418321" y="78066900"/>
          <a:ext cx="3126857" cy="1800000"/>
        </a:xfrm>
        <a:prstGeom prst="rect">
          <a:avLst/>
        </a:prstGeom>
      </xdr:spPr>
    </xdr:pic>
    <xdr:clientData/>
  </xdr:twoCellAnchor>
  <xdr:twoCellAnchor editAs="oneCell">
    <xdr:from>
      <xdr:col>5</xdr:col>
      <xdr:colOff>929640</xdr:colOff>
      <xdr:row>193</xdr:row>
      <xdr:rowOff>30480</xdr:rowOff>
    </xdr:from>
    <xdr:to>
      <xdr:col>9</xdr:col>
      <xdr:colOff>195974</xdr:colOff>
      <xdr:row>203</xdr:row>
      <xdr:rowOff>1680</xdr:rowOff>
    </xdr:to>
    <xdr:pic>
      <xdr:nvPicPr>
        <xdr:cNvPr id="17" name="Imagen 16"/>
        <xdr:cNvPicPr>
          <a:picLocks noChangeAspect="1"/>
        </xdr:cNvPicPr>
      </xdr:nvPicPr>
      <xdr:blipFill>
        <a:blip xmlns:r="http://schemas.openxmlformats.org/officeDocument/2006/relationships" r:embed="rId15"/>
        <a:stretch>
          <a:fillRect/>
        </a:stretch>
      </xdr:blipFill>
      <xdr:spPr>
        <a:xfrm>
          <a:off x="10347960" y="35874960"/>
          <a:ext cx="4295534" cy="1800000"/>
        </a:xfrm>
        <a:prstGeom prst="rect">
          <a:avLst/>
        </a:prstGeom>
      </xdr:spPr>
    </xdr:pic>
    <xdr:clientData/>
  </xdr:twoCellAnchor>
  <xdr:twoCellAnchor editAs="oneCell">
    <xdr:from>
      <xdr:col>5</xdr:col>
      <xdr:colOff>289561</xdr:colOff>
      <xdr:row>250</xdr:row>
      <xdr:rowOff>68580</xdr:rowOff>
    </xdr:from>
    <xdr:to>
      <xdr:col>7</xdr:col>
      <xdr:colOff>540422</xdr:colOff>
      <xdr:row>258</xdr:row>
      <xdr:rowOff>45540</xdr:rowOff>
    </xdr:to>
    <xdr:pic>
      <xdr:nvPicPr>
        <xdr:cNvPr id="18" name="Imagen 17"/>
        <xdr:cNvPicPr>
          <a:picLocks noChangeAspect="1"/>
        </xdr:cNvPicPr>
      </xdr:nvPicPr>
      <xdr:blipFill>
        <a:blip xmlns:r="http://schemas.openxmlformats.org/officeDocument/2006/relationships" r:embed="rId16"/>
        <a:stretch>
          <a:fillRect/>
        </a:stretch>
      </xdr:blipFill>
      <xdr:spPr>
        <a:xfrm>
          <a:off x="9707881" y="46725840"/>
          <a:ext cx="3077881" cy="144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0F0981B1\Presupuesto%20Electrico_Via%20Distribuidora_2017111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EC0\Obras\Para%20presupuesto\Documents%20and%20Settings\67370\Configuraci&#243;n%20local\Archivos%20temporales%20de%20Internet\Content.IE5\UOTNRVQZ\Presupuesto%20correigio%20nora%20mor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EC0\Obras\Documents%20and%20Settings\Henri.Escobar.ELCONDOR\Configuraci&#243;n%20local\Archivos%20temporales%20de%20Internet\Content.IE5\QQEWOC06\disco2\DATOS\LABORATORIO\Pavimento\MDC2-2xl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C0\Obras\Users\1037579737\Documents\ZONE%204\PP%2009-10\MALLA%20VIAL\MALLA%20VIAL\HLOPEZA\CANTIDADES%20GERONA\Documents%20and%20Settings\swilches\Configuraci&#243;n%20local\Archivos%20temporales%20de%20Internet\OLK6\formulario%20bas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C0\Obras\Users\natalia.cardenas\AppData\Local\Microsoft\Windows\Temporary%20Internet%20Files\Content.Outlook\63MATZR0\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EC0\Obras\Emmanuel\La%20ceja\Alcald&#237;a\Presupuesto_ALCALDIA_15_08_201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EC0\Obras\Nuevo%20informe%20mensual%20-%20Mayo\datos\Datos%202005\Costos\Costos%202005\Facturacion%20Obr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C\A%20A%20SERADOBE\ARCHIVOS%20VARIOS\An&#225;lisis%20APUs\PRECIOS%20UNITARIOS\BASE%20DATOS%20UNITARIOS%20Borrador%2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EC0\Obras\AREA%20METROPOLITANA-AMVA-2018\135.%20INTERCAMBIO%20VIAL%20LA%20AYURA%20-CC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EC0\Obras\EDU\UNIDAD%20HOSPITALARIA%20CONCEJO%20DE%20MEDELLIN\ppto%20pajarito%20ultimo\ENTREGA%20FINAL\ULTIMO\ENTREGA%2012-11-09\Presupuesto%20Clinica%20Concejo%2013-1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EC0\Obras\Archivos%20viejos%20del%20disco%20D\Nuevos%20procesos\Proceso%20de%20Contrataci&#243;n%20009360\1-Elaboraci&#243;n%20Pliego\Formatos%20Elaboraci&#243;n%20Pliego\Cantidades%20de%20obra\Cantidades%20Zona%20Sur-Parras-Ajizal-Sabanet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C\Documents%20and%20Settings\Administrador\Mis%20documentos\Ronald\Base%20Presupuest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EC0\Obras\Users\Asus\Documents\CONTRATOS\TOM&#193;S%20CADAVID%20BELLO\PRESUPUESTO\PROYECCI&#211;N\INTERVENTOR&#205;A\PRESUPUESTOS%20DE%20OBRA%20Y%20APU%20IE%20TOM&#193;S%20CADAVID.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Documentos\PROYECTOS\PROGRAMA%20PRESUPUESTO\PRESUPUESTOS%20DE%20OBRA%20PROYECTOS%20DEF%201.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EC0\Obras\Documentos\PROYECTOS\PROGRAMA%20PRESUPUESTO\PRESUPUESTOS%20DE%20OBRA%20PROYECTOS%20DEF%201.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AREA\Calle4sur\dise&#241;os\NANA\Presupuestos\Pptos%20de%20apoyo\GP-184%20-%20APU%20-%20V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2C1D523\AIU.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AREA\Calle4sur\dise&#241;os\marayita\183%20Parque%20Girardota\04%20Trabajo\GP-183%20-%20Presupuesto%20preliminar%20V1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INDUAMERICA\CIUDAD%20BOLIVAR\FRENTE%201CB\replanteos\MARLO\CB%205\5921.FLORIDA%20PRUEB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Frontino%20def.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05DC2980\GP-204%20-%20Anexo%20puentes%20V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20DOCUMENTOS%20OBRAS%20PUBLICAS%202021\PRESUPUESTOS\2.%20MALLA%20VIAL%202021\PROPUESTA%20LICITACION%20OBRA%20E%20INTERVENTORIA\PRESUPUESTO%20MALLA%20VIAL%202021%20AU%20Y%20APUS%20AJUSTADO.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EC0\Obras\A%20DOCUMENTOS%20OBRAS%20PUBLICAS%202021\PRESUPUESTOS\2.%20MALLA%20VIAL%202021\PROPUESTA%20LICITACION%20OBRA%20E%20INTERVENTORIA\PRESUPUESTO%20MALLA%20VIAL%202021%20AU%20Y%20APUS%20AJUSTADO.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EC0\Obras\Users\btorr\Desktop\PRESUPUESTO%20GIRALDO.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BA43234\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C\MtoGral\Proyectos\Licitaciones\A&#241;o%202004\LIC-002-04-DIQUES%20202C-D\Presupuesto%20DIQUES%20T-202C-D.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EC0\Obras\Documents%20and%20Settings\Henry.Luna\Configuraci&#243;n%20local\Archivos%20temporales%20de%20Internet\Content.IE5\2P8NE367\DOCUME~1\HENRIL~1\CONFIG~1\ARCHIV~1\Content.IE5\OHAJ0LYN\precios_La%20Mata_Bosconia_enviado%20a%20FRAFUEN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EC0\Obras\Users\OBRA%20TELEANTIOQUIA\Downloads\APU%20SABANALRG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Mbernal\nover\Cod.precios\Especif_Part\BASET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EC0\Obras\PROYECTOS\metroplus\Entrega%20Final%20con%20Corr.%20Sept21-2015\Calle%2012%20sur\Tabla_conpes_371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CONTROL%20PRESUPUESTO\base%20de%20datos\APU%20%20%20BASE%20EDUCACI&#211;N%20ENERO%202014%20.xlsm"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EC0\Obras\Users\Gustavo\Documents\Documentos%20Tavo\OBRAS\COLEGIO%20SAN%20JOS&#201;%20OBRERO\CONTROL%20PRESUPUESTO\APU%20%20%20BASE%20EDUCACI&#211;N%20ENERO%202014%20.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93D98DB\REDES7.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A\unitario.XLW"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EC0\Obras\Documents%20and%20Settings\Henri.Escobar.ELCONDOR\Configuraci&#243;n%20local\Archivos%20temporales%20de%20Internet\Content.IE5\QQEWOC06\disco2\DATOS\LABORATORIO\Pavimento\N&#250;cleo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EC0\Obras\AREA%20METROPOLITANA-AMVA-2018\135.%20INTERCAMBIO%20VIAL%20LA%20AYURA%20-CCC\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8B486780\Estructura%20APU%202012%20ANTIOQUIA%20(version%20definitiv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C16FA0F\a%20%20aaInformaci&#243;n"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Z:\Usuario\Downloads\16.%20AL%20DIA\5.%20PPTO%20Y%20PROG.%20BIBLIOTECA\BASE%20DE%20DATOS%20BIBLIOTECA\SIMULACI&#211;NEDIFICIO.ok.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7DFADD92\SIMULACI&#211;NEDIFICIO.ok.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EC0\Obras\WINNT\Profiles\mvelezs\Configuraci&#243;n%20local\Archivos%20temporales%20de%20Internet\OLK295\ConsolidadoSubcircuito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EC0\Obras\PROYECTO%20AV%20POBLADO%20METROPLUS\00PRESUPUESTO%20AV%20EL%20POBLADO\PPOS%20ENTREGADOS%20X%20HECTOR%20A%20METROPLUS\NVBRE27-14\AREA\Calle4sur\dise&#241;os\WINDOWS\TEMP\330-001-02%20-%20Etapa%201%20-%20Tipo%20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5D3D467\A%20MInformes%20M"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CORTE DE OBRA N° 1"/>
      <sheetName val="memoria"/>
      <sheetName val="memoria 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Hoja3"/>
      <sheetName val="Tramo 2"/>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BASE DE DATOS DE PRECIOS"/>
      <sheetName val="MATERIALES Y RECURSOS"/>
      <sheetName val="ó&gt;????j0$?#???j_$?#???LÓu????"/>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Datos_CO"/>
      <sheetName val="CCONC"/>
      <sheetName val="ACTA PROVEEDORES"/>
      <sheetName val="ACTA INICIO"/>
      <sheetName val="ACTA PARCIAL"/>
      <sheetName val="ACTA TERMINACION"/>
      <sheetName val="ó&gt;_x0000__x0001__x0000__x0000__"/>
      <sheetName val="PSM Monthly"/>
      <sheetName val="BQMPALOC"/>
      <sheetName val="_x0000_㈀㰰⌀_x0000_㈀㰮⌀_x0000_䰀଒v_x0000__x0000__x0000_頀"/>
      <sheetName val="Lista ICCU"/>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gramacion"/>
      <sheetName val="EMPRESAS"/>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AJUSTESACTA1PROV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PRESUPUESTOS-REV1.xls"/>
      <sheetName val="Base de datos cuadrill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efreshError="1"/>
      <sheetData sheetId="56" refreshError="1"/>
      <sheetData sheetId="57" refreshError="1"/>
      <sheetData sheetId="58">
        <row r="2">
          <cell r="A2">
            <v>0</v>
          </cell>
        </row>
      </sheetData>
      <sheetData sheetId="59">
        <row r="2">
          <cell r="A2">
            <v>0</v>
          </cell>
        </row>
      </sheetData>
      <sheetData sheetId="60">
        <row r="2">
          <cell r="A2">
            <v>0</v>
          </cell>
        </row>
      </sheetData>
      <sheetData sheetId="61"/>
      <sheetData sheetId="62"/>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sheetData sheetId="74"/>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sheetData sheetId="211"/>
      <sheetData sheetId="212"/>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efreshError="1"/>
      <sheetData sheetId="230" refreshError="1"/>
      <sheetData sheetId="231" refreshError="1"/>
      <sheetData sheetId="232" refreshError="1"/>
      <sheetData sheetId="233">
        <row r="2">
          <cell r="A2">
            <v>0</v>
          </cell>
        </row>
      </sheetData>
      <sheetData sheetId="234">
        <row r="2">
          <cell r="A2">
            <v>0</v>
          </cell>
        </row>
      </sheetData>
      <sheetData sheetId="235">
        <row r="2">
          <cell r="A2">
            <v>0</v>
          </cell>
        </row>
      </sheetData>
      <sheetData sheetId="236" refreshError="1"/>
      <sheetData sheetId="237" refreshError="1"/>
      <sheetData sheetId="238" refreshError="1"/>
      <sheetData sheetId="239" refreshError="1"/>
      <sheetData sheetId="240" refreshError="1"/>
      <sheetData sheetId="241" refreshError="1"/>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efreshError="1"/>
      <sheetData sheetId="251" refreshError="1"/>
      <sheetData sheetId="252" refreshError="1"/>
      <sheetData sheetId="253" refreshError="1"/>
      <sheetData sheetId="254" refreshError="1"/>
      <sheetData sheetId="255" refreshError="1"/>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ow r="2">
          <cell r="A2">
            <v>0</v>
          </cell>
        </row>
      </sheetData>
      <sheetData sheetId="278">
        <row r="2">
          <cell r="A2">
            <v>0</v>
          </cell>
        </row>
      </sheetData>
      <sheetData sheetId="279">
        <row r="2">
          <cell r="A2">
            <v>0</v>
          </cell>
        </row>
      </sheetData>
      <sheetData sheetId="280" refreshError="1"/>
      <sheetData sheetId="281"/>
      <sheetData sheetId="282">
        <row r="2">
          <cell r="A2">
            <v>0</v>
          </cell>
        </row>
      </sheetData>
      <sheetData sheetId="283">
        <row r="2">
          <cell r="A2">
            <v>0</v>
          </cell>
        </row>
      </sheetData>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ow r="2">
          <cell r="A2">
            <v>0</v>
          </cell>
        </row>
      </sheetData>
      <sheetData sheetId="316">
        <row r="2">
          <cell r="A2">
            <v>0</v>
          </cell>
        </row>
      </sheetData>
      <sheetData sheetId="317" refreshError="1"/>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row r="5">
          <cell r="B5" t="str">
            <v>T1</v>
          </cell>
        </row>
      </sheetData>
      <sheetData sheetId="436">
        <row r="2">
          <cell r="A2">
            <v>0</v>
          </cell>
        </row>
      </sheetData>
      <sheetData sheetId="437">
        <row r="2">
          <cell r="A2">
            <v>0</v>
          </cell>
        </row>
      </sheetData>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sheetData sheetId="447"/>
      <sheetData sheetId="448"/>
      <sheetData sheetId="449"/>
      <sheetData sheetId="450"/>
      <sheetData sheetId="451"/>
      <sheetData sheetId="452">
        <row r="2">
          <cell r="A2">
            <v>0</v>
          </cell>
        </row>
      </sheetData>
      <sheetData sheetId="453"/>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ow r="2">
          <cell r="A2">
            <v>0</v>
          </cell>
        </row>
      </sheetData>
      <sheetData sheetId="692" refreshError="1"/>
      <sheetData sheetId="693" refreshError="1"/>
      <sheetData sheetId="694" refreshError="1"/>
      <sheetData sheetId="695" refreshError="1"/>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efreshError="1"/>
      <sheetData sheetId="812" refreshError="1"/>
      <sheetData sheetId="813" refreshError="1"/>
      <sheetData sheetId="814" refreshError="1"/>
      <sheetData sheetId="815" refreshError="1"/>
      <sheetData sheetId="816" refreshError="1"/>
      <sheetData sheetId="817" refreshError="1"/>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efreshError="1"/>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efreshError="1"/>
      <sheetData sheetId="843" refreshError="1"/>
      <sheetData sheetId="844" refreshError="1"/>
      <sheetData sheetId="845" refreshError="1"/>
      <sheetData sheetId="846" refreshError="1"/>
      <sheetData sheetId="847" refreshError="1"/>
      <sheetData sheetId="848" refreshError="1"/>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t="str">
            <v>FORMULARIO N° 4</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t="str">
            <v>FORMULARIO N° 4</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row r="2">
          <cell r="A2" t="str">
            <v>Locación</v>
          </cell>
        </row>
      </sheetData>
      <sheetData sheetId="1730">
        <row r="2">
          <cell r="A2">
            <v>0</v>
          </cell>
        </row>
      </sheetData>
      <sheetData sheetId="1731"/>
      <sheetData sheetId="1732">
        <row r="2">
          <cell r="A2">
            <v>0</v>
          </cell>
        </row>
      </sheetData>
      <sheetData sheetId="1733"/>
      <sheetData sheetId="1734"/>
      <sheetData sheetId="1735" refreshError="1"/>
      <sheetData sheetId="1736" refreshError="1"/>
      <sheetData sheetId="1737" refreshError="1"/>
      <sheetData sheetId="1738" refreshError="1"/>
      <sheetData sheetId="1739" refreshError="1"/>
      <sheetData sheetId="1740" refreshError="1"/>
      <sheetData sheetId="1741">
        <row r="2">
          <cell r="A2">
            <v>0</v>
          </cell>
        </row>
      </sheetData>
      <sheetData sheetId="1742">
        <row r="2">
          <cell r="A2">
            <v>0</v>
          </cell>
        </row>
      </sheetData>
      <sheetData sheetId="1743" refreshError="1"/>
      <sheetData sheetId="1744" refreshError="1"/>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sheetData sheetId="2305"/>
      <sheetData sheetId="2306"/>
      <sheetData sheetId="2307"/>
      <sheetData sheetId="2308"/>
      <sheetData sheetId="2309"/>
      <sheetData sheetId="2310">
        <row r="2">
          <cell r="A2">
            <v>0</v>
          </cell>
        </row>
      </sheetData>
      <sheetData sheetId="2311"/>
      <sheetData sheetId="2312"/>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sheetData sheetId="2498"/>
      <sheetData sheetId="2499"/>
      <sheetData sheetId="2500"/>
      <sheetData sheetId="2501"/>
      <sheetData sheetId="2502">
        <row r="2">
          <cell r="A2">
            <v>0</v>
          </cell>
        </row>
      </sheetData>
      <sheetData sheetId="2503"/>
      <sheetData sheetId="2504"/>
      <sheetData sheetId="2505"/>
      <sheetData sheetId="2506" refreshError="1"/>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row r="2">
          <cell r="A2">
            <v>0</v>
          </cell>
        </row>
      </sheetData>
      <sheetData sheetId="2524"/>
      <sheetData sheetId="2525"/>
      <sheetData sheetId="2526"/>
      <sheetData sheetId="2527"/>
      <sheetData sheetId="2528"/>
      <sheetData sheetId="2529"/>
      <sheetData sheetId="2530"/>
      <sheetData sheetId="2531"/>
      <sheetData sheetId="2532"/>
      <sheetData sheetId="2533"/>
      <sheetData sheetId="2534"/>
      <sheetData sheetId="2535">
        <row r="2">
          <cell r="A2">
            <v>0</v>
          </cell>
        </row>
      </sheetData>
      <sheetData sheetId="2536"/>
      <sheetData sheetId="2537"/>
      <sheetData sheetId="2538"/>
      <sheetData sheetId="2539"/>
      <sheetData sheetId="2540"/>
      <sheetData sheetId="2541"/>
      <sheetData sheetId="2542"/>
      <sheetData sheetId="2543"/>
      <sheetData sheetId="2544"/>
      <sheetData sheetId="2545"/>
      <sheetData sheetId="2546"/>
      <sheetData sheetId="2547">
        <row r="2">
          <cell r="A2">
            <v>0</v>
          </cell>
        </row>
      </sheetData>
      <sheetData sheetId="2548"/>
      <sheetData sheetId="2549"/>
      <sheetData sheetId="2550"/>
      <sheetData sheetId="255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52"/>
      <sheetData sheetId="2553"/>
      <sheetData sheetId="2554"/>
      <sheetData sheetId="2555"/>
      <sheetData sheetId="2556"/>
      <sheetData sheetId="2557"/>
      <sheetData sheetId="2558"/>
      <sheetData sheetId="2559">
        <row r="2">
          <cell r="A2">
            <v>0</v>
          </cell>
        </row>
      </sheetData>
      <sheetData sheetId="2560"/>
      <sheetData sheetId="2561" refreshError="1"/>
      <sheetData sheetId="2562" refreshError="1"/>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22">
        <row r="2">
          <cell r="A2">
            <v>0</v>
          </cell>
        </row>
      </sheetData>
      <sheetData sheetId="5523"/>
      <sheetData sheetId="5524"/>
      <sheetData sheetId="5525"/>
      <sheetData sheetId="5526"/>
      <sheetData sheetId="5527">
        <row r="2">
          <cell r="B2">
            <v>0</v>
          </cell>
        </row>
      </sheetData>
      <sheetData sheetId="5528"/>
      <sheetData sheetId="5529">
        <row r="2">
          <cell r="A2">
            <v>0</v>
          </cell>
        </row>
      </sheetData>
      <sheetData sheetId="5530"/>
      <sheetData sheetId="5531" refreshError="1"/>
      <sheetData sheetId="5532" refreshError="1"/>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sheetData sheetId="5547"/>
      <sheetData sheetId="5548"/>
      <sheetData sheetId="5549"/>
      <sheetData sheetId="5550"/>
      <sheetData sheetId="5551"/>
      <sheetData sheetId="5552"/>
      <sheetData sheetId="5553"/>
      <sheetData sheetId="5554" refreshError="1"/>
      <sheetData sheetId="5555" refreshError="1"/>
      <sheetData sheetId="5556"/>
      <sheetData sheetId="5557"/>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sheetData sheetId="5570"/>
      <sheetData sheetId="5571"/>
      <sheetData sheetId="5572"/>
      <sheetData sheetId="5573"/>
      <sheetData sheetId="5574"/>
      <sheetData sheetId="5575"/>
      <sheetData sheetId="5576"/>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Listado"/>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Lista"/>
      <sheetName val="Hoja6"/>
      <sheetName val="EQUIPOS"/>
      <sheetName val="M.O."/>
      <sheetName val="MATERIALES"/>
      <sheetName val="RESUMEN MES MARZO"/>
      <sheetName val="DATBAND"/>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row r="10">
          <cell r="M10">
            <v>1302940.7487084535</v>
          </cell>
        </row>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cell r="F3">
            <v>0.3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3">
          <cell r="B3">
            <v>3</v>
          </cell>
        </row>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D6" t="str">
            <v>UND</v>
          </cell>
        </row>
      </sheetData>
      <sheetData sheetId="15"/>
      <sheetData sheetId="16"/>
      <sheetData sheetId="17"/>
      <sheetData sheetId="18">
        <row r="6">
          <cell r="D6" t="str">
            <v>Base tratada con asfalto (BTA)</v>
          </cell>
        </row>
      </sheetData>
      <sheetData sheetId="19">
        <row r="6">
          <cell r="D6" t="str">
            <v>Base tratada con asfalto (BTA)</v>
          </cell>
        </row>
      </sheetData>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ow r="10">
          <cell r="M10">
            <v>1302940.7487084535</v>
          </cell>
        </row>
      </sheetData>
      <sheetData sheetId="33">
        <row r="10">
          <cell r="M10">
            <v>1302940.7487084535</v>
          </cell>
        </row>
      </sheetData>
      <sheetData sheetId="34">
        <row r="10">
          <cell r="M10">
            <v>1302940.7487084535</v>
          </cell>
        </row>
      </sheetData>
      <sheetData sheetId="35">
        <row r="10">
          <cell r="M10">
            <v>1302940.7487084535</v>
          </cell>
        </row>
      </sheetData>
      <sheetData sheetId="36">
        <row r="10">
          <cell r="M10">
            <v>1302940.7487084535</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6">
          <cell r="D6" t="str">
            <v>Base tratada con asfalto (BTA)</v>
          </cell>
        </row>
      </sheetData>
      <sheetData sheetId="59">
        <row r="6">
          <cell r="D6" t="str">
            <v>Base tratada con asfalto (BTA)</v>
          </cell>
        </row>
      </sheetData>
      <sheetData sheetId="60">
        <row r="6">
          <cell r="D6" t="str">
            <v>Base tratada con asfalto (BTA)</v>
          </cell>
        </row>
      </sheetData>
      <sheetData sheetId="61" refreshError="1"/>
      <sheetData sheetId="62" refreshError="1"/>
      <sheetData sheetId="63" refreshError="1"/>
      <sheetData sheetId="64"/>
      <sheetData sheetId="65"/>
      <sheetData sheetId="66"/>
      <sheetData sheetId="67"/>
      <sheetData sheetId="68"/>
      <sheetData sheetId="69">
        <row r="10">
          <cell r="M10">
            <v>1302940.7487084535</v>
          </cell>
        </row>
      </sheetData>
      <sheetData sheetId="70">
        <row r="10">
          <cell r="M10">
            <v>1302940.7487084535</v>
          </cell>
        </row>
      </sheetData>
      <sheetData sheetId="71">
        <row r="10">
          <cell r="M10">
            <v>1302940.7487084535</v>
          </cell>
        </row>
      </sheetData>
      <sheetData sheetId="72">
        <row r="6">
          <cell r="D6">
            <v>43666</v>
          </cell>
        </row>
      </sheetData>
      <sheetData sheetId="73"/>
      <sheetData sheetId="74">
        <row r="6">
          <cell r="D6">
            <v>43666</v>
          </cell>
        </row>
      </sheetData>
      <sheetData sheetId="75"/>
      <sheetData sheetId="76"/>
      <sheetData sheetId="77"/>
      <sheetData sheetId="78"/>
      <sheetData sheetId="79"/>
      <sheetData sheetId="80"/>
      <sheetData sheetId="81">
        <row r="6">
          <cell r="D6">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6">
          <cell r="D6">
            <v>0</v>
          </cell>
        </row>
      </sheetData>
      <sheetData sheetId="134"/>
      <sheetData sheetId="135">
        <row r="6">
          <cell r="D6">
            <v>0</v>
          </cell>
        </row>
      </sheetData>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M10">
            <v>1302940.7487084535</v>
          </cell>
        </row>
      </sheetData>
      <sheetData sheetId="163">
        <row r="10">
          <cell r="M10">
            <v>1302940.7487084535</v>
          </cell>
        </row>
      </sheetData>
      <sheetData sheetId="164"/>
      <sheetData sheetId="165" refreshError="1"/>
      <sheetData sheetId="166" refreshError="1"/>
      <sheetData sheetId="167" refreshError="1"/>
      <sheetData sheetId="168">
        <row r="6">
          <cell r="D6">
            <v>5433063.0008333344</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sheetData sheetId="200"/>
      <sheetData sheetId="201"/>
      <sheetData sheetId="202">
        <row r="10">
          <cell r="M10">
            <v>1302940.7487084535</v>
          </cell>
        </row>
      </sheetData>
      <sheetData sheetId="203">
        <row r="10">
          <cell r="M10">
            <v>1302940.7487084535</v>
          </cell>
        </row>
      </sheetData>
      <sheetData sheetId="204">
        <row r="10">
          <cell r="M10">
            <v>1302940.7487084535</v>
          </cell>
        </row>
      </sheetData>
      <sheetData sheetId="205">
        <row r="10">
          <cell r="M10">
            <v>1302940.7487084535</v>
          </cell>
        </row>
      </sheetData>
      <sheetData sheetId="206"/>
      <sheetData sheetId="207"/>
      <sheetData sheetId="208"/>
      <sheetData sheetId="209">
        <row r="6">
          <cell r="D6">
            <v>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ow r="6">
          <cell r="D6">
            <v>0</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10">
          <cell r="M10">
            <v>1302940.7487084535</v>
          </cell>
        </row>
      </sheetData>
      <sheetData sheetId="289">
        <row r="10">
          <cell r="M10">
            <v>1302940.7487084535</v>
          </cell>
        </row>
      </sheetData>
      <sheetData sheetId="290"/>
      <sheetData sheetId="291"/>
      <sheetData sheetId="292"/>
      <sheetData sheetId="293"/>
      <sheetData sheetId="294"/>
      <sheetData sheetId="295"/>
      <sheetData sheetId="296">
        <row r="10">
          <cell r="M10">
            <v>1302940.7487084535</v>
          </cell>
        </row>
      </sheetData>
      <sheetData sheetId="297">
        <row r="10">
          <cell r="M10">
            <v>1302940.7487084535</v>
          </cell>
        </row>
      </sheetData>
      <sheetData sheetId="298">
        <row r="10">
          <cell r="M10">
            <v>1302940.7487084535</v>
          </cell>
        </row>
      </sheetData>
      <sheetData sheetId="299">
        <row r="10">
          <cell r="M10">
            <v>1302940.7487084535</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6">
          <cell r="D6">
            <v>0</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6">
          <cell r="D6">
            <v>0</v>
          </cell>
        </row>
      </sheetData>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ow r="10">
          <cell r="M10">
            <v>1302940.7487084535</v>
          </cell>
        </row>
      </sheetData>
      <sheetData sheetId="371">
        <row r="10">
          <cell r="M10">
            <v>1302940.7487084535</v>
          </cell>
        </row>
      </sheetData>
      <sheetData sheetId="372"/>
      <sheetData sheetId="373"/>
      <sheetData sheetId="374"/>
      <sheetData sheetId="375"/>
      <sheetData sheetId="376"/>
      <sheetData sheetId="377"/>
      <sheetData sheetId="378">
        <row r="10">
          <cell r="M10">
            <v>1302940.7487084535</v>
          </cell>
        </row>
      </sheetData>
      <sheetData sheetId="379">
        <row r="10">
          <cell r="M10">
            <v>1302940.7487084535</v>
          </cell>
        </row>
      </sheetData>
      <sheetData sheetId="380"/>
      <sheetData sheetId="381"/>
      <sheetData sheetId="382"/>
      <sheetData sheetId="383"/>
      <sheetData sheetId="384"/>
      <sheetData sheetId="385"/>
      <sheetData sheetId="386"/>
      <sheetData sheetId="387"/>
      <sheetData sheetId="388"/>
      <sheetData sheetId="389"/>
      <sheetData sheetId="390">
        <row r="10">
          <cell r="M10">
            <v>1302940.7487084535</v>
          </cell>
        </row>
      </sheetData>
      <sheetData sheetId="391">
        <row r="10">
          <cell r="M10">
            <v>1302940.7487084535</v>
          </cell>
        </row>
      </sheetData>
      <sheetData sheetId="392"/>
      <sheetData sheetId="393"/>
      <sheetData sheetId="394"/>
      <sheetData sheetId="395"/>
      <sheetData sheetId="396"/>
      <sheetData sheetId="397"/>
      <sheetData sheetId="398"/>
      <sheetData sheetId="399"/>
      <sheetData sheetId="400"/>
      <sheetData sheetId="401"/>
      <sheetData sheetId="402"/>
      <sheetData sheetId="403">
        <row r="10">
          <cell r="M10">
            <v>1302940.7487084535</v>
          </cell>
        </row>
      </sheetData>
      <sheetData sheetId="404">
        <row r="10">
          <cell r="M10">
            <v>1302940.7487084535</v>
          </cell>
        </row>
      </sheetData>
      <sheetData sheetId="405"/>
      <sheetData sheetId="406"/>
      <sheetData sheetId="407"/>
      <sheetData sheetId="408"/>
      <sheetData sheetId="409"/>
      <sheetData sheetId="410"/>
      <sheetData sheetId="411"/>
      <sheetData sheetId="412"/>
      <sheetData sheetId="413"/>
      <sheetData sheetId="414"/>
      <sheetData sheetId="415"/>
      <sheetData sheetId="416">
        <row r="10">
          <cell r="M10">
            <v>1302940.7487084535</v>
          </cell>
        </row>
      </sheetData>
      <sheetData sheetId="417">
        <row r="10">
          <cell r="M10">
            <v>1302940.7487084535</v>
          </cell>
        </row>
      </sheetData>
      <sheetData sheetId="418"/>
      <sheetData sheetId="419"/>
      <sheetData sheetId="420"/>
      <sheetData sheetId="421"/>
      <sheetData sheetId="422"/>
      <sheetData sheetId="423"/>
      <sheetData sheetId="424" refreshError="1"/>
      <sheetData sheetId="425">
        <row r="103">
          <cell r="F103" t="str">
            <v>MDD01-T</v>
          </cell>
        </row>
      </sheetData>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120">
          <cell r="B120">
            <v>104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 val="Constantes Generales"/>
      <sheetName val="Prestaciones Sociales"/>
      <sheetName val="Constantes_Generales2"/>
      <sheetName val="Prestaciones_Sociales2"/>
      <sheetName val="Constantes_Generales"/>
      <sheetName val="Prestaciones_Sociales"/>
      <sheetName val="Constantes_Generales1"/>
      <sheetName val="Prestaciones_Sociales1"/>
      <sheetName val="Constantes_Generales3"/>
      <sheetName val="Prestaciones_Sociales3"/>
      <sheetName val="Constantes_Generales4"/>
      <sheetName val="Prestaciones_Sociales4"/>
      <sheetName val="Constantes_Generales5"/>
      <sheetName val="Prestaciones_Sociales5"/>
      <sheetName val="Constantes_Generales6"/>
      <sheetName val="Prestaciones_Sociales6"/>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AA-MUSICA"/>
      <sheetName val="ELE-RESUMEN"/>
      <sheetName val="HID-RESUMEN"/>
      <sheetName val="Apu"/>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efreshError="1">
        <row r="4">
          <cell r="G4">
            <v>39</v>
          </cell>
        </row>
      </sheetData>
      <sheetData sheetId="2" refreshError="1"/>
      <sheetData sheetId="3" refreshError="1"/>
      <sheetData sheetId="4" refreshError="1">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refreshError="1"/>
      <sheetData sheetId="7" refreshError="1">
        <row r="3">
          <cell r="A3" t="str">
            <v>A</v>
          </cell>
          <cell r="B3">
            <v>37565</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B4">
            <v>37568</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B5">
            <v>37570</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B6">
            <v>37571</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B7">
            <v>37579</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B8">
            <v>37579</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B9">
            <v>37586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B10">
            <v>37587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B11">
            <v>37587</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B12">
            <v>37588</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B13">
            <v>37603</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B14">
            <v>37603</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B15">
            <v>37604</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B16">
            <v>37604</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B17">
            <v>37605</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B18">
            <v>37606</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B19">
            <v>37607</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B20">
            <v>37608</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B21">
            <v>37608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B22">
            <v>37609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B23">
            <v>37610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B24">
            <v>37976</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B25">
            <v>37633</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B26">
            <v>37634</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B27">
            <v>37635</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B28">
            <v>37636</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B29">
            <v>37637</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B30">
            <v>37648</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B31">
            <v>37649</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B32">
            <v>37650</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B33">
            <v>37651</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B34">
            <v>37686</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B35">
            <v>37687</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B83">
            <v>37652</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NV"/>
      <sheetName val="AASHTO"/>
      <sheetName val="aCCIDENTES%20DE%201995%20-%2019"/>
      <sheetName val="CONT_ADI"/>
      <sheetName val="Datos"/>
      <sheetName val="items"/>
      <sheetName val="aCCIDENTES DE 1995 - 1996.xl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s"/>
      <sheetName val="CANTIDADES"/>
      <sheetName val="1.1 RA2-026"/>
      <sheetName val="1.2 tub galv 3&quot;"/>
      <sheetName val="1.3 CANALIZACIÓN 2x3&quot;"/>
      <sheetName val="1.4 canalizacion 1x3&quot;"/>
      <sheetName val="1.5 RS3-003"/>
      <sheetName val="1.6 caja de piso telecom"/>
      <sheetName val=" 1.7 BAJANTE 2&quot;"/>
      <sheetName val="1.8canalizacion pvc 2x2"/>
      <sheetName val="2.1 gabinete trifa"/>
      <sheetName val="2.2 gabinete ml"/>
      <sheetName val=" 2.3 TABLERO 3F-5H 24C "/>
      <sheetName val="2.4 Tablero 3F-5H 24 ctos"/>
      <sheetName val="2.5 TABLERO 2F-4H 4C"/>
      <sheetName val="2.6 Tablero 3F-5H 18ctos"/>
      <sheetName val="2.7 Tablero 3F-5H 30ctos"/>
      <sheetName val="2.8 tablero 1f-5h 8cto"/>
      <sheetName val="2.9 1X20-1X30A"/>
      <sheetName val="2.10 2X50A"/>
      <sheetName val="2.11 3X20A "/>
      <sheetName val="2.12 3X100A  "/>
      <sheetName val="2.13 2X30A   "/>
      <sheetName val="3.1 3No2+1No2+1No2 "/>
      <sheetName val="3.2 2No.10+1No.10+1No.10"/>
      <sheetName val=" 3.3 3No.6+1No.8+No.8"/>
      <sheetName val="3.4 3No.6+1No.6+1No6"/>
      <sheetName val="3.5 1No10+1No10+1No10"/>
      <sheetName val="3.6 6No2-0+2No1-0"/>
      <sheetName val="3.7 3No8+1No8+1No8(2)"/>
      <sheetName val="3.8 3No2-0+1No1-0 (2)"/>
      <sheetName val="3.9 cable No 6 Cu desnudo"/>
      <sheetName val="3.10 cable No 8 Cu desnudo"/>
      <sheetName val="3.11 Cable 3x12"/>
      <sheetName val="3.12 Cable 5x8"/>
      <sheetName val="3.13 Cable 4x10"/>
      <sheetName val="3.14 Cable 4x12"/>
      <sheetName val=" 4.1 Bandeja 0,40x0,054"/>
      <sheetName val="4.2 Bandeja 0,30x0,054"/>
      <sheetName val="4.3 bandeja 0,20x0,054"/>
      <sheetName val="4.4 bandeja 0,10x0,054"/>
      <sheetName val="4.5 ducto metalico 12x5"/>
      <sheetName val="4.6 T EMT 3l4&quot;"/>
      <sheetName val=" 5.1 SALIDA toma"/>
      <sheetName val=" 5.2 SALIDA GFCI"/>
      <sheetName val="5.3 salida toma regulado"/>
      <sheetName val="5.4 SALIDA 240V"/>
      <sheetName val="6.1 S1"/>
      <sheetName val="6.2 2S1"/>
      <sheetName val=" 6.3 Salida ilum"/>
      <sheetName val="6.4 salida interruptor escala"/>
      <sheetName val="6.5 salida para sensor"/>
      <sheetName val="7.1 Luminaria hermetica 40w"/>
      <sheetName val="7.2 Luminaria hermetica 24w"/>
      <sheetName val="7.3 luminaria led 60x60"/>
      <sheetName val="7.4 Luminaria led bala 12w"/>
      <sheetName val="7.5 Luminaria led bala 18w "/>
      <sheetName val="7.6 Luminaria tipo tortuga"/>
      <sheetName val=" 7.7 Luminaria emergencia"/>
      <sheetName val="8.1Rack 42UR"/>
      <sheetName val="8.2 salida voz o datos 6A"/>
      <sheetName val="8.3 Pac cord 3m"/>
      <sheetName val="8.4 pach panel 24"/>
      <sheetName val="8.5 pach cord 6A"/>
      <sheetName val="8.6 cable UTP 6A"/>
      <sheetName val="8.7 puntos de red"/>
      <sheetName val="9.1 punta"/>
      <sheetName val="9.2 cable AL 10"/>
      <sheetName val="9.3 conector bimetalico"/>
      <sheetName val="9.4 caja de paso 30x30"/>
      <sheetName val="9.5 aviso de peligro"/>
      <sheetName val="9.6 tuberia gal 3-4"/>
      <sheetName val="9.7 cable Cu desnudo 1-0"/>
      <sheetName val="9.8 varilla copperweld"/>
      <sheetName val="9.9 salodadura exotermica"/>
      <sheetName val="9.10 medida de puesta a tierra"/>
      <sheetName val="9.11 caja intemperie 15x20x10"/>
      <sheetName val="10.1 CAJA 4x4"/>
      <sheetName val="10.2 CAJA 12x12x5"/>
      <sheetName val="10.3 sensor de presencia"/>
      <sheetName val="10.4 30 kVAUPS"/>
      <sheetName val="10.5 UPS 3 kva"/>
      <sheetName val="10.6 sensor de movimiento"/>
      <sheetName val="10.7 salida hmdi"/>
      <sheetName val="10.8 certificacio ret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row r="5">
          <cell r="D5" t="str">
            <v>OXY</v>
          </cell>
        </row>
        <row r="6">
          <cell r="D6">
            <v>0.12</v>
          </cell>
        </row>
        <row r="7">
          <cell r="D7">
            <v>0.05</v>
          </cell>
        </row>
        <row r="8">
          <cell r="D8">
            <v>0.08</v>
          </cell>
        </row>
        <row r="16">
          <cell r="D16">
            <v>0</v>
          </cell>
        </row>
      </sheetData>
      <sheetData sheetId="2" refreshError="1">
        <row r="12">
          <cell r="H12" t="str">
            <v>RENDIMIENTO</v>
          </cell>
        </row>
        <row r="13">
          <cell r="A13">
            <v>1</v>
          </cell>
          <cell r="B13" t="str">
            <v>Excavaciones manuales Profundidad entre 0.31 y 0.7 m</v>
          </cell>
          <cell r="C13" t="str">
            <v>m3</v>
          </cell>
          <cell r="D13">
            <v>287920</v>
          </cell>
          <cell r="E13">
            <v>1</v>
          </cell>
          <cell r="F13">
            <v>287920</v>
          </cell>
          <cell r="H13">
            <v>4.9000000000000004</v>
          </cell>
          <cell r="Q13">
            <v>6</v>
          </cell>
          <cell r="R13">
            <v>4.9000000000000004</v>
          </cell>
          <cell r="S13">
            <v>4</v>
          </cell>
        </row>
        <row r="14">
          <cell r="A14">
            <v>2</v>
          </cell>
          <cell r="B14" t="str">
            <v>Excavaciones apoyadas con Retroexcavadora</v>
          </cell>
          <cell r="C14" t="str">
            <v>m3</v>
          </cell>
          <cell r="D14">
            <v>95784</v>
          </cell>
          <cell r="E14">
            <v>1</v>
          </cell>
          <cell r="F14">
            <v>95784</v>
          </cell>
          <cell r="H14">
            <v>10</v>
          </cell>
          <cell r="Q14">
            <v>12</v>
          </cell>
          <cell r="R14">
            <v>10</v>
          </cell>
          <cell r="S14">
            <v>8</v>
          </cell>
        </row>
        <row r="15">
          <cell r="A15">
            <v>3</v>
          </cell>
          <cell r="B15" t="str">
            <v>Concreto de limpieza e = 0.05 m; e= 2000 psi</v>
          </cell>
          <cell r="C15" t="str">
            <v>m2</v>
          </cell>
          <cell r="D15">
            <v>62146</v>
          </cell>
          <cell r="E15">
            <v>1</v>
          </cell>
          <cell r="F15">
            <v>62146</v>
          </cell>
          <cell r="H15">
            <v>50</v>
          </cell>
          <cell r="Q15">
            <v>60</v>
          </cell>
          <cell r="R15">
            <v>50</v>
          </cell>
          <cell r="S15">
            <v>40</v>
          </cell>
        </row>
        <row r="16">
          <cell r="A16">
            <v>4</v>
          </cell>
          <cell r="B16" t="str">
            <v>Concreto ciclopeo 2,500 PSI</v>
          </cell>
          <cell r="C16" t="str">
            <v>m3</v>
          </cell>
          <cell r="D16">
            <v>1016025</v>
          </cell>
          <cell r="E16">
            <v>1</v>
          </cell>
          <cell r="F16">
            <v>1016025</v>
          </cell>
          <cell r="H16">
            <v>4.5</v>
          </cell>
          <cell r="Q16">
            <v>6</v>
          </cell>
          <cell r="R16">
            <v>4.5</v>
          </cell>
          <cell r="S16">
            <v>3.5</v>
          </cell>
        </row>
        <row r="17">
          <cell r="A17">
            <v>5</v>
          </cell>
          <cell r="B17" t="str">
            <v>Concreto 3.000 psi estructuras de cimentación (vigas, zapatas)</v>
          </cell>
          <cell r="C17" t="str">
            <v>m3</v>
          </cell>
          <cell r="D17">
            <v>1656494</v>
          </cell>
          <cell r="E17">
            <v>1</v>
          </cell>
          <cell r="F17">
            <v>1656494</v>
          </cell>
          <cell r="H17">
            <v>2.5</v>
          </cell>
          <cell r="Q17">
            <v>3</v>
          </cell>
          <cell r="R17">
            <v>2.5</v>
          </cell>
          <cell r="S17">
            <v>2</v>
          </cell>
        </row>
        <row r="18">
          <cell r="A18">
            <v>6</v>
          </cell>
          <cell r="B18" t="str">
            <v>Concreto 3.000 psi estructuras de cimentación (placas)</v>
          </cell>
          <cell r="C18" t="str">
            <v>m3</v>
          </cell>
          <cell r="D18">
            <v>1444985</v>
          </cell>
          <cell r="E18">
            <v>1</v>
          </cell>
          <cell r="F18">
            <v>1444985</v>
          </cell>
          <cell r="H18">
            <v>3</v>
          </cell>
          <cell r="Q18">
            <v>3.5</v>
          </cell>
          <cell r="R18">
            <v>3</v>
          </cell>
          <cell r="S18">
            <v>2.5</v>
          </cell>
        </row>
        <row r="19">
          <cell r="A19">
            <v>7</v>
          </cell>
          <cell r="B19" t="str">
            <v xml:space="preserve">Concreto 3,000 psi Cajas de Válvulas </v>
          </cell>
          <cell r="C19" t="str">
            <v>m3</v>
          </cell>
          <cell r="D19">
            <v>1973156</v>
          </cell>
          <cell r="E19">
            <v>1</v>
          </cell>
          <cell r="F19">
            <v>1973156</v>
          </cell>
          <cell r="H19">
            <v>2.2000000000000002</v>
          </cell>
          <cell r="Q19">
            <v>2.5</v>
          </cell>
          <cell r="R19">
            <v>2.2000000000000002</v>
          </cell>
          <cell r="S19">
            <v>1.8</v>
          </cell>
        </row>
        <row r="20">
          <cell r="A20">
            <v>8</v>
          </cell>
          <cell r="B20" t="str">
            <v>Concreto aéreo 3.000 psi (vigas y placas de entrepiso)</v>
          </cell>
          <cell r="C20" t="str">
            <v>m3</v>
          </cell>
          <cell r="D20">
            <v>2958630</v>
          </cell>
          <cell r="E20">
            <v>1</v>
          </cell>
          <cell r="F20">
            <v>2958630</v>
          </cell>
          <cell r="H20">
            <v>1.3</v>
          </cell>
          <cell r="Q20">
            <v>1.4</v>
          </cell>
          <cell r="R20">
            <v>1.3</v>
          </cell>
          <cell r="S20">
            <v>1.2</v>
          </cell>
        </row>
        <row r="21">
          <cell r="A21">
            <v>9</v>
          </cell>
          <cell r="B21" t="str">
            <v>Concreto 3.000 psi estructuras verticales (columnas y muros) y vigas aereas</v>
          </cell>
          <cell r="C21" t="str">
            <v>m3</v>
          </cell>
          <cell r="D21">
            <v>2656356</v>
          </cell>
          <cell r="E21">
            <v>1</v>
          </cell>
          <cell r="F21">
            <v>2656356</v>
          </cell>
          <cell r="H21">
            <v>1.5</v>
          </cell>
          <cell r="Q21">
            <v>1.6</v>
          </cell>
          <cell r="R21">
            <v>1.5</v>
          </cell>
          <cell r="S21">
            <v>1.3</v>
          </cell>
        </row>
        <row r="22">
          <cell r="A22">
            <v>10</v>
          </cell>
          <cell r="B22" t="str">
            <v>Concreto 3.000 psi reforzado con malla electrosoldada (ej, Q7)</v>
          </cell>
          <cell r="C22" t="str">
            <v>m3</v>
          </cell>
          <cell r="D22">
            <v>1699643</v>
          </cell>
          <cell r="E22">
            <v>1</v>
          </cell>
          <cell r="F22">
            <v>1699643</v>
          </cell>
          <cell r="H22">
            <v>2.6</v>
          </cell>
          <cell r="Q22">
            <v>3.5</v>
          </cell>
          <cell r="R22">
            <v>2.6</v>
          </cell>
          <cell r="S22">
            <v>1.6</v>
          </cell>
        </row>
        <row r="23">
          <cell r="A23">
            <v>11</v>
          </cell>
          <cell r="B23" t="str">
            <v>Concreto 3.000 psi prefabricado (soportería)</v>
          </cell>
          <cell r="C23" t="str">
            <v>m3</v>
          </cell>
          <cell r="D23">
            <v>2131615</v>
          </cell>
          <cell r="E23">
            <v>1</v>
          </cell>
          <cell r="F23">
            <v>2131615</v>
          </cell>
          <cell r="H23">
            <v>2</v>
          </cell>
          <cell r="Q23">
            <v>2.5</v>
          </cell>
          <cell r="R23">
            <v>2</v>
          </cell>
          <cell r="S23">
            <v>1.5</v>
          </cell>
        </row>
        <row r="24">
          <cell r="A24">
            <v>12</v>
          </cell>
          <cell r="B24" t="str">
            <v>Acero de refuerzo figurado</v>
          </cell>
          <cell r="C24" t="str">
            <v>Kg</v>
          </cell>
          <cell r="D24">
            <v>9041</v>
          </cell>
          <cell r="E24">
            <v>1</v>
          </cell>
          <cell r="F24">
            <v>9041</v>
          </cell>
          <cell r="H24">
            <v>200</v>
          </cell>
          <cell r="Q24">
            <v>250</v>
          </cell>
          <cell r="R24">
            <v>200</v>
          </cell>
          <cell r="S24">
            <v>150</v>
          </cell>
        </row>
        <row r="25">
          <cell r="A25">
            <v>13</v>
          </cell>
          <cell r="B25" t="str">
            <v>Mampostería Bloque No. 5 e = 0.12m</v>
          </cell>
          <cell r="C25" t="str">
            <v>m2</v>
          </cell>
          <cell r="D25">
            <v>93778</v>
          </cell>
          <cell r="E25">
            <v>1</v>
          </cell>
          <cell r="F25">
            <v>93778</v>
          </cell>
          <cell r="H25">
            <v>14</v>
          </cell>
          <cell r="Q25">
            <v>16</v>
          </cell>
          <cell r="R25">
            <v>14</v>
          </cell>
          <cell r="S25">
            <v>12</v>
          </cell>
        </row>
        <row r="26">
          <cell r="A26">
            <v>14</v>
          </cell>
          <cell r="B26" t="str">
            <v>Mampostería Ladrillo Tolete e = 0.07</v>
          </cell>
          <cell r="C26" t="str">
            <v>m2</v>
          </cell>
          <cell r="D26">
            <v>147230</v>
          </cell>
          <cell r="E26">
            <v>1</v>
          </cell>
          <cell r="F26">
            <v>147230</v>
          </cell>
          <cell r="H26">
            <v>9</v>
          </cell>
          <cell r="Q26">
            <v>10</v>
          </cell>
          <cell r="R26">
            <v>9</v>
          </cell>
          <cell r="S26">
            <v>8</v>
          </cell>
        </row>
        <row r="27">
          <cell r="A27">
            <v>15</v>
          </cell>
          <cell r="B27" t="str">
            <v>Mampostería Ladrillo Tolete e = 0.12</v>
          </cell>
          <cell r="C27" t="str">
            <v>m2</v>
          </cell>
          <cell r="D27">
            <v>226456</v>
          </cell>
          <cell r="E27">
            <v>1</v>
          </cell>
          <cell r="F27">
            <v>226456</v>
          </cell>
          <cell r="H27">
            <v>6</v>
          </cell>
          <cell r="Q27">
            <v>7</v>
          </cell>
          <cell r="R27">
            <v>6</v>
          </cell>
          <cell r="S27">
            <v>5</v>
          </cell>
        </row>
        <row r="28">
          <cell r="A28">
            <v>16</v>
          </cell>
          <cell r="B28" t="str">
            <v>Mampostería Ladrillo Tolete e = 0.25</v>
          </cell>
          <cell r="C28" t="str">
            <v>m2</v>
          </cell>
          <cell r="D28">
            <v>333183</v>
          </cell>
          <cell r="E28">
            <v>1</v>
          </cell>
          <cell r="F28">
            <v>333183</v>
          </cell>
          <cell r="H28">
            <v>4.8000000000000007</v>
          </cell>
          <cell r="Q28">
            <v>5</v>
          </cell>
          <cell r="R28">
            <v>4.8000000000000007</v>
          </cell>
          <cell r="S28">
            <v>4.5</v>
          </cell>
        </row>
        <row r="29">
          <cell r="A29">
            <v>17</v>
          </cell>
          <cell r="B29" t="str">
            <v>Pañete  1:3 e= 2cm</v>
          </cell>
          <cell r="C29" t="str">
            <v>m2</v>
          </cell>
          <cell r="D29">
            <v>69599</v>
          </cell>
          <cell r="E29">
            <v>1</v>
          </cell>
          <cell r="F29">
            <v>69599</v>
          </cell>
          <cell r="H29">
            <v>15</v>
          </cell>
          <cell r="Q29">
            <v>18</v>
          </cell>
          <cell r="R29">
            <v>15</v>
          </cell>
          <cell r="S29">
            <v>12</v>
          </cell>
        </row>
        <row r="30">
          <cell r="A30">
            <v>18</v>
          </cell>
          <cell r="B30" t="str">
            <v>Estuco y pintura a 3 manos</v>
          </cell>
          <cell r="C30" t="str">
            <v>m2</v>
          </cell>
          <cell r="D30">
            <v>42229</v>
          </cell>
          <cell r="E30">
            <v>1</v>
          </cell>
          <cell r="F30">
            <v>42229</v>
          </cell>
          <cell r="H30">
            <v>18</v>
          </cell>
          <cell r="Q30">
            <v>20</v>
          </cell>
          <cell r="R30">
            <v>18</v>
          </cell>
          <cell r="S30">
            <v>16</v>
          </cell>
        </row>
        <row r="31">
          <cell r="A31">
            <v>19</v>
          </cell>
          <cell r="B31" t="str">
            <v>Pintura muros exterior a tres manos Coraza o similar</v>
          </cell>
          <cell r="C31" t="str">
            <v>m2</v>
          </cell>
          <cell r="D31">
            <v>33628</v>
          </cell>
          <cell r="E31">
            <v>1</v>
          </cell>
          <cell r="F31">
            <v>33628</v>
          </cell>
          <cell r="H31">
            <v>30</v>
          </cell>
          <cell r="Q31">
            <v>40</v>
          </cell>
          <cell r="R31">
            <v>30</v>
          </cell>
          <cell r="S31">
            <v>20</v>
          </cell>
        </row>
        <row r="32">
          <cell r="A32">
            <v>20</v>
          </cell>
          <cell r="B32" t="str">
            <v>Enchape (pisos y paredes) según especificación</v>
          </cell>
          <cell r="C32" t="str">
            <v>m2</v>
          </cell>
          <cell r="D32">
            <v>156130</v>
          </cell>
          <cell r="E32">
            <v>1</v>
          </cell>
          <cell r="F32">
            <v>156130</v>
          </cell>
          <cell r="H32">
            <v>7</v>
          </cell>
          <cell r="Q32">
            <v>8</v>
          </cell>
          <cell r="R32">
            <v>7</v>
          </cell>
          <cell r="S32">
            <v>6</v>
          </cell>
        </row>
        <row r="33">
          <cell r="A33">
            <v>21</v>
          </cell>
          <cell r="B33" t="str">
            <v>Pisos en baldosa (GRES)</v>
          </cell>
          <cell r="C33" t="str">
            <v>m2</v>
          </cell>
          <cell r="D33">
            <v>95090</v>
          </cell>
          <cell r="E33">
            <v>1</v>
          </cell>
          <cell r="F33">
            <v>95090</v>
          </cell>
          <cell r="H33">
            <v>10</v>
          </cell>
          <cell r="Q33">
            <v>12</v>
          </cell>
          <cell r="R33">
            <v>10</v>
          </cell>
          <cell r="S33">
            <v>8</v>
          </cell>
        </row>
        <row r="34">
          <cell r="A34">
            <v>22</v>
          </cell>
          <cell r="B34" t="str">
            <v xml:space="preserve">Sacos de arena cemento relación 6:1 </v>
          </cell>
          <cell r="C34" t="str">
            <v>m3</v>
          </cell>
          <cell r="D34">
            <v>896368</v>
          </cell>
          <cell r="E34">
            <v>1</v>
          </cell>
          <cell r="F34">
            <v>896368</v>
          </cell>
          <cell r="H34">
            <v>4</v>
          </cell>
          <cell r="Q34">
            <v>5</v>
          </cell>
          <cell r="R34">
            <v>4</v>
          </cell>
          <cell r="S34">
            <v>3</v>
          </cell>
        </row>
        <row r="35">
          <cell r="A35">
            <v>23</v>
          </cell>
          <cell r="B35" t="str">
            <v>Sacos de arena</v>
          </cell>
          <cell r="C35" t="str">
            <v>m3</v>
          </cell>
          <cell r="D35">
            <v>429129</v>
          </cell>
          <cell r="E35">
            <v>1</v>
          </cell>
          <cell r="F35">
            <v>429129</v>
          </cell>
          <cell r="H35">
            <v>3</v>
          </cell>
          <cell r="Q35">
            <v>4</v>
          </cell>
          <cell r="R35">
            <v>3</v>
          </cell>
          <cell r="S35">
            <v>2</v>
          </cell>
        </row>
        <row r="36">
          <cell r="A36">
            <v>24</v>
          </cell>
          <cell r="B36" t="str">
            <v>Relleno estructural en base granular B-600 compactado manualmente (95% próctor)</v>
          </cell>
          <cell r="C36" t="str">
            <v>m3</v>
          </cell>
          <cell r="D36">
            <v>87488</v>
          </cell>
          <cell r="E36">
            <v>1</v>
          </cell>
          <cell r="F36">
            <v>87488</v>
          </cell>
          <cell r="H36">
            <v>12</v>
          </cell>
          <cell r="O36" t="str">
            <v>Compactado El precio del recebo incluye el transporte</v>
          </cell>
          <cell r="Q36">
            <v>16</v>
          </cell>
          <cell r="R36">
            <v>12</v>
          </cell>
          <cell r="S36">
            <v>8</v>
          </cell>
        </row>
        <row r="37">
          <cell r="A37">
            <v>25</v>
          </cell>
          <cell r="B37" t="str">
            <v>Relleno estructural en arena compactado manualmente (85% densidad relativa)</v>
          </cell>
          <cell r="C37" t="str">
            <v>m3</v>
          </cell>
          <cell r="D37">
            <v>115925</v>
          </cell>
          <cell r="E37">
            <v>1</v>
          </cell>
          <cell r="F37">
            <v>115925</v>
          </cell>
          <cell r="H37">
            <v>12</v>
          </cell>
          <cell r="Q37">
            <v>16</v>
          </cell>
          <cell r="R37">
            <v>12</v>
          </cell>
          <cell r="S37">
            <v>8</v>
          </cell>
        </row>
        <row r="38">
          <cell r="A38">
            <v>26</v>
          </cell>
          <cell r="B38" t="str">
            <v>Rellenos estructural en recebo compactado manualmente (95% próctor)</v>
          </cell>
          <cell r="C38" t="str">
            <v>m3</v>
          </cell>
          <cell r="D38">
            <v>206738</v>
          </cell>
          <cell r="E38">
            <v>1</v>
          </cell>
          <cell r="F38">
            <v>206738</v>
          </cell>
          <cell r="H38">
            <v>8</v>
          </cell>
          <cell r="Q38">
            <v>10</v>
          </cell>
          <cell r="R38">
            <v>8</v>
          </cell>
          <cell r="S38">
            <v>6</v>
          </cell>
        </row>
        <row r="39">
          <cell r="A39">
            <v>27</v>
          </cell>
          <cell r="B39" t="str">
            <v>Rellenos fluído con Sika Lightcrete</v>
          </cell>
          <cell r="C39" t="str">
            <v>m3</v>
          </cell>
          <cell r="D39">
            <v>440309</v>
          </cell>
          <cell r="E39">
            <v>1</v>
          </cell>
          <cell r="F39">
            <v>440309</v>
          </cell>
          <cell r="H39">
            <v>9.5</v>
          </cell>
          <cell r="Q39">
            <v>13</v>
          </cell>
          <cell r="R39">
            <v>9.5</v>
          </cell>
          <cell r="S39">
            <v>8</v>
          </cell>
        </row>
        <row r="40">
          <cell r="A40">
            <v>28</v>
          </cell>
          <cell r="B40" t="str">
            <v>Juntas de dilatación</v>
          </cell>
          <cell r="C40" t="str">
            <v>ml</v>
          </cell>
          <cell r="D40">
            <v>33218</v>
          </cell>
          <cell r="E40">
            <v>1</v>
          </cell>
          <cell r="F40">
            <v>33218</v>
          </cell>
          <cell r="H40">
            <v>35</v>
          </cell>
          <cell r="Q40">
            <v>40</v>
          </cell>
          <cell r="R40">
            <v>35</v>
          </cell>
          <cell r="S40">
            <v>27</v>
          </cell>
        </row>
        <row r="41">
          <cell r="A41">
            <v>29</v>
          </cell>
          <cell r="B41" t="str">
            <v xml:space="preserve">Grouting </v>
          </cell>
          <cell r="C41" t="str">
            <v>m3</v>
          </cell>
          <cell r="D41">
            <v>887955</v>
          </cell>
          <cell r="E41">
            <v>1</v>
          </cell>
          <cell r="F41">
            <v>887955</v>
          </cell>
          <cell r="H41">
            <v>5</v>
          </cell>
          <cell r="Q41">
            <v>8</v>
          </cell>
          <cell r="R41">
            <v>5</v>
          </cell>
          <cell r="S41">
            <v>4</v>
          </cell>
        </row>
        <row r="42">
          <cell r="A42">
            <v>30</v>
          </cell>
          <cell r="B42" t="str">
            <v xml:space="preserve">Acometida sanitaria PVCS 6" </v>
          </cell>
          <cell r="C42" t="str">
            <v>ml</v>
          </cell>
          <cell r="D42">
            <v>300440</v>
          </cell>
          <cell r="E42">
            <v>1</v>
          </cell>
          <cell r="F42">
            <v>300440</v>
          </cell>
          <cell r="H42">
            <v>4.8</v>
          </cell>
          <cell r="Q42">
            <v>7</v>
          </cell>
          <cell r="R42">
            <v>4.8</v>
          </cell>
          <cell r="S42">
            <v>2.5</v>
          </cell>
        </row>
        <row r="43">
          <cell r="A43">
            <v>31</v>
          </cell>
          <cell r="B43" t="str">
            <v>Acometida hidráulica 1 1/2" RDE 21 (muro existente)</v>
          </cell>
          <cell r="C43" t="str">
            <v>ml</v>
          </cell>
          <cell r="D43">
            <v>103474</v>
          </cell>
          <cell r="E43">
            <v>1</v>
          </cell>
          <cell r="F43">
            <v>103474</v>
          </cell>
          <cell r="H43">
            <v>8</v>
          </cell>
          <cell r="Q43">
            <v>10</v>
          </cell>
          <cell r="R43">
            <v>8</v>
          </cell>
          <cell r="S43">
            <v>7</v>
          </cell>
        </row>
        <row r="44">
          <cell r="A44">
            <v>32</v>
          </cell>
          <cell r="B44" t="str">
            <v>Acometida eléctrica de 3/4" en tubería conduit PVC</v>
          </cell>
          <cell r="C44" t="str">
            <v>ml</v>
          </cell>
          <cell r="D44">
            <v>28994</v>
          </cell>
          <cell r="E44">
            <v>1</v>
          </cell>
          <cell r="F44">
            <v>28994</v>
          </cell>
          <cell r="H44">
            <v>50</v>
          </cell>
          <cell r="Q44">
            <v>60</v>
          </cell>
          <cell r="R44">
            <v>50</v>
          </cell>
          <cell r="S44">
            <v>40</v>
          </cell>
        </row>
        <row r="45">
          <cell r="A45">
            <v>33</v>
          </cell>
          <cell r="B45" t="str">
            <v>Punto sanitario (lavamanos)</v>
          </cell>
          <cell r="C45" t="str">
            <v>un</v>
          </cell>
          <cell r="D45" t="e">
            <v>#DIV/0!</v>
          </cell>
          <cell r="E45">
            <v>1</v>
          </cell>
          <cell r="F45" t="e">
            <v>#DIV/0!</v>
          </cell>
          <cell r="H45">
            <v>0</v>
          </cell>
          <cell r="O45" t="str">
            <v>1p+3ay+2a+2pl</v>
          </cell>
          <cell r="Q45">
            <v>9</v>
          </cell>
          <cell r="R45">
            <v>7</v>
          </cell>
          <cell r="S45">
            <v>5</v>
          </cell>
        </row>
        <row r="46">
          <cell r="A46">
            <v>34</v>
          </cell>
          <cell r="B46" t="str">
            <v>Punto eléctrico (salida para toma trifasica)</v>
          </cell>
          <cell r="C46" t="str">
            <v>un</v>
          </cell>
          <cell r="D46">
            <v>278916</v>
          </cell>
          <cell r="E46">
            <v>1</v>
          </cell>
          <cell r="F46">
            <v>278916</v>
          </cell>
          <cell r="H46">
            <v>5</v>
          </cell>
          <cell r="Q46">
            <v>9</v>
          </cell>
          <cell r="R46">
            <v>5</v>
          </cell>
          <cell r="S46">
            <v>3</v>
          </cell>
        </row>
        <row r="47">
          <cell r="A47">
            <v>35</v>
          </cell>
          <cell r="B47" t="str">
            <v>Punto hidráulico 1/2"</v>
          </cell>
          <cell r="C47" t="str">
            <v>un</v>
          </cell>
          <cell r="D47">
            <v>91458</v>
          </cell>
          <cell r="E47">
            <v>1</v>
          </cell>
          <cell r="F47">
            <v>91458</v>
          </cell>
          <cell r="H47">
            <v>12</v>
          </cell>
          <cell r="Q47">
            <v>14</v>
          </cell>
          <cell r="R47">
            <v>12</v>
          </cell>
          <cell r="S47">
            <v>10</v>
          </cell>
        </row>
        <row r="48">
          <cell r="A48">
            <v>36</v>
          </cell>
          <cell r="B48" t="str">
            <v>Demolición de concretos Estructurales</v>
          </cell>
          <cell r="C48" t="str">
            <v>m3</v>
          </cell>
          <cell r="D48">
            <v>145671</v>
          </cell>
          <cell r="E48">
            <v>1</v>
          </cell>
          <cell r="F48">
            <v>145671</v>
          </cell>
          <cell r="H48">
            <v>10</v>
          </cell>
          <cell r="O48" t="str">
            <v>4of+1a</v>
          </cell>
          <cell r="Q48">
            <v>15</v>
          </cell>
          <cell r="R48">
            <v>10</v>
          </cell>
          <cell r="S48">
            <v>7</v>
          </cell>
        </row>
        <row r="49">
          <cell r="A49">
            <v>37</v>
          </cell>
          <cell r="B49" t="str">
            <v>Demolición de pavimentos</v>
          </cell>
          <cell r="C49" t="str">
            <v>m3</v>
          </cell>
          <cell r="D49">
            <v>98178</v>
          </cell>
          <cell r="E49">
            <v>1</v>
          </cell>
          <cell r="F49">
            <v>98178</v>
          </cell>
          <cell r="H49">
            <v>15</v>
          </cell>
          <cell r="Q49">
            <v>19</v>
          </cell>
          <cell r="R49">
            <v>15</v>
          </cell>
          <cell r="S49">
            <v>13</v>
          </cell>
        </row>
        <row r="50">
          <cell r="A50">
            <v>38</v>
          </cell>
          <cell r="B50" t="str">
            <v>Cerramiento en malla eslabonada hueco 2"X2", tubería galvanizada con base en concreto en c/poste</v>
          </cell>
          <cell r="C50" t="str">
            <v>m2</v>
          </cell>
          <cell r="D50">
            <v>651276</v>
          </cell>
          <cell r="E50">
            <v>1</v>
          </cell>
          <cell r="F50">
            <v>651276</v>
          </cell>
          <cell r="H50">
            <v>5</v>
          </cell>
          <cell r="O50" t="str">
            <v>H= 2.0 MTS</v>
          </cell>
          <cell r="Q50">
            <v>9</v>
          </cell>
          <cell r="R50">
            <v>5</v>
          </cell>
          <cell r="S50">
            <v>3</v>
          </cell>
        </row>
        <row r="51">
          <cell r="A51">
            <v>39</v>
          </cell>
          <cell r="B51" t="str">
            <v>Instalación de malla concertina de 24", 36"y 48".</v>
          </cell>
          <cell r="C51" t="str">
            <v>ml</v>
          </cell>
          <cell r="D51">
            <v>11973</v>
          </cell>
          <cell r="E51">
            <v>1</v>
          </cell>
          <cell r="F51">
            <v>11973</v>
          </cell>
          <cell r="H51">
            <v>80</v>
          </cell>
          <cell r="Q51">
            <v>95</v>
          </cell>
          <cell r="R51">
            <v>80</v>
          </cell>
          <cell r="S51">
            <v>70</v>
          </cell>
        </row>
        <row r="52">
          <cell r="A52">
            <v>40</v>
          </cell>
          <cell r="B52" t="str">
            <v>Transporte de materiales dentro del campo</v>
          </cell>
          <cell r="C52" t="str">
            <v>m3-km</v>
          </cell>
          <cell r="D52">
            <v>1266</v>
          </cell>
          <cell r="E52">
            <v>1</v>
          </cell>
          <cell r="F52">
            <v>1266</v>
          </cell>
          <cell r="H52">
            <v>600</v>
          </cell>
          <cell r="Q52">
            <v>700</v>
          </cell>
          <cell r="R52">
            <v>600</v>
          </cell>
          <cell r="S52">
            <v>500</v>
          </cell>
        </row>
        <row r="53">
          <cell r="A53">
            <v>41</v>
          </cell>
          <cell r="B53" t="str">
            <v>Transporte de materiales fuera del campo (100 km)</v>
          </cell>
          <cell r="C53" t="str">
            <v>m3-km</v>
          </cell>
          <cell r="D53">
            <v>844</v>
          </cell>
          <cell r="E53">
            <v>1</v>
          </cell>
          <cell r="F53">
            <v>844</v>
          </cell>
          <cell r="H53">
            <v>900</v>
          </cell>
          <cell r="O53" t="str">
            <v>Depende según distancia</v>
          </cell>
          <cell r="Q53">
            <v>1000</v>
          </cell>
          <cell r="R53">
            <v>900</v>
          </cell>
          <cell r="S53">
            <v>800</v>
          </cell>
        </row>
        <row r="54">
          <cell r="A54">
            <v>42</v>
          </cell>
          <cell r="B54" t="str">
            <v>Terraplén en arena</v>
          </cell>
          <cell r="C54" t="str">
            <v>m3</v>
          </cell>
          <cell r="D54">
            <v>12639</v>
          </cell>
          <cell r="E54">
            <v>1</v>
          </cell>
          <cell r="F54">
            <v>12639</v>
          </cell>
          <cell r="H54">
            <v>150</v>
          </cell>
          <cell r="Q54">
            <v>220</v>
          </cell>
          <cell r="R54">
            <v>150</v>
          </cell>
          <cell r="S54">
            <v>125</v>
          </cell>
        </row>
        <row r="55">
          <cell r="A55">
            <v>43</v>
          </cell>
          <cell r="B55" t="str">
            <v>Terraplén en arcilla</v>
          </cell>
          <cell r="C55" t="str">
            <v>m3</v>
          </cell>
          <cell r="D55">
            <v>16803</v>
          </cell>
          <cell r="E55">
            <v>1</v>
          </cell>
          <cell r="F55">
            <v>16803</v>
          </cell>
          <cell r="H55">
            <v>150</v>
          </cell>
          <cell r="Q55">
            <v>220</v>
          </cell>
          <cell r="R55">
            <v>150</v>
          </cell>
          <cell r="S55">
            <v>125</v>
          </cell>
        </row>
        <row r="56">
          <cell r="A56">
            <v>44</v>
          </cell>
          <cell r="B56" t="str">
            <v>Adecuación de superficies</v>
          </cell>
          <cell r="C56" t="str">
            <v>m2</v>
          </cell>
          <cell r="D56">
            <v>1680</v>
          </cell>
          <cell r="E56">
            <v>1</v>
          </cell>
          <cell r="F56">
            <v>1680</v>
          </cell>
          <cell r="H56">
            <v>1500</v>
          </cell>
          <cell r="Q56">
            <v>2200</v>
          </cell>
          <cell r="R56">
            <v>1500</v>
          </cell>
          <cell r="S56">
            <v>1100</v>
          </cell>
        </row>
        <row r="57">
          <cell r="A57">
            <v>45</v>
          </cell>
          <cell r="B57" t="str">
            <v>Mortero de Pega 1:5</v>
          </cell>
          <cell r="C57" t="str">
            <v>m3</v>
          </cell>
          <cell r="D57">
            <v>161073</v>
          </cell>
          <cell r="E57">
            <v>1</v>
          </cell>
          <cell r="F57">
            <v>161073</v>
          </cell>
          <cell r="H57">
            <v>10</v>
          </cell>
          <cell r="Q57">
            <v>12</v>
          </cell>
          <cell r="R57">
            <v>10</v>
          </cell>
          <cell r="S57">
            <v>7</v>
          </cell>
        </row>
        <row r="58">
          <cell r="A58">
            <v>46</v>
          </cell>
          <cell r="B58" t="str">
            <v>Punto sanitario (fluxometro)</v>
          </cell>
          <cell r="C58" t="str">
            <v>un</v>
          </cell>
          <cell r="D58">
            <v>463299</v>
          </cell>
          <cell r="E58">
            <v>1</v>
          </cell>
          <cell r="F58">
            <v>463299</v>
          </cell>
          <cell r="H58">
            <v>5</v>
          </cell>
          <cell r="Q58">
            <v>7</v>
          </cell>
          <cell r="R58">
            <v>5</v>
          </cell>
          <cell r="S58">
            <v>3</v>
          </cell>
        </row>
        <row r="59">
          <cell r="A59">
            <v>47</v>
          </cell>
          <cell r="B59" t="str">
            <v xml:space="preserve">Salidas para luminaria incandescente (roseta) </v>
          </cell>
          <cell r="C59" t="str">
            <v>un</v>
          </cell>
          <cell r="D59">
            <v>321771</v>
          </cell>
          <cell r="E59">
            <v>1</v>
          </cell>
          <cell r="F59">
            <v>321771</v>
          </cell>
          <cell r="H59">
            <v>5</v>
          </cell>
          <cell r="Q59">
            <v>7</v>
          </cell>
          <cell r="R59">
            <v>5</v>
          </cell>
          <cell r="S59">
            <v>3</v>
          </cell>
        </row>
        <row r="60">
          <cell r="A60">
            <v>48</v>
          </cell>
          <cell r="B60" t="str">
            <v xml:space="preserve">Concreto 3000 psi </v>
          </cell>
          <cell r="C60" t="str">
            <v>m3</v>
          </cell>
          <cell r="D60">
            <v>285505</v>
          </cell>
          <cell r="F60">
            <v>0</v>
          </cell>
          <cell r="H60">
            <v>10</v>
          </cell>
          <cell r="Q60">
            <v>12</v>
          </cell>
          <cell r="R60">
            <v>10</v>
          </cell>
          <cell r="S60">
            <v>7</v>
          </cell>
        </row>
        <row r="61">
          <cell r="A61">
            <v>49</v>
          </cell>
          <cell r="B61" t="str">
            <v xml:space="preserve">Concreto 2500 psi, incluye malla mortero. </v>
          </cell>
          <cell r="C61" t="str">
            <v>m3</v>
          </cell>
          <cell r="D61">
            <v>1578831</v>
          </cell>
          <cell r="E61">
            <v>1</v>
          </cell>
          <cell r="F61">
            <v>1578831</v>
          </cell>
          <cell r="H61">
            <v>2.5</v>
          </cell>
          <cell r="Q61">
            <v>3</v>
          </cell>
          <cell r="R61">
            <v>2.5</v>
          </cell>
          <cell r="S61">
            <v>2</v>
          </cell>
        </row>
        <row r="62">
          <cell r="A62">
            <v>50</v>
          </cell>
          <cell r="B62" t="str">
            <v xml:space="preserve">Concreto 2000 psi </v>
          </cell>
          <cell r="C62" t="str">
            <v>m3</v>
          </cell>
          <cell r="D62">
            <v>282814</v>
          </cell>
          <cell r="E62">
            <v>1</v>
          </cell>
          <cell r="F62">
            <v>282814</v>
          </cell>
          <cell r="H62">
            <v>10</v>
          </cell>
          <cell r="Q62">
            <v>12</v>
          </cell>
          <cell r="R62">
            <v>10</v>
          </cell>
          <cell r="S62">
            <v>7</v>
          </cell>
        </row>
        <row r="63">
          <cell r="A63">
            <v>51</v>
          </cell>
          <cell r="B63" t="str">
            <v>Relleno Fluido</v>
          </cell>
          <cell r="C63" t="str">
            <v>m3</v>
          </cell>
          <cell r="D63">
            <v>210155</v>
          </cell>
          <cell r="E63">
            <v>1</v>
          </cell>
          <cell r="F63">
            <v>210155</v>
          </cell>
          <cell r="H63">
            <v>10</v>
          </cell>
          <cell r="Q63">
            <v>12</v>
          </cell>
          <cell r="R63">
            <v>10</v>
          </cell>
          <cell r="S63">
            <v>7</v>
          </cell>
        </row>
        <row r="64">
          <cell r="A64">
            <v>52</v>
          </cell>
          <cell r="B64" t="str">
            <v>MORTERO ESTRUCTURAL</v>
          </cell>
          <cell r="C64" t="str">
            <v>m3</v>
          </cell>
          <cell r="D64">
            <v>224655</v>
          </cell>
          <cell r="E64">
            <v>1</v>
          </cell>
          <cell r="F64">
            <v>224655</v>
          </cell>
          <cell r="H64">
            <v>10</v>
          </cell>
          <cell r="Q64">
            <v>12</v>
          </cell>
          <cell r="R64">
            <v>10</v>
          </cell>
          <cell r="S64">
            <v>7</v>
          </cell>
        </row>
        <row r="65">
          <cell r="A65">
            <v>53</v>
          </cell>
          <cell r="B65" t="str">
            <v>Excavaciones manuales Profundidad mayor a 0.7 m</v>
          </cell>
          <cell r="C65" t="str">
            <v>m3</v>
          </cell>
          <cell r="D65">
            <v>335238</v>
          </cell>
          <cell r="E65">
            <v>1</v>
          </cell>
          <cell r="F65">
            <v>335238</v>
          </cell>
          <cell r="H65">
            <v>4.2</v>
          </cell>
          <cell r="Q65">
            <v>5</v>
          </cell>
          <cell r="R65">
            <v>4.2</v>
          </cell>
          <cell r="S65">
            <v>3.5</v>
          </cell>
        </row>
        <row r="66">
          <cell r="A66">
            <v>54</v>
          </cell>
          <cell r="B66" t="str">
            <v>Excavaciones manuales Profundidad entre 0 y 0.3 m</v>
          </cell>
          <cell r="C66" t="str">
            <v>m3</v>
          </cell>
          <cell r="D66">
            <v>239145</v>
          </cell>
          <cell r="E66">
            <v>1</v>
          </cell>
          <cell r="F66">
            <v>239145</v>
          </cell>
          <cell r="H66">
            <v>6</v>
          </cell>
          <cell r="Q66">
            <v>7.2</v>
          </cell>
          <cell r="R66">
            <v>6</v>
          </cell>
          <cell r="S66">
            <v>4.8</v>
          </cell>
        </row>
        <row r="67">
          <cell r="A67">
            <v>55</v>
          </cell>
          <cell r="B67" t="str">
            <v>Instalación cielo raso Fibrocell corrugado</v>
          </cell>
          <cell r="C67" t="str">
            <v>m2</v>
          </cell>
          <cell r="D67">
            <v>162660</v>
          </cell>
          <cell r="E67">
            <v>1</v>
          </cell>
          <cell r="F67">
            <v>162660</v>
          </cell>
          <cell r="H67">
            <v>9</v>
          </cell>
          <cell r="Q67">
            <v>10</v>
          </cell>
          <cell r="R67">
            <v>9</v>
          </cell>
          <cell r="S67">
            <v>8</v>
          </cell>
        </row>
        <row r="68">
          <cell r="A68">
            <v>56</v>
          </cell>
          <cell r="B68" t="str">
            <v>Suministro e instalación puerta entamborada metálica 1.0 x 2.20 m</v>
          </cell>
          <cell r="C68" t="str">
            <v>un</v>
          </cell>
          <cell r="D68">
            <v>941679</v>
          </cell>
          <cell r="E68">
            <v>1</v>
          </cell>
          <cell r="F68">
            <v>941679</v>
          </cell>
          <cell r="H68">
            <v>4</v>
          </cell>
          <cell r="Q68">
            <v>5</v>
          </cell>
          <cell r="R68">
            <v>4</v>
          </cell>
          <cell r="S68">
            <v>3</v>
          </cell>
        </row>
        <row r="69">
          <cell r="A69">
            <v>57</v>
          </cell>
          <cell r="B69" t="str">
            <v>Suministro e instalación ventana aluminio</v>
          </cell>
          <cell r="C69" t="str">
            <v>m2</v>
          </cell>
          <cell r="D69">
            <v>459661</v>
          </cell>
          <cell r="E69">
            <v>1</v>
          </cell>
          <cell r="F69">
            <v>459661</v>
          </cell>
          <cell r="H69">
            <v>20</v>
          </cell>
          <cell r="Q69">
            <v>25</v>
          </cell>
          <cell r="R69">
            <v>20</v>
          </cell>
          <cell r="S69">
            <v>15</v>
          </cell>
        </row>
        <row r="70">
          <cell r="A70">
            <v>58</v>
          </cell>
          <cell r="B70" t="str">
            <v>Construcción mesón concreto con malla e=0.05 m</v>
          </cell>
          <cell r="C70" t="str">
            <v>m2</v>
          </cell>
          <cell r="D70">
            <v>173235</v>
          </cell>
          <cell r="E70">
            <v>1</v>
          </cell>
          <cell r="F70">
            <v>173235</v>
          </cell>
          <cell r="H70">
            <v>10</v>
          </cell>
          <cell r="Q70">
            <v>12</v>
          </cell>
          <cell r="R70">
            <v>10</v>
          </cell>
          <cell r="S70">
            <v>8</v>
          </cell>
        </row>
        <row r="71">
          <cell r="A71">
            <v>59</v>
          </cell>
          <cell r="B71" t="str">
            <v>Suministro e instalación guardaescobas PVC 7.5 cm</v>
          </cell>
          <cell r="C71" t="str">
            <v>ml</v>
          </cell>
          <cell r="D71">
            <v>44634</v>
          </cell>
          <cell r="E71">
            <v>1</v>
          </cell>
          <cell r="F71">
            <v>44634</v>
          </cell>
          <cell r="H71">
            <v>50</v>
          </cell>
          <cell r="Q71">
            <v>60</v>
          </cell>
          <cell r="R71">
            <v>50</v>
          </cell>
          <cell r="S71">
            <v>40</v>
          </cell>
        </row>
        <row r="72">
          <cell r="A72">
            <v>60</v>
          </cell>
          <cell r="B72" t="str">
            <v>Filtro francés 3''  a todo costo</v>
          </cell>
          <cell r="C72" t="str">
            <v>ml</v>
          </cell>
          <cell r="D72">
            <v>147774</v>
          </cell>
          <cell r="E72">
            <v>1</v>
          </cell>
          <cell r="F72">
            <v>147774</v>
          </cell>
          <cell r="H72">
            <v>10</v>
          </cell>
          <cell r="Q72">
            <v>12</v>
          </cell>
          <cell r="R72">
            <v>10</v>
          </cell>
          <cell r="S72">
            <v>8</v>
          </cell>
        </row>
        <row r="73">
          <cell r="A73">
            <v>61</v>
          </cell>
          <cell r="B73" t="str">
            <v>Acometida sanitaria en 4'' No incluye excavación ni rellleno</v>
          </cell>
          <cell r="C73" t="str">
            <v>ml</v>
          </cell>
          <cell r="D73">
            <v>80798</v>
          </cell>
          <cell r="E73">
            <v>1</v>
          </cell>
          <cell r="F73">
            <v>80798</v>
          </cell>
          <cell r="H73">
            <v>45</v>
          </cell>
          <cell r="Q73">
            <v>55</v>
          </cell>
          <cell r="R73">
            <v>45</v>
          </cell>
          <cell r="S73">
            <v>35</v>
          </cell>
        </row>
        <row r="74">
          <cell r="A74">
            <v>62</v>
          </cell>
          <cell r="B74" t="str">
            <v>Cerramiento malla eslabonada 2"x2" cal. 10 h=2.0 m</v>
          </cell>
          <cell r="C74" t="str">
            <v>ml</v>
          </cell>
          <cell r="D74">
            <v>265589</v>
          </cell>
          <cell r="E74">
            <v>1</v>
          </cell>
          <cell r="F74">
            <v>265589</v>
          </cell>
          <cell r="H74">
            <v>10</v>
          </cell>
          <cell r="Q74">
            <v>12</v>
          </cell>
          <cell r="R74">
            <v>10</v>
          </cell>
          <cell r="S74">
            <v>8</v>
          </cell>
        </row>
        <row r="75">
          <cell r="A75">
            <v>63</v>
          </cell>
          <cell r="B75" t="str">
            <v>S/I Puerta malla eslabonada de 2''x2'' de 1.0x2.0 m</v>
          </cell>
          <cell r="C75" t="str">
            <v>Ea</v>
          </cell>
          <cell r="D75" t="e">
            <v>#N/A</v>
          </cell>
          <cell r="E75">
            <v>1</v>
          </cell>
          <cell r="F75" t="e">
            <v>#N/A</v>
          </cell>
          <cell r="H75">
            <v>1.5</v>
          </cell>
          <cell r="Q75">
            <v>1.5</v>
          </cell>
          <cell r="R75">
            <v>1.5</v>
          </cell>
          <cell r="S75">
            <v>1.5</v>
          </cell>
        </row>
        <row r="76">
          <cell r="A76">
            <v>64</v>
          </cell>
          <cell r="B76" t="str">
            <v>Acometida hidráulica de 1"</v>
          </cell>
          <cell r="C76" t="str">
            <v>ml</v>
          </cell>
          <cell r="D76">
            <v>32896</v>
          </cell>
          <cell r="E76">
            <v>1</v>
          </cell>
          <cell r="F76">
            <v>32896</v>
          </cell>
          <cell r="H76">
            <v>30</v>
          </cell>
          <cell r="Q76">
            <v>35</v>
          </cell>
          <cell r="R76">
            <v>30</v>
          </cell>
          <cell r="S76">
            <v>25</v>
          </cell>
        </row>
        <row r="77">
          <cell r="A77">
            <v>65</v>
          </cell>
          <cell r="B77" t="str">
            <v>Acometida sanitaria en 3'' No incluye excavación ni rellleno</v>
          </cell>
          <cell r="C77" t="str">
            <v>ml</v>
          </cell>
          <cell r="D77">
            <v>76125</v>
          </cell>
          <cell r="E77">
            <v>1</v>
          </cell>
          <cell r="F77">
            <v>76125</v>
          </cell>
          <cell r="H77">
            <v>36</v>
          </cell>
          <cell r="Q77">
            <v>42</v>
          </cell>
          <cell r="R77">
            <v>36</v>
          </cell>
          <cell r="S77">
            <v>32</v>
          </cell>
        </row>
        <row r="78">
          <cell r="A78">
            <v>66</v>
          </cell>
          <cell r="B78" t="str">
            <v>Acometida sanitaria en 6'' No incluye excavación ni rellleno</v>
          </cell>
          <cell r="C78" t="str">
            <v>ml</v>
          </cell>
          <cell r="D78">
            <v>110341</v>
          </cell>
          <cell r="E78">
            <v>1</v>
          </cell>
          <cell r="F78">
            <v>110341</v>
          </cell>
          <cell r="H78">
            <v>45</v>
          </cell>
          <cell r="Q78">
            <v>55</v>
          </cell>
          <cell r="R78">
            <v>45</v>
          </cell>
          <cell r="S78">
            <v>35</v>
          </cell>
        </row>
        <row r="79">
          <cell r="A79">
            <v>67</v>
          </cell>
          <cell r="B79" t="str">
            <v>Bordillo 3,000 PSI 0.26 x 0.13 m a todo costo</v>
          </cell>
          <cell r="C79" t="str">
            <v>ml</v>
          </cell>
          <cell r="D79">
            <v>141498</v>
          </cell>
          <cell r="E79">
            <v>1</v>
          </cell>
          <cell r="F79">
            <v>141498</v>
          </cell>
          <cell r="H79">
            <v>30</v>
          </cell>
          <cell r="Q79">
            <v>35</v>
          </cell>
          <cell r="R79">
            <v>30</v>
          </cell>
          <cell r="S79">
            <v>25</v>
          </cell>
        </row>
        <row r="80">
          <cell r="A80">
            <v>68</v>
          </cell>
          <cell r="B80" t="str">
            <v>Acometida hidráulica de 1-1/2"</v>
          </cell>
          <cell r="C80" t="str">
            <v>ml</v>
          </cell>
          <cell r="D80">
            <v>39945</v>
          </cell>
          <cell r="E80">
            <v>1</v>
          </cell>
          <cell r="F80">
            <v>39945</v>
          </cell>
          <cell r="H80">
            <v>35</v>
          </cell>
          <cell r="Q80">
            <v>40</v>
          </cell>
          <cell r="R80">
            <v>35</v>
          </cell>
          <cell r="S80">
            <v>30</v>
          </cell>
        </row>
        <row r="81">
          <cell r="A81">
            <v>69</v>
          </cell>
          <cell r="B81" t="str">
            <v>Acometida hidráulica de 1-1/4"</v>
          </cell>
          <cell r="C81" t="str">
            <v>ml</v>
          </cell>
          <cell r="D81">
            <v>33275</v>
          </cell>
          <cell r="E81">
            <v>1</v>
          </cell>
          <cell r="F81">
            <v>33275</v>
          </cell>
          <cell r="H81">
            <v>35</v>
          </cell>
          <cell r="Q81">
            <v>40</v>
          </cell>
          <cell r="R81">
            <v>35</v>
          </cell>
          <cell r="S81">
            <v>30</v>
          </cell>
        </row>
        <row r="82">
          <cell r="A82">
            <v>70</v>
          </cell>
          <cell r="B82" t="str">
            <v>Acometida hidráulica de 3/4"</v>
          </cell>
          <cell r="C82" t="str">
            <v>ml</v>
          </cell>
          <cell r="D82">
            <v>32925</v>
          </cell>
          <cell r="E82">
            <v>1</v>
          </cell>
          <cell r="F82">
            <v>32925</v>
          </cell>
          <cell r="H82">
            <v>25</v>
          </cell>
          <cell r="Q82">
            <v>30</v>
          </cell>
          <cell r="R82">
            <v>25</v>
          </cell>
          <cell r="S82">
            <v>20</v>
          </cell>
        </row>
        <row r="83">
          <cell r="A83">
            <v>71</v>
          </cell>
          <cell r="B83" t="str">
            <v>Acometida hidráulica de 1/2"</v>
          </cell>
          <cell r="C83" t="str">
            <v>ml</v>
          </cell>
          <cell r="D83">
            <v>31925</v>
          </cell>
          <cell r="E83">
            <v>1</v>
          </cell>
          <cell r="F83">
            <v>31925</v>
          </cell>
          <cell r="H83">
            <v>25</v>
          </cell>
          <cell r="Q83">
            <v>30</v>
          </cell>
          <cell r="R83">
            <v>25</v>
          </cell>
          <cell r="S83">
            <v>20</v>
          </cell>
        </row>
        <row r="84">
          <cell r="A84">
            <v>72</v>
          </cell>
          <cell r="B84" t="str">
            <v>Acometida sanitaria en 2'' No incluye excavación ni rellleno</v>
          </cell>
          <cell r="C84" t="str">
            <v>ml</v>
          </cell>
          <cell r="D84">
            <v>68440</v>
          </cell>
          <cell r="E84">
            <v>1</v>
          </cell>
          <cell r="F84">
            <v>68440</v>
          </cell>
          <cell r="H84">
            <v>36</v>
          </cell>
          <cell r="Q84">
            <v>42</v>
          </cell>
          <cell r="R84">
            <v>36</v>
          </cell>
          <cell r="S84">
            <v>32</v>
          </cell>
        </row>
        <row r="85">
          <cell r="A85">
            <v>73</v>
          </cell>
          <cell r="B85" t="str">
            <v>Caja de inspección sanitaria de 0.7 x 0.7 x 0.9 m a todo costo</v>
          </cell>
          <cell r="C85" t="str">
            <v>Ea</v>
          </cell>
          <cell r="D85">
            <v>1287270</v>
          </cell>
          <cell r="E85">
            <v>1</v>
          </cell>
          <cell r="F85">
            <v>1287270</v>
          </cell>
          <cell r="H85">
            <v>1</v>
          </cell>
          <cell r="Q85">
            <v>1</v>
          </cell>
          <cell r="R85">
            <v>1</v>
          </cell>
          <cell r="S85">
            <v>1</v>
          </cell>
        </row>
        <row r="86">
          <cell r="A86">
            <v>74</v>
          </cell>
          <cell r="B86" t="str">
            <v>Trampa de grasas LIC-048-05 a todo costo</v>
          </cell>
          <cell r="C86" t="str">
            <v>Ea</v>
          </cell>
          <cell r="D86">
            <v>6417046</v>
          </cell>
          <cell r="E86">
            <v>1</v>
          </cell>
          <cell r="F86">
            <v>6417046</v>
          </cell>
          <cell r="H86">
            <v>1</v>
          </cell>
          <cell r="Q86">
            <v>1</v>
          </cell>
          <cell r="R86">
            <v>1</v>
          </cell>
          <cell r="S86">
            <v>1</v>
          </cell>
        </row>
        <row r="87">
          <cell r="A87">
            <v>75</v>
          </cell>
          <cell r="B87" t="str">
            <v>Cubierta en teja española Eternit, incluye caballete, limatesas, etc.</v>
          </cell>
          <cell r="C87" t="str">
            <v>m2</v>
          </cell>
          <cell r="D87">
            <v>160620</v>
          </cell>
          <cell r="E87">
            <v>1</v>
          </cell>
          <cell r="F87">
            <v>160620</v>
          </cell>
          <cell r="H87">
            <v>30</v>
          </cell>
          <cell r="Q87">
            <v>40</v>
          </cell>
          <cell r="R87">
            <v>30</v>
          </cell>
          <cell r="S87">
            <v>20</v>
          </cell>
        </row>
        <row r="88">
          <cell r="A88">
            <v>76</v>
          </cell>
          <cell r="B88" t="str">
            <v>Suministro e instalación de canales y bajantes con L=0.60 ml, incluye pintura</v>
          </cell>
          <cell r="C88" t="str">
            <v>ml</v>
          </cell>
          <cell r="D88">
            <v>156099</v>
          </cell>
          <cell r="E88">
            <v>1</v>
          </cell>
          <cell r="F88">
            <v>156099</v>
          </cell>
          <cell r="H88">
            <v>40</v>
          </cell>
          <cell r="Q88">
            <v>50</v>
          </cell>
          <cell r="R88">
            <v>40</v>
          </cell>
          <cell r="S88">
            <v>30</v>
          </cell>
        </row>
        <row r="89">
          <cell r="A89">
            <v>77</v>
          </cell>
          <cell r="B89" t="str">
            <v>Caja de inspección sanitaria de 0.6 x 0.6 x 0.9 m a todo costo</v>
          </cell>
          <cell r="C89" t="str">
            <v>Ea</v>
          </cell>
          <cell r="D89">
            <v>1043000</v>
          </cell>
          <cell r="E89">
            <v>1</v>
          </cell>
          <cell r="F89">
            <v>1043000</v>
          </cell>
          <cell r="H89">
            <v>1</v>
          </cell>
          <cell r="Q89">
            <v>1</v>
          </cell>
          <cell r="R89">
            <v>1</v>
          </cell>
          <cell r="S89">
            <v>1</v>
          </cell>
        </row>
        <row r="90">
          <cell r="A90">
            <v>78</v>
          </cell>
          <cell r="B90" t="str">
            <v>Caja de inspección sanitaria de 0.8 x 0.8 x 0.90 m a todo costo</v>
          </cell>
          <cell r="C90" t="str">
            <v>Ea</v>
          </cell>
          <cell r="D90">
            <v>1551419</v>
          </cell>
          <cell r="E90">
            <v>1</v>
          </cell>
          <cell r="F90">
            <v>1551419</v>
          </cell>
          <cell r="H90">
            <v>1</v>
          </cell>
          <cell r="Q90">
            <v>1</v>
          </cell>
          <cell r="R90">
            <v>1</v>
          </cell>
          <cell r="S90">
            <v>1</v>
          </cell>
        </row>
        <row r="91">
          <cell r="A91">
            <v>79</v>
          </cell>
          <cell r="B91" t="str">
            <v>Suministro e instalación de guardaescoba Granito</v>
          </cell>
          <cell r="C91" t="str">
            <v>ml</v>
          </cell>
          <cell r="D91">
            <v>56974</v>
          </cell>
          <cell r="E91">
            <v>1</v>
          </cell>
          <cell r="F91">
            <v>56974</v>
          </cell>
          <cell r="H91">
            <v>30</v>
          </cell>
          <cell r="Q91">
            <v>40</v>
          </cell>
          <cell r="R91">
            <v>30</v>
          </cell>
          <cell r="S91">
            <v>20</v>
          </cell>
        </row>
        <row r="92">
          <cell r="A92">
            <v>80</v>
          </cell>
          <cell r="B92" t="str">
            <v>Suministro e instalación de tapete antiestático</v>
          </cell>
          <cell r="C92" t="str">
            <v>m2</v>
          </cell>
          <cell r="D92">
            <v>441816</v>
          </cell>
          <cell r="E92">
            <v>1</v>
          </cell>
          <cell r="F92">
            <v>441816</v>
          </cell>
          <cell r="H92">
            <v>20</v>
          </cell>
          <cell r="Q92">
            <v>25</v>
          </cell>
          <cell r="R92">
            <v>20</v>
          </cell>
          <cell r="S92">
            <v>15</v>
          </cell>
        </row>
        <row r="93">
          <cell r="A93">
            <v>81</v>
          </cell>
          <cell r="B93" t="str">
            <v>Suministro e instalación de guardaescoba en cedro</v>
          </cell>
          <cell r="C93" t="str">
            <v>ml</v>
          </cell>
          <cell r="D93">
            <v>50419</v>
          </cell>
          <cell r="E93">
            <v>1</v>
          </cell>
          <cell r="F93">
            <v>50419</v>
          </cell>
          <cell r="H93">
            <v>50</v>
          </cell>
          <cell r="Q93">
            <v>60</v>
          </cell>
          <cell r="R93">
            <v>50</v>
          </cell>
          <cell r="S93">
            <v>40</v>
          </cell>
        </row>
        <row r="94">
          <cell r="A94">
            <v>82</v>
          </cell>
          <cell r="B94" t="str">
            <v>Suministro e instalación puerta metálica 1.0 x 2.25 m, incluye marco en aluminio y cerradura</v>
          </cell>
          <cell r="C94" t="str">
            <v>Ea</v>
          </cell>
          <cell r="D94">
            <v>1038105</v>
          </cell>
          <cell r="E94">
            <v>1</v>
          </cell>
          <cell r="F94">
            <v>1038105</v>
          </cell>
          <cell r="H94">
            <v>1</v>
          </cell>
          <cell r="Q94">
            <v>1</v>
          </cell>
          <cell r="R94">
            <v>1</v>
          </cell>
          <cell r="S94">
            <v>1</v>
          </cell>
        </row>
        <row r="95">
          <cell r="A95">
            <v>83</v>
          </cell>
          <cell r="B95" t="str">
            <v>Suministro e instalación de puertas en madera de 1.0 m, incluye marco en aluminio o madera y cerradura</v>
          </cell>
          <cell r="C95" t="str">
            <v>Ea</v>
          </cell>
          <cell r="D95">
            <v>617456</v>
          </cell>
          <cell r="E95">
            <v>1</v>
          </cell>
          <cell r="F95">
            <v>617456</v>
          </cell>
          <cell r="H95">
            <v>1</v>
          </cell>
          <cell r="Q95">
            <v>1</v>
          </cell>
          <cell r="R95">
            <v>1</v>
          </cell>
          <cell r="S95">
            <v>1</v>
          </cell>
        </row>
        <row r="96">
          <cell r="A96">
            <v>84</v>
          </cell>
          <cell r="B96" t="str">
            <v>Suministro e instalación de puertas en madera de 0.9 m, incluye marco en aluminio o madera y cerradura</v>
          </cell>
          <cell r="C96" t="str">
            <v>Ea</v>
          </cell>
          <cell r="D96">
            <v>588456</v>
          </cell>
          <cell r="E96">
            <v>1</v>
          </cell>
          <cell r="F96">
            <v>588456</v>
          </cell>
          <cell r="H96">
            <v>1</v>
          </cell>
          <cell r="Q96">
            <v>1</v>
          </cell>
          <cell r="R96">
            <v>1</v>
          </cell>
          <cell r="S96">
            <v>1</v>
          </cell>
        </row>
        <row r="97">
          <cell r="A97">
            <v>85</v>
          </cell>
          <cell r="B97" t="str">
            <v>Suministro e instalación de puertas en madera de 0.70 m, incluye marco en aluminio o madera y cerradura</v>
          </cell>
          <cell r="C97" t="str">
            <v>Ea</v>
          </cell>
          <cell r="D97">
            <v>472456</v>
          </cell>
          <cell r="E97">
            <v>1</v>
          </cell>
          <cell r="F97">
            <v>472456</v>
          </cell>
          <cell r="H97">
            <v>1</v>
          </cell>
          <cell r="Q97">
            <v>1</v>
          </cell>
          <cell r="R97">
            <v>1</v>
          </cell>
          <cell r="S97">
            <v>1</v>
          </cell>
        </row>
        <row r="98">
          <cell r="A98">
            <v>86</v>
          </cell>
          <cell r="B98" t="str">
            <v>Suministro e instalación de puerta persiana de madera tipo closet, incluye marco en aluminio o madera.</v>
          </cell>
          <cell r="C98" t="str">
            <v>Ea</v>
          </cell>
          <cell r="D98">
            <v>404133</v>
          </cell>
          <cell r="E98">
            <v>1</v>
          </cell>
          <cell r="F98">
            <v>404133</v>
          </cell>
          <cell r="H98">
            <v>1</v>
          </cell>
          <cell r="Q98">
            <v>1</v>
          </cell>
          <cell r="R98">
            <v>1</v>
          </cell>
          <cell r="S98">
            <v>1</v>
          </cell>
        </row>
        <row r="99">
          <cell r="A99">
            <v>87</v>
          </cell>
          <cell r="B99" t="str">
            <v>Cunetas perimetrales Area Transversal &lt; 0.10 m2.  Incluye excavación</v>
          </cell>
          <cell r="C99" t="str">
            <v>ml</v>
          </cell>
          <cell r="D99">
            <v>413397</v>
          </cell>
          <cell r="E99">
            <v>1</v>
          </cell>
          <cell r="F99">
            <v>413397</v>
          </cell>
          <cell r="H99">
            <v>10</v>
          </cell>
          <cell r="Q99">
            <v>12</v>
          </cell>
          <cell r="R99">
            <v>10</v>
          </cell>
          <cell r="S99">
            <v>8</v>
          </cell>
        </row>
        <row r="100">
          <cell r="A100">
            <v>88</v>
          </cell>
          <cell r="B100" t="str">
            <v>Bordillo 3,000 PSI 0.45 x 0.10 m a todo costo</v>
          </cell>
          <cell r="C100" t="str">
            <v>ml</v>
          </cell>
          <cell r="D100">
            <v>179750</v>
          </cell>
          <cell r="E100">
            <v>1</v>
          </cell>
          <cell r="F100">
            <v>179750</v>
          </cell>
          <cell r="H100">
            <v>30</v>
          </cell>
          <cell r="Q100">
            <v>35</v>
          </cell>
          <cell r="R100">
            <v>30</v>
          </cell>
          <cell r="S100">
            <v>25</v>
          </cell>
        </row>
        <row r="101">
          <cell r="A101">
            <v>89</v>
          </cell>
          <cell r="B101" t="str">
            <v>Suministro e instalación de guardaescoba cerámica 7cm</v>
          </cell>
          <cell r="C101" t="str">
            <v>ml</v>
          </cell>
          <cell r="D101">
            <v>20828</v>
          </cell>
          <cell r="E101">
            <v>1</v>
          </cell>
          <cell r="F101">
            <v>20828</v>
          </cell>
          <cell r="H101">
            <v>40</v>
          </cell>
          <cell r="Q101">
            <v>50</v>
          </cell>
          <cell r="R101">
            <v>40</v>
          </cell>
          <cell r="S101">
            <v>30</v>
          </cell>
        </row>
        <row r="102">
          <cell r="A102">
            <v>90</v>
          </cell>
          <cell r="B102" t="str">
            <v>Demolición de concretos Estructurales y/o muros en mampostería.</v>
          </cell>
          <cell r="C102" t="str">
            <v>m2</v>
          </cell>
          <cell r="D102">
            <v>14268</v>
          </cell>
          <cell r="E102">
            <v>1</v>
          </cell>
          <cell r="F102">
            <v>14268</v>
          </cell>
          <cell r="H102">
            <v>40</v>
          </cell>
          <cell r="Q102">
            <v>50</v>
          </cell>
          <cell r="R102">
            <v>40</v>
          </cell>
          <cell r="S102">
            <v>30</v>
          </cell>
        </row>
        <row r="103">
          <cell r="A103">
            <v>91</v>
          </cell>
          <cell r="B103" t="str">
            <v>Caja de inspección sanitaria de 0.5 x 0.5 x 0.6 m a todo costo</v>
          </cell>
          <cell r="C103" t="str">
            <v>Ea</v>
          </cell>
          <cell r="D103">
            <v>809359</v>
          </cell>
          <cell r="E103">
            <v>1</v>
          </cell>
          <cell r="F103">
            <v>809359</v>
          </cell>
          <cell r="H103">
            <v>1</v>
          </cell>
          <cell r="Q103">
            <v>1</v>
          </cell>
          <cell r="R103">
            <v>1</v>
          </cell>
          <cell r="S103">
            <v>1</v>
          </cell>
        </row>
        <row r="104">
          <cell r="A104">
            <v>92</v>
          </cell>
          <cell r="B104" t="str">
            <v>Malla mortero e=0.05m</v>
          </cell>
          <cell r="C104" t="str">
            <v>m2</v>
          </cell>
          <cell r="D104">
            <v>59204</v>
          </cell>
          <cell r="E104">
            <v>1</v>
          </cell>
          <cell r="F104">
            <v>59204</v>
          </cell>
          <cell r="H104">
            <v>60</v>
          </cell>
          <cell r="Q104">
            <v>50</v>
          </cell>
          <cell r="R104">
            <v>60</v>
          </cell>
          <cell r="S104">
            <v>30</v>
          </cell>
        </row>
        <row r="105">
          <cell r="A105">
            <v>93</v>
          </cell>
          <cell r="B105" t="str">
            <v>Malla mortero e=0.03m</v>
          </cell>
          <cell r="C105" t="str">
            <v>m2</v>
          </cell>
          <cell r="D105">
            <v>50403</v>
          </cell>
          <cell r="E105">
            <v>1</v>
          </cell>
          <cell r="F105">
            <v>50403</v>
          </cell>
          <cell r="H105">
            <v>70</v>
          </cell>
          <cell r="Q105">
            <v>84</v>
          </cell>
          <cell r="R105">
            <v>70</v>
          </cell>
          <cell r="S105">
            <v>56</v>
          </cell>
        </row>
        <row r="106">
          <cell r="A106">
            <v>94</v>
          </cell>
          <cell r="B106" t="str">
            <v>Excavación adecuación, perfilado del terreno (incluye estabilización en cemento)</v>
          </cell>
          <cell r="C106" t="str">
            <v>m2</v>
          </cell>
          <cell r="D106">
            <v>5438</v>
          </cell>
          <cell r="E106">
            <v>1</v>
          </cell>
          <cell r="F106">
            <v>5438</v>
          </cell>
          <cell r="H106">
            <v>3000</v>
          </cell>
          <cell r="Q106">
            <v>3600</v>
          </cell>
          <cell r="R106">
            <v>3000</v>
          </cell>
          <cell r="S106">
            <v>2400</v>
          </cell>
        </row>
        <row r="107">
          <cell r="A107">
            <v>95</v>
          </cell>
          <cell r="B107" t="str">
            <v>Suministro e instalación de rejilla prensada 1"x1/8"</v>
          </cell>
          <cell r="C107" t="str">
            <v>ml</v>
          </cell>
          <cell r="D107">
            <v>61535</v>
          </cell>
          <cell r="E107">
            <v>1</v>
          </cell>
          <cell r="F107">
            <v>61535</v>
          </cell>
          <cell r="H107">
            <v>1000</v>
          </cell>
          <cell r="Q107">
            <v>1200</v>
          </cell>
          <cell r="R107">
            <v>1000</v>
          </cell>
          <cell r="S107">
            <v>800</v>
          </cell>
        </row>
        <row r="108">
          <cell r="A108">
            <v>96</v>
          </cell>
          <cell r="B108" t="str">
            <v>Concreto 3.000 psi para fundaciones de soportes de tubería</v>
          </cell>
          <cell r="C108" t="str">
            <v>m3</v>
          </cell>
          <cell r="D108">
            <v>2628081</v>
          </cell>
          <cell r="E108">
            <v>1</v>
          </cell>
          <cell r="F108">
            <v>2628081</v>
          </cell>
          <cell r="H108">
            <v>1.5</v>
          </cell>
          <cell r="Q108">
            <v>2</v>
          </cell>
          <cell r="R108">
            <v>1.5</v>
          </cell>
          <cell r="S108">
            <v>1.3</v>
          </cell>
        </row>
        <row r="109">
          <cell r="A109">
            <v>97</v>
          </cell>
          <cell r="B109" t="str">
            <v>Suministro y aplicación Sikadur-31 FF en 2 mm</v>
          </cell>
          <cell r="C109" t="str">
            <v>m2</v>
          </cell>
          <cell r="D109">
            <v>197581</v>
          </cell>
          <cell r="E109">
            <v>1</v>
          </cell>
          <cell r="F109">
            <v>197581</v>
          </cell>
          <cell r="H109">
            <v>50</v>
          </cell>
          <cell r="Q109">
            <v>60</v>
          </cell>
          <cell r="R109">
            <v>50</v>
          </cell>
          <cell r="S109">
            <v>70</v>
          </cell>
        </row>
        <row r="110">
          <cell r="A110">
            <v>98</v>
          </cell>
          <cell r="B110" t="str">
            <v>Suministro e instalación de rejilla en varilla de 1'' y platina 3/8'' x 3'' de 1.95 m de ancho</v>
          </cell>
          <cell r="C110" t="str">
            <v>ml</v>
          </cell>
          <cell r="D110" t="e">
            <v>#N/A</v>
          </cell>
          <cell r="E110">
            <v>1</v>
          </cell>
          <cell r="F110" t="e">
            <v>#N/A</v>
          </cell>
          <cell r="H110">
            <v>4</v>
          </cell>
          <cell r="Q110">
            <v>5</v>
          </cell>
          <cell r="R110">
            <v>4</v>
          </cell>
          <cell r="S110">
            <v>3</v>
          </cell>
        </row>
        <row r="111">
          <cell r="A111">
            <v>99</v>
          </cell>
          <cell r="B111" t="str">
            <v>Concreto 3.500 psi reforzado (malla Q7) para muros</v>
          </cell>
          <cell r="C111" t="str">
            <v>m3</v>
          </cell>
          <cell r="D111">
            <v>1957329</v>
          </cell>
          <cell r="E111">
            <v>1</v>
          </cell>
          <cell r="F111">
            <v>1957329</v>
          </cell>
          <cell r="H111">
            <v>2.2000000000000002</v>
          </cell>
          <cell r="Q111">
            <v>2.5</v>
          </cell>
          <cell r="R111">
            <v>2.2000000000000002</v>
          </cell>
          <cell r="S111">
            <v>1.8</v>
          </cell>
        </row>
        <row r="112">
          <cell r="A112">
            <v>100</v>
          </cell>
          <cell r="B112" t="str">
            <v>Concreto 3.500 psi sin refuerzo para muros</v>
          </cell>
          <cell r="C112" t="str">
            <v>m3</v>
          </cell>
          <cell r="D112">
            <v>1819919</v>
          </cell>
          <cell r="E112">
            <v>1</v>
          </cell>
          <cell r="F112">
            <v>1819919</v>
          </cell>
          <cell r="H112">
            <v>2.2000000000000002</v>
          </cell>
          <cell r="Q112">
            <v>2.5</v>
          </cell>
          <cell r="R112">
            <v>2.2000000000000002</v>
          </cell>
          <cell r="S112">
            <v>2</v>
          </cell>
        </row>
        <row r="113">
          <cell r="A113">
            <v>101</v>
          </cell>
          <cell r="B113" t="str">
            <v>Adecuación inicial para construcción de estructura de salida canal PF-1</v>
          </cell>
          <cell r="C113" t="str">
            <v>Glb</v>
          </cell>
          <cell r="D113">
            <v>21233129</v>
          </cell>
          <cell r="E113">
            <v>1</v>
          </cell>
          <cell r="F113">
            <v>21233129</v>
          </cell>
          <cell r="H113">
            <v>0.2</v>
          </cell>
          <cell r="Q113">
            <v>0.3</v>
          </cell>
          <cell r="R113">
            <v>0.2</v>
          </cell>
          <cell r="S113">
            <v>0.1</v>
          </cell>
        </row>
        <row r="114">
          <cell r="A114">
            <v>102</v>
          </cell>
          <cell r="B114" t="str">
            <v>Cerramiento malla eslabonada 2"x2" cal. 10 h=1.0 m</v>
          </cell>
          <cell r="C114" t="str">
            <v>ml</v>
          </cell>
          <cell r="D114">
            <v>201471</v>
          </cell>
          <cell r="E114">
            <v>1</v>
          </cell>
          <cell r="F114">
            <v>201471</v>
          </cell>
          <cell r="H114">
            <v>10</v>
          </cell>
          <cell r="Q114">
            <v>12</v>
          </cell>
          <cell r="R114">
            <v>10</v>
          </cell>
          <cell r="S114">
            <v>8</v>
          </cell>
        </row>
        <row r="115">
          <cell r="A115">
            <v>103</v>
          </cell>
          <cell r="B115" t="str">
            <v>Concreto 3.500 psi reforzado (malla Q7) para placas</v>
          </cell>
          <cell r="C115" t="str">
            <v>m3</v>
          </cell>
          <cell r="D115">
            <v>1584074</v>
          </cell>
          <cell r="E115">
            <v>1</v>
          </cell>
          <cell r="F115">
            <v>1584074</v>
          </cell>
          <cell r="H115">
            <v>3</v>
          </cell>
          <cell r="Q115">
            <v>3.5</v>
          </cell>
          <cell r="R115">
            <v>3</v>
          </cell>
          <cell r="S115">
            <v>2.8</v>
          </cell>
        </row>
        <row r="116">
          <cell r="A116">
            <v>104</v>
          </cell>
          <cell r="B116" t="str">
            <v>Mojones de referencia Vía Nacional</v>
          </cell>
          <cell r="C116" t="str">
            <v>Ea</v>
          </cell>
          <cell r="D116">
            <v>280375</v>
          </cell>
          <cell r="E116">
            <v>1</v>
          </cell>
          <cell r="F116">
            <v>280375</v>
          </cell>
          <cell r="H116">
            <v>12</v>
          </cell>
          <cell r="Q116">
            <v>15</v>
          </cell>
          <cell r="R116">
            <v>12</v>
          </cell>
          <cell r="S116">
            <v>10</v>
          </cell>
        </row>
        <row r="117">
          <cell r="A117">
            <v>102.01</v>
          </cell>
          <cell r="B117" t="str">
            <v>Cerramiento malla eslabonada 1"x1" cal. 12 y zaranda h=1.0 m</v>
          </cell>
          <cell r="C117" t="str">
            <v>ml</v>
          </cell>
          <cell r="D117">
            <v>139035</v>
          </cell>
          <cell r="E117">
            <v>1</v>
          </cell>
          <cell r="F117">
            <v>139035</v>
          </cell>
          <cell r="H117">
            <v>30</v>
          </cell>
          <cell r="Q117">
            <v>45</v>
          </cell>
          <cell r="R117">
            <v>30</v>
          </cell>
          <cell r="S117">
            <v>20</v>
          </cell>
        </row>
        <row r="118">
          <cell r="A118">
            <v>63.01</v>
          </cell>
          <cell r="B118" t="str">
            <v>S/I Puerta malla eslabonada de 1''x1'' de 1.0x3.2 m con malla zaranda</v>
          </cell>
          <cell r="C118" t="str">
            <v>Ea</v>
          </cell>
          <cell r="D118" t="e">
            <v>#N/A</v>
          </cell>
          <cell r="E118">
            <v>1</v>
          </cell>
          <cell r="F118" t="e">
            <v>#N/A</v>
          </cell>
          <cell r="H118">
            <v>1</v>
          </cell>
          <cell r="Q118">
            <v>1.5</v>
          </cell>
          <cell r="R118">
            <v>1</v>
          </cell>
          <cell r="S118">
            <v>0.5</v>
          </cell>
        </row>
        <row r="119">
          <cell r="A119">
            <v>107</v>
          </cell>
          <cell r="B119" t="str">
            <v>Defensas metálicas, lámina galvanizada cal. 16</v>
          </cell>
          <cell r="C119" t="str">
            <v>ml</v>
          </cell>
          <cell r="D119">
            <v>212725</v>
          </cell>
          <cell r="E119">
            <v>1</v>
          </cell>
          <cell r="F119">
            <v>212725</v>
          </cell>
          <cell r="H119">
            <v>30</v>
          </cell>
          <cell r="Q119">
            <v>45</v>
          </cell>
          <cell r="R119">
            <v>30</v>
          </cell>
          <cell r="S119">
            <v>20</v>
          </cell>
        </row>
        <row r="120">
          <cell r="A120">
            <v>108</v>
          </cell>
          <cell r="B120" t="str">
            <v>Suministro e instalación de tapa en lámina de alfajor de e=1/4",  Incluye manijas de sujeción, acabados en pintura y embebidos para instalación</v>
          </cell>
          <cell r="C120" t="str">
            <v>m2</v>
          </cell>
          <cell r="D120">
            <v>377015</v>
          </cell>
          <cell r="E120">
            <v>1</v>
          </cell>
          <cell r="F120">
            <v>377015</v>
          </cell>
          <cell r="H120">
            <v>50</v>
          </cell>
          <cell r="Q120">
            <v>75</v>
          </cell>
          <cell r="R120">
            <v>50</v>
          </cell>
          <cell r="S120">
            <v>25</v>
          </cell>
        </row>
        <row r="121">
          <cell r="A121">
            <v>109</v>
          </cell>
          <cell r="B121" t="str">
            <v>Estructura metálica para izado de tanque sumidero</v>
          </cell>
          <cell r="C121" t="str">
            <v>Glb</v>
          </cell>
          <cell r="D121" t="e">
            <v>#N/A</v>
          </cell>
          <cell r="E121">
            <v>1</v>
          </cell>
          <cell r="F121" t="e">
            <v>#N/A</v>
          </cell>
          <cell r="H121">
            <v>1</v>
          </cell>
          <cell r="Q121">
            <v>1</v>
          </cell>
          <cell r="R121">
            <v>1</v>
          </cell>
          <cell r="S121">
            <v>1</v>
          </cell>
        </row>
        <row r="122">
          <cell r="A122">
            <v>110</v>
          </cell>
          <cell r="B122" t="str">
            <v>Estructura metalica, columnas, vigas principales y escalera (incluye pintura)</v>
          </cell>
          <cell r="C122" t="str">
            <v>Kg</v>
          </cell>
          <cell r="D122">
            <v>15380</v>
          </cell>
          <cell r="E122">
            <v>1</v>
          </cell>
          <cell r="F122">
            <v>15380</v>
          </cell>
          <cell r="H122">
            <v>180</v>
          </cell>
          <cell r="Q122">
            <v>220</v>
          </cell>
          <cell r="R122">
            <v>180</v>
          </cell>
          <cell r="S122">
            <v>160</v>
          </cell>
        </row>
        <row r="123">
          <cell r="A123">
            <v>111</v>
          </cell>
          <cell r="B123" t="str">
            <v>Cieloraso suspendido Superboard 8mm, incluye perfileria metalica</v>
          </cell>
          <cell r="C123" t="str">
            <v>m2</v>
          </cell>
          <cell r="D123">
            <v>234800</v>
          </cell>
          <cell r="E123">
            <v>1</v>
          </cell>
          <cell r="F123">
            <v>234800</v>
          </cell>
          <cell r="H123">
            <v>8</v>
          </cell>
          <cell r="Q123">
            <v>10</v>
          </cell>
          <cell r="R123">
            <v>8</v>
          </cell>
          <cell r="S123">
            <v>7</v>
          </cell>
        </row>
        <row r="124">
          <cell r="A124">
            <v>112</v>
          </cell>
          <cell r="G124">
            <v>0</v>
          </cell>
          <cell r="H124">
            <v>0</v>
          </cell>
          <cell r="I124">
            <v>0</v>
          </cell>
          <cell r="J124">
            <v>0</v>
          </cell>
          <cell r="K124">
            <v>0</v>
          </cell>
          <cell r="L124">
            <v>0</v>
          </cell>
          <cell r="M124">
            <v>0</v>
          </cell>
          <cell r="N124">
            <v>0</v>
          </cell>
        </row>
        <row r="125">
          <cell r="A125">
            <v>113</v>
          </cell>
          <cell r="B125" t="str">
            <v>Mamposteria Bloque No. 4 e = 0.1m</v>
          </cell>
          <cell r="C125" t="str">
            <v>m2</v>
          </cell>
          <cell r="D125">
            <v>94726</v>
          </cell>
          <cell r="E125">
            <v>1</v>
          </cell>
          <cell r="F125">
            <v>94726</v>
          </cell>
          <cell r="H125">
            <v>18</v>
          </cell>
          <cell r="Q125">
            <v>20</v>
          </cell>
          <cell r="R125">
            <v>18</v>
          </cell>
          <cell r="S125">
            <v>16</v>
          </cell>
        </row>
        <row r="126">
          <cell r="A126">
            <v>114</v>
          </cell>
          <cell r="B126" t="str">
            <v>Paredes doble cara en Superboard e = 10mm, incluye perfileria metalica</v>
          </cell>
          <cell r="C126" t="str">
            <v>m2</v>
          </cell>
          <cell r="D126">
            <v>275169</v>
          </cell>
          <cell r="E126">
            <v>1</v>
          </cell>
          <cell r="F126">
            <v>275169</v>
          </cell>
          <cell r="H126">
            <v>8</v>
          </cell>
          <cell r="Q126">
            <v>10</v>
          </cell>
          <cell r="R126">
            <v>8</v>
          </cell>
          <cell r="S126">
            <v>7</v>
          </cell>
        </row>
        <row r="127">
          <cell r="A127">
            <v>115</v>
          </cell>
          <cell r="B127" t="str">
            <v>Pintura de Cielorrasos en vinilo a 2 manos</v>
          </cell>
          <cell r="C127" t="str">
            <v>m2</v>
          </cell>
          <cell r="D127">
            <v>29131</v>
          </cell>
          <cell r="E127">
            <v>1</v>
          </cell>
          <cell r="F127">
            <v>29131</v>
          </cell>
          <cell r="H127">
            <v>25</v>
          </cell>
          <cell r="Q127">
            <v>30</v>
          </cell>
          <cell r="R127">
            <v>25</v>
          </cell>
          <cell r="S127">
            <v>20</v>
          </cell>
        </row>
        <row r="128">
          <cell r="A128">
            <v>116</v>
          </cell>
          <cell r="B128" t="str">
            <v>Piso en tableta de vinilo de 30x30 e = 2mm</v>
          </cell>
          <cell r="C128" t="str">
            <v>m2</v>
          </cell>
          <cell r="D128">
            <v>90131</v>
          </cell>
          <cell r="E128">
            <v>1</v>
          </cell>
          <cell r="F128">
            <v>90131</v>
          </cell>
          <cell r="H128">
            <v>10</v>
          </cell>
          <cell r="Q128">
            <v>12</v>
          </cell>
          <cell r="R128">
            <v>10</v>
          </cell>
          <cell r="S128">
            <v>8</v>
          </cell>
        </row>
        <row r="129">
          <cell r="A129">
            <v>117</v>
          </cell>
          <cell r="B129" t="str">
            <v>Guardaescoba en vinilo h=10 cm</v>
          </cell>
          <cell r="C129" t="str">
            <v>ml</v>
          </cell>
          <cell r="D129">
            <v>38446</v>
          </cell>
          <cell r="E129">
            <v>1</v>
          </cell>
          <cell r="F129">
            <v>38446</v>
          </cell>
          <cell r="H129">
            <v>50</v>
          </cell>
          <cell r="Q129">
            <v>60</v>
          </cell>
          <cell r="R129">
            <v>50</v>
          </cell>
          <cell r="S129">
            <v>40</v>
          </cell>
        </row>
        <row r="130">
          <cell r="A130">
            <v>118</v>
          </cell>
          <cell r="B130" t="str">
            <v>Puerta en aluminio anodizado blanco 3" x 1 1/2" de 0.90 m x 2.0 m pisa vidrio a presión 3831, con vidrio de 5 mm color bronce (incluye marco en auminio y  cerradura residencial Schlage A87PD)</v>
          </cell>
          <cell r="C130" t="str">
            <v>Ea</v>
          </cell>
          <cell r="D130">
            <v>1061179</v>
          </cell>
          <cell r="E130">
            <v>1</v>
          </cell>
          <cell r="F130">
            <v>1061179</v>
          </cell>
          <cell r="H130">
            <v>4</v>
          </cell>
          <cell r="Q130">
            <v>5</v>
          </cell>
          <cell r="R130">
            <v>4</v>
          </cell>
          <cell r="S130">
            <v>3</v>
          </cell>
        </row>
        <row r="131">
          <cell r="A131">
            <v>119</v>
          </cell>
          <cell r="B131" t="str">
            <v>Puerta en aluminio anodizado blanco 3" x 1 1/2" de 1.0 m x 2.0 m pisa vidrio a presión 3831, con vidrio de 5 mm color bronce (incluye marco en auminio, cerradura residencial Schlage A50PD y  flanges en lamina galv. No. 22)</v>
          </cell>
          <cell r="C131" t="str">
            <v>Ea</v>
          </cell>
          <cell r="D131">
            <v>1191604</v>
          </cell>
          <cell r="E131">
            <v>1</v>
          </cell>
          <cell r="F131">
            <v>1191604</v>
          </cell>
          <cell r="H131">
            <v>4</v>
          </cell>
          <cell r="Q131">
            <v>5</v>
          </cell>
          <cell r="R131">
            <v>4</v>
          </cell>
          <cell r="S131">
            <v>3</v>
          </cell>
        </row>
        <row r="132">
          <cell r="A132">
            <v>120</v>
          </cell>
          <cell r="B132" t="str">
            <v>Puerta entamborada en lamina CR No. 18 de 0.85 x 2 m (incluye marco, pintura, cerradura oficina Schlage A50PD y rejilla metálica de ventilación).</v>
          </cell>
          <cell r="C132" t="str">
            <v>Ea</v>
          </cell>
          <cell r="D132">
            <v>944266</v>
          </cell>
          <cell r="E132">
            <v>1</v>
          </cell>
          <cell r="F132">
            <v>944266</v>
          </cell>
          <cell r="H132">
            <v>4</v>
          </cell>
          <cell r="Q132">
            <v>5</v>
          </cell>
          <cell r="R132">
            <v>4</v>
          </cell>
          <cell r="S132">
            <v>3</v>
          </cell>
        </row>
        <row r="133">
          <cell r="A133">
            <v>121</v>
          </cell>
          <cell r="B133" t="str">
            <v>Puerta entamborada en lamina CR No. 18 1x 2 m doble   (incluye marco, pintura, cerradura oficina Schlage A50PD y rejilla metálica de ventilación).</v>
          </cell>
          <cell r="C133" t="str">
            <v>Ea</v>
          </cell>
          <cell r="D133">
            <v>2733231</v>
          </cell>
          <cell r="E133">
            <v>1</v>
          </cell>
          <cell r="F133">
            <v>2733231</v>
          </cell>
          <cell r="H133">
            <v>2</v>
          </cell>
          <cell r="Q133">
            <v>2.5</v>
          </cell>
          <cell r="R133">
            <v>2</v>
          </cell>
          <cell r="S133">
            <v>1.5</v>
          </cell>
        </row>
        <row r="134">
          <cell r="A134">
            <v>122</v>
          </cell>
          <cell r="B134" t="str">
            <v>Ventana en aluminio y vidrio 2 X 2 m corrediza</v>
          </cell>
          <cell r="C134" t="str">
            <v>Ea</v>
          </cell>
          <cell r="D134">
            <v>2076679</v>
          </cell>
          <cell r="E134">
            <v>1</v>
          </cell>
          <cell r="F134">
            <v>2076679</v>
          </cell>
          <cell r="H134">
            <v>4</v>
          </cell>
          <cell r="Q134">
            <v>6</v>
          </cell>
          <cell r="R134">
            <v>4</v>
          </cell>
          <cell r="S134">
            <v>2</v>
          </cell>
        </row>
        <row r="135">
          <cell r="A135">
            <v>123</v>
          </cell>
          <cell r="B135" t="str">
            <v>Ventana en aluminio y vidrio 1.2 X 1.2 m (incluye marco, alfajias y flanges en lamina galv No22)</v>
          </cell>
          <cell r="C135" t="str">
            <v>Ea</v>
          </cell>
          <cell r="D135">
            <v>479179</v>
          </cell>
          <cell r="E135">
            <v>1</v>
          </cell>
          <cell r="F135">
            <v>479179</v>
          </cell>
          <cell r="H135">
            <v>4</v>
          </cell>
          <cell r="Q135">
            <v>6</v>
          </cell>
          <cell r="R135">
            <v>4</v>
          </cell>
          <cell r="S135">
            <v>2</v>
          </cell>
        </row>
        <row r="136">
          <cell r="A136">
            <v>124</v>
          </cell>
          <cell r="B136" t="str">
            <v>Ventana cortina enrrollable en aluminio 1.95 X 1.1m (incluye macaro y pintura)</v>
          </cell>
          <cell r="C136" t="str">
            <v>Ea</v>
          </cell>
          <cell r="D136">
            <v>740093</v>
          </cell>
          <cell r="E136">
            <v>1</v>
          </cell>
          <cell r="F136">
            <v>740093</v>
          </cell>
          <cell r="H136">
            <v>3</v>
          </cell>
          <cell r="Q136">
            <v>5</v>
          </cell>
          <cell r="R136">
            <v>3</v>
          </cell>
          <cell r="S136">
            <v>2</v>
          </cell>
        </row>
        <row r="137">
          <cell r="A137">
            <v>125</v>
          </cell>
          <cell r="B137" t="str">
            <v xml:space="preserve">Baranda en tubo AN de 2" corredor y escalera (incluye pintura) </v>
          </cell>
          <cell r="C137" t="str">
            <v>ml</v>
          </cell>
          <cell r="D137">
            <v>105635</v>
          </cell>
          <cell r="E137">
            <v>1</v>
          </cell>
          <cell r="F137">
            <v>105635</v>
          </cell>
          <cell r="H137">
            <v>15</v>
          </cell>
          <cell r="Q137">
            <v>18</v>
          </cell>
          <cell r="R137">
            <v>15</v>
          </cell>
          <cell r="S137">
            <v>8</v>
          </cell>
        </row>
        <row r="138">
          <cell r="A138">
            <v>126</v>
          </cell>
          <cell r="B138" t="str">
            <v>Entrepiso Superboard, perfileria metalica y placa Superboard de 20 mm.</v>
          </cell>
          <cell r="C138" t="str">
            <v>m2</v>
          </cell>
          <cell r="D138">
            <v>253389</v>
          </cell>
          <cell r="E138">
            <v>1</v>
          </cell>
          <cell r="F138">
            <v>253389</v>
          </cell>
          <cell r="H138">
            <v>8</v>
          </cell>
          <cell r="Q138">
            <v>10</v>
          </cell>
          <cell r="R138">
            <v>8</v>
          </cell>
          <cell r="S138">
            <v>6</v>
          </cell>
        </row>
        <row r="139">
          <cell r="A139">
            <v>127</v>
          </cell>
          <cell r="B139" t="str">
            <v>Pintura de paredes en vinilo a 3 manos (incluye resanes en paredes existentes)</v>
          </cell>
          <cell r="C139" t="str">
            <v>m2</v>
          </cell>
          <cell r="D139">
            <v>32735</v>
          </cell>
          <cell r="E139">
            <v>1</v>
          </cell>
          <cell r="F139">
            <v>32735</v>
          </cell>
          <cell r="H139">
            <v>25</v>
          </cell>
          <cell r="Q139">
            <v>30</v>
          </cell>
          <cell r="R139">
            <v>25</v>
          </cell>
          <cell r="S139">
            <v>20</v>
          </cell>
        </row>
        <row r="140">
          <cell r="A140">
            <v>128</v>
          </cell>
          <cell r="B140" t="str">
            <v>Concreto 3.500 psi estructuras de cimentación (vigas, zapatas)</v>
          </cell>
          <cell r="C140" t="str">
            <v>m3</v>
          </cell>
          <cell r="D140">
            <v>1760488</v>
          </cell>
          <cell r="E140">
            <v>1</v>
          </cell>
          <cell r="F140">
            <v>1760488</v>
          </cell>
          <cell r="H140">
            <v>2.5</v>
          </cell>
          <cell r="Q140">
            <v>3</v>
          </cell>
          <cell r="R140">
            <v>2.5</v>
          </cell>
          <cell r="S140">
            <v>2</v>
          </cell>
        </row>
        <row r="141">
          <cell r="A141">
            <v>129</v>
          </cell>
          <cell r="B141" t="str">
            <v>Concreto de 210 Kg/Cm2 para vigas de amarre de cimentación y placa de piso incluyendo ref. en malla Q3.</v>
          </cell>
          <cell r="C141" t="str">
            <v>m3</v>
          </cell>
          <cell r="D141">
            <v>1713031</v>
          </cell>
          <cell r="E141">
            <v>1</v>
          </cell>
          <cell r="F141">
            <v>1713031</v>
          </cell>
          <cell r="H141">
            <v>2.6</v>
          </cell>
          <cell r="Q141">
            <v>3.5</v>
          </cell>
          <cell r="R141">
            <v>2.6</v>
          </cell>
          <cell r="S141">
            <v>1.6</v>
          </cell>
        </row>
        <row r="142">
          <cell r="A142">
            <v>130</v>
          </cell>
          <cell r="B142" t="str">
            <v>Elementos en ladrillo visto, alfagías, hilada inferior en 1/2 ladrillo, dinteles de ventanas y remates de muros</v>
          </cell>
          <cell r="C142" t="str">
            <v>ml</v>
          </cell>
          <cell r="D142">
            <v>198906</v>
          </cell>
          <cell r="E142">
            <v>1</v>
          </cell>
          <cell r="F142">
            <v>198906</v>
          </cell>
          <cell r="H142">
            <v>7</v>
          </cell>
          <cell r="Q142">
            <v>8</v>
          </cell>
          <cell r="R142">
            <v>7</v>
          </cell>
          <cell r="S142">
            <v>6</v>
          </cell>
        </row>
        <row r="143">
          <cell r="A143">
            <v>131</v>
          </cell>
          <cell r="D143">
            <v>0</v>
          </cell>
          <cell r="E143">
            <v>1</v>
          </cell>
          <cell r="F143">
            <v>0</v>
          </cell>
          <cell r="H143">
            <v>12</v>
          </cell>
          <cell r="Q143">
            <v>14</v>
          </cell>
          <cell r="R143">
            <v>12</v>
          </cell>
          <cell r="S143">
            <v>10</v>
          </cell>
        </row>
        <row r="144">
          <cell r="D144" t="e">
            <v>#N/A</v>
          </cell>
          <cell r="E144">
            <v>1</v>
          </cell>
          <cell r="F144" t="e">
            <v>#N/A</v>
          </cell>
          <cell r="H144">
            <v>10</v>
          </cell>
          <cell r="Q144">
            <v>12</v>
          </cell>
          <cell r="R144">
            <v>10</v>
          </cell>
          <cell r="S144">
            <v>8</v>
          </cell>
        </row>
        <row r="145">
          <cell r="A145">
            <v>133</v>
          </cell>
          <cell r="B145" t="str">
            <v>Aislamiento en láminas Gyplac de 1/2", perfileria metalica y frescasa</v>
          </cell>
          <cell r="C145" t="str">
            <v>m2</v>
          </cell>
          <cell r="D145">
            <v>174716</v>
          </cell>
          <cell r="E145">
            <v>1</v>
          </cell>
          <cell r="F145">
            <v>174716</v>
          </cell>
          <cell r="H145">
            <v>14</v>
          </cell>
          <cell r="Q145">
            <v>16</v>
          </cell>
          <cell r="R145">
            <v>14</v>
          </cell>
          <cell r="S145">
            <v>12</v>
          </cell>
        </row>
        <row r="146">
          <cell r="A146">
            <v>134</v>
          </cell>
          <cell r="B146" t="str">
            <v>Mortero 1:3 4cm - para alistado de pisos</v>
          </cell>
          <cell r="C146" t="str">
            <v>m2</v>
          </cell>
          <cell r="D146">
            <v>58323</v>
          </cell>
          <cell r="E146">
            <v>1</v>
          </cell>
          <cell r="F146">
            <v>58323</v>
          </cell>
          <cell r="H146">
            <v>50</v>
          </cell>
          <cell r="Q146">
            <v>60</v>
          </cell>
          <cell r="R146">
            <v>50</v>
          </cell>
          <cell r="S146">
            <v>40</v>
          </cell>
        </row>
        <row r="147">
          <cell r="A147">
            <v>135</v>
          </cell>
          <cell r="D147">
            <v>0</v>
          </cell>
          <cell r="E147">
            <v>1</v>
          </cell>
          <cell r="F147">
            <v>0</v>
          </cell>
          <cell r="H147" t="e">
            <v>#REF!</v>
          </cell>
        </row>
        <row r="148">
          <cell r="A148">
            <v>136</v>
          </cell>
          <cell r="B148" t="str">
            <v>Punto sanitario 4" PVC</v>
          </cell>
          <cell r="C148" t="str">
            <v>Ea</v>
          </cell>
          <cell r="D148">
            <v>215171</v>
          </cell>
          <cell r="E148">
            <v>1</v>
          </cell>
          <cell r="F148">
            <v>215171</v>
          </cell>
          <cell r="H148">
            <v>7</v>
          </cell>
          <cell r="Q148">
            <v>9</v>
          </cell>
          <cell r="R148">
            <v>7</v>
          </cell>
          <cell r="S148">
            <v>5</v>
          </cell>
        </row>
        <row r="149">
          <cell r="A149">
            <v>137</v>
          </cell>
          <cell r="B149" t="str">
            <v>Aplicación de Sika dur32 primer.</v>
          </cell>
          <cell r="C149" t="str">
            <v>m2</v>
          </cell>
          <cell r="D149">
            <v>54483</v>
          </cell>
          <cell r="E149">
            <v>1</v>
          </cell>
          <cell r="F149">
            <v>54483</v>
          </cell>
          <cell r="H149">
            <v>50</v>
          </cell>
          <cell r="Q149">
            <v>80</v>
          </cell>
          <cell r="R149">
            <v>50</v>
          </cell>
          <cell r="S149">
            <v>20</v>
          </cell>
        </row>
        <row r="150">
          <cell r="A150">
            <v>138</v>
          </cell>
          <cell r="B150" t="str">
            <v>Aplicación de mortero de relleno Sikagrout 212</v>
          </cell>
          <cell r="C150" t="str">
            <v>m3</v>
          </cell>
          <cell r="D150">
            <v>3570490</v>
          </cell>
          <cell r="E150">
            <v>1</v>
          </cell>
          <cell r="F150">
            <v>3570490</v>
          </cell>
          <cell r="H150">
            <v>10</v>
          </cell>
          <cell r="Q150">
            <v>2</v>
          </cell>
          <cell r="R150">
            <v>10</v>
          </cell>
          <cell r="S150">
            <v>0.5</v>
          </cell>
        </row>
        <row r="151">
          <cell r="A151">
            <v>139</v>
          </cell>
          <cell r="B151" t="str">
            <v>Caja de valvula de acometida agua en concreto de 30 x 30 cm a todo costo</v>
          </cell>
          <cell r="C151" t="str">
            <v>Ea</v>
          </cell>
          <cell r="D151">
            <v>700415</v>
          </cell>
          <cell r="E151">
            <v>1</v>
          </cell>
          <cell r="F151">
            <v>700415</v>
          </cell>
          <cell r="H151">
            <v>2</v>
          </cell>
          <cell r="Q151">
            <v>3</v>
          </cell>
          <cell r="R151">
            <v>2</v>
          </cell>
          <cell r="S151">
            <v>1</v>
          </cell>
        </row>
        <row r="152">
          <cell r="A152">
            <v>140</v>
          </cell>
          <cell r="B152" t="str">
            <v>Punto sanitario 2" PVC</v>
          </cell>
          <cell r="C152" t="str">
            <v>Ea</v>
          </cell>
          <cell r="D152">
            <v>181531</v>
          </cell>
          <cell r="E152">
            <v>1</v>
          </cell>
          <cell r="F152">
            <v>181531</v>
          </cell>
          <cell r="H152">
            <v>7</v>
          </cell>
          <cell r="Q152">
            <v>9</v>
          </cell>
          <cell r="R152">
            <v>7</v>
          </cell>
          <cell r="S152">
            <v>5</v>
          </cell>
        </row>
        <row r="153">
          <cell r="A153">
            <v>141</v>
          </cell>
          <cell r="B153" t="str">
            <v>Mamposteria ladrillo a la vista 26x12x6 e=12cm</v>
          </cell>
          <cell r="C153" t="str">
            <v>m2</v>
          </cell>
          <cell r="D153">
            <v>197770</v>
          </cell>
          <cell r="E153">
            <v>1</v>
          </cell>
          <cell r="F153">
            <v>197770</v>
          </cell>
          <cell r="H153">
            <v>12</v>
          </cell>
          <cell r="Q153">
            <v>14</v>
          </cell>
          <cell r="R153">
            <v>12</v>
          </cell>
          <cell r="S153">
            <v>10</v>
          </cell>
        </row>
        <row r="154">
          <cell r="A154">
            <v>142</v>
          </cell>
          <cell r="B154" t="str">
            <v>Impermeabilizacion de cubierta con Duraflex</v>
          </cell>
          <cell r="C154" t="str">
            <v>m2</v>
          </cell>
          <cell r="D154">
            <v>75131</v>
          </cell>
          <cell r="E154">
            <v>1</v>
          </cell>
          <cell r="F154">
            <v>75131</v>
          </cell>
          <cell r="H154">
            <v>10</v>
          </cell>
          <cell r="Q154">
            <v>15</v>
          </cell>
          <cell r="R154">
            <v>10</v>
          </cell>
          <cell r="S154">
            <v>5</v>
          </cell>
        </row>
        <row r="155">
          <cell r="A155">
            <v>143</v>
          </cell>
          <cell r="B155" t="str">
            <v>Guardaescoba en madera con pintura</v>
          </cell>
          <cell r="C155" t="str">
            <v>ml</v>
          </cell>
          <cell r="D155">
            <v>53681</v>
          </cell>
          <cell r="E155">
            <v>1</v>
          </cell>
          <cell r="F155">
            <v>53681</v>
          </cell>
          <cell r="H155">
            <v>50</v>
          </cell>
          <cell r="Q155">
            <v>60</v>
          </cell>
          <cell r="R155">
            <v>50</v>
          </cell>
          <cell r="S155">
            <v>40</v>
          </cell>
        </row>
        <row r="156">
          <cell r="A156">
            <v>144</v>
          </cell>
          <cell r="B156" t="str">
            <v>Impermeabilizante con Sika Transaparente</v>
          </cell>
          <cell r="C156" t="str">
            <v>m2</v>
          </cell>
          <cell r="D156">
            <v>30903</v>
          </cell>
          <cell r="E156">
            <v>1</v>
          </cell>
          <cell r="F156">
            <v>30903</v>
          </cell>
          <cell r="H156">
            <v>30</v>
          </cell>
          <cell r="Q156">
            <v>40</v>
          </cell>
          <cell r="R156">
            <v>30</v>
          </cell>
          <cell r="S156">
            <v>20</v>
          </cell>
        </row>
        <row r="157">
          <cell r="A157">
            <v>145</v>
          </cell>
          <cell r="B157" t="str">
            <v>Suministro y Colocación de Concreto de 2000 PSI, para Señalización  de Bancos de Tubería (Incluye aplicación de capa de mineral rojo y arena de nivelación acorde a especificaciones)</v>
          </cell>
          <cell r="C157" t="str">
            <v>m3</v>
          </cell>
          <cell r="D157">
            <v>541521</v>
          </cell>
          <cell r="E157">
            <v>1</v>
          </cell>
          <cell r="F157">
            <v>541521</v>
          </cell>
          <cell r="H157">
            <v>7</v>
          </cell>
          <cell r="Q157">
            <v>8.4</v>
          </cell>
          <cell r="R157">
            <v>7</v>
          </cell>
          <cell r="S157">
            <v>5.6000000000000005</v>
          </cell>
        </row>
        <row r="158">
          <cell r="A158">
            <v>146</v>
          </cell>
          <cell r="B158" t="str">
            <v xml:space="preserve">Suministro y colocación de concreto de 3000  PSI  para construcción de cajas de inspección, cajas de halado tipo hongo, bases de tableros y estaciones manuales. </v>
          </cell>
          <cell r="C158" t="str">
            <v>m3</v>
          </cell>
          <cell r="D158">
            <v>873151</v>
          </cell>
          <cell r="E158">
            <v>1</v>
          </cell>
          <cell r="F158">
            <v>873151</v>
          </cell>
          <cell r="H158">
            <v>6</v>
          </cell>
          <cell r="Q158">
            <v>7.1999999999999993</v>
          </cell>
          <cell r="R158">
            <v>6</v>
          </cell>
          <cell r="S158">
            <v>4.8000000000000007</v>
          </cell>
        </row>
        <row r="159">
          <cell r="A159">
            <v>147</v>
          </cell>
          <cell r="B159" t="str">
            <v xml:space="preserve">Excavación manual en todo tipo de suelo </v>
          </cell>
          <cell r="C159" t="str">
            <v>m3</v>
          </cell>
          <cell r="D159">
            <v>212815</v>
          </cell>
          <cell r="E159">
            <v>1</v>
          </cell>
          <cell r="F159">
            <v>212815</v>
          </cell>
          <cell r="H159">
            <v>7</v>
          </cell>
          <cell r="Q159">
            <v>8.4</v>
          </cell>
          <cell r="R159">
            <v>7</v>
          </cell>
          <cell r="S159">
            <v>5.6000000000000005</v>
          </cell>
        </row>
        <row r="160">
          <cell r="A160">
            <v>148</v>
          </cell>
          <cell r="B160" t="str">
            <v xml:space="preserve">Relleno  de  excavación Tipo 1 (Material seleccionado de la excavación ó  Arena). Incluye retiro de sobrantes de excavación, limpieza y reconformación del terreno.   </v>
          </cell>
          <cell r="C160" t="str">
            <v>m3</v>
          </cell>
          <cell r="D160">
            <v>119476</v>
          </cell>
          <cell r="E160">
            <v>1</v>
          </cell>
          <cell r="F160">
            <v>119476</v>
          </cell>
          <cell r="H160">
            <v>16</v>
          </cell>
          <cell r="Q160">
            <v>19.2</v>
          </cell>
          <cell r="R160">
            <v>16</v>
          </cell>
          <cell r="S160">
            <v>12.8</v>
          </cell>
        </row>
        <row r="161">
          <cell r="A161">
            <v>149</v>
          </cell>
          <cell r="B161" t="str">
            <v>Demolición de Pavimento todo tipo de resistencia, espesor 0.15 cm</v>
          </cell>
          <cell r="C161" t="str">
            <v>m3</v>
          </cell>
          <cell r="D161">
            <v>476179</v>
          </cell>
          <cell r="E161">
            <v>1</v>
          </cell>
          <cell r="F161">
            <v>476179</v>
          </cell>
          <cell r="H161">
            <v>3.2</v>
          </cell>
          <cell r="Q161">
            <v>3.84</v>
          </cell>
          <cell r="R161">
            <v>3.2</v>
          </cell>
          <cell r="S161">
            <v>2.5600000000000005</v>
          </cell>
        </row>
        <row r="162">
          <cell r="A162">
            <v>150</v>
          </cell>
          <cell r="B162" t="str">
            <v>Suministro e Instalación de Tubería PVC tipo DB (Direct Buriel) de 2 x 6" (incluye nivelación, fijación, accesorios de empalme).</v>
          </cell>
          <cell r="C162" t="str">
            <v>ml</v>
          </cell>
          <cell r="D162">
            <v>170318</v>
          </cell>
          <cell r="E162">
            <v>1</v>
          </cell>
          <cell r="F162">
            <v>170318</v>
          </cell>
          <cell r="H162">
            <v>21</v>
          </cell>
          <cell r="Q162">
            <v>25.2</v>
          </cell>
          <cell r="R162">
            <v>21</v>
          </cell>
          <cell r="S162">
            <v>16.8</v>
          </cell>
        </row>
        <row r="163">
          <cell r="A163">
            <v>151</v>
          </cell>
          <cell r="B163" t="str">
            <v>Suministro e Instalación de Gravilla (piedra bola) acorde a especificaciones.</v>
          </cell>
          <cell r="C163" t="str">
            <v>m3</v>
          </cell>
          <cell r="D163">
            <v>216246</v>
          </cell>
          <cell r="E163">
            <v>1</v>
          </cell>
          <cell r="F163">
            <v>216246</v>
          </cell>
          <cell r="H163">
            <v>80</v>
          </cell>
          <cell r="Q163">
            <v>96</v>
          </cell>
          <cell r="R163">
            <v>80</v>
          </cell>
          <cell r="S163">
            <v>64</v>
          </cell>
        </row>
        <row r="164">
          <cell r="A164">
            <v>152</v>
          </cell>
          <cell r="B164" t="str">
            <v>Suministro e Instalación de Malla Eslabonada H = 2,0 Mts. Incluye suministro e Instalación de Postes Tensores, Pie de Amigos, Puerta de Acceso, Pintura y Acabados</v>
          </cell>
          <cell r="C164" t="str">
            <v>ml</v>
          </cell>
          <cell r="D164">
            <v>171223</v>
          </cell>
          <cell r="E164">
            <v>1</v>
          </cell>
          <cell r="F164">
            <v>171223</v>
          </cell>
          <cell r="H164">
            <v>11</v>
          </cell>
          <cell r="Q164">
            <v>13.2</v>
          </cell>
          <cell r="R164">
            <v>11</v>
          </cell>
          <cell r="S164">
            <v>8.8000000000000007</v>
          </cell>
        </row>
        <row r="165">
          <cell r="A165">
            <v>153</v>
          </cell>
          <cell r="B165" t="str">
            <v>Suministro e Instalación de Acero de refuerzo x 60.000 PSI</v>
          </cell>
          <cell r="C165" t="str">
            <v>Kg</v>
          </cell>
          <cell r="D165">
            <v>33304</v>
          </cell>
          <cell r="E165">
            <v>1</v>
          </cell>
          <cell r="F165">
            <v>33304</v>
          </cell>
          <cell r="H165">
            <v>125</v>
          </cell>
          <cell r="Q165">
            <v>150</v>
          </cell>
          <cell r="R165">
            <v>125</v>
          </cell>
          <cell r="S165">
            <v>100</v>
          </cell>
        </row>
        <row r="166">
          <cell r="A166">
            <v>154</v>
          </cell>
          <cell r="B166" t="str">
            <v>Suministro e Instalación de Tapas para Cajas de Halado en Lámina Alfajor e=1/4". Incluye manijas de sujeción, acabados en pintura, acorde a planos.</v>
          </cell>
          <cell r="C166" t="str">
            <v>Ea</v>
          </cell>
          <cell r="D166">
            <v>423591</v>
          </cell>
          <cell r="E166">
            <v>1</v>
          </cell>
          <cell r="F166">
            <v>423591</v>
          </cell>
          <cell r="H166">
            <v>8</v>
          </cell>
          <cell r="Q166">
            <v>9.6</v>
          </cell>
          <cell r="R166">
            <v>8</v>
          </cell>
          <cell r="S166">
            <v>6.4</v>
          </cell>
        </row>
        <row r="167">
          <cell r="A167">
            <v>155</v>
          </cell>
          <cell r="B167" t="str">
            <v>Entibado de Talud. Incluye suministro de materiales y accesorios para armado de tableros.</v>
          </cell>
          <cell r="C167" t="str">
            <v>m2</v>
          </cell>
          <cell r="D167">
            <v>60038</v>
          </cell>
          <cell r="E167">
            <v>1</v>
          </cell>
          <cell r="F167">
            <v>60038</v>
          </cell>
          <cell r="H167">
            <v>55</v>
          </cell>
          <cell r="Q167">
            <v>66</v>
          </cell>
          <cell r="R167">
            <v>55</v>
          </cell>
          <cell r="S167">
            <v>44</v>
          </cell>
        </row>
        <row r="168">
          <cell r="A168">
            <v>156</v>
          </cell>
          <cell r="B168" t="str">
            <v>Regata en muro para instalación de tubería de 3/4" Ǿ  a  1" Ǿ.</v>
          </cell>
          <cell r="C168" t="str">
            <v>ml</v>
          </cell>
          <cell r="D168">
            <v>112796</v>
          </cell>
          <cell r="E168">
            <v>1</v>
          </cell>
          <cell r="F168">
            <v>112796</v>
          </cell>
          <cell r="H168">
            <v>8</v>
          </cell>
          <cell r="Q168">
            <v>9.6</v>
          </cell>
          <cell r="R168">
            <v>8</v>
          </cell>
          <cell r="S168">
            <v>6.4</v>
          </cell>
        </row>
        <row r="169">
          <cell r="A169">
            <v>157</v>
          </cell>
          <cell r="B169" t="str">
            <v>Regata en muro para instalación de tubería de 1 1/2" Ǿ a 2" Ǿ.</v>
          </cell>
          <cell r="C169" t="str">
            <v>ml</v>
          </cell>
          <cell r="D169">
            <v>209058</v>
          </cell>
          <cell r="E169">
            <v>1</v>
          </cell>
          <cell r="F169">
            <v>209058</v>
          </cell>
          <cell r="H169">
            <v>3.8</v>
          </cell>
          <cell r="Q169">
            <v>4.5599999999999996</v>
          </cell>
          <cell r="R169">
            <v>3.8</v>
          </cell>
          <cell r="S169">
            <v>3.04</v>
          </cell>
        </row>
        <row r="170">
          <cell r="A170">
            <v>158</v>
          </cell>
          <cell r="B170" t="str">
            <v>Instalación y Fijación de Tubería Conduit Galvanizada  de    1 x 3/4" Ǿ (Incluye,  instalacion de accesorios de montaje, nivelación de la tubería y línea a tierra en conductor cobre desnudo No 2 a 2/0 AWG)</v>
          </cell>
          <cell r="C170" t="str">
            <v>ml</v>
          </cell>
          <cell r="D170">
            <v>40173</v>
          </cell>
          <cell r="E170">
            <v>1</v>
          </cell>
          <cell r="F170">
            <v>40173</v>
          </cell>
          <cell r="H170">
            <v>150</v>
          </cell>
          <cell r="Q170">
            <v>180</v>
          </cell>
          <cell r="R170">
            <v>150</v>
          </cell>
          <cell r="S170">
            <v>120</v>
          </cell>
        </row>
        <row r="171">
          <cell r="A171">
            <v>159</v>
          </cell>
          <cell r="B171" t="str">
            <v>Instalación y Fijación de Tubería Conduit Galvanizada  de    1 x 1" Ǿ  (Incluye,  instalacion de accesorios de montaje, nivelación de la tubería y línea a tierra en conductor cobre desnudo No 2 a 2/0 AWG)</v>
          </cell>
          <cell r="C171" t="str">
            <v>ml</v>
          </cell>
          <cell r="D171">
            <v>42076</v>
          </cell>
          <cell r="E171">
            <v>1</v>
          </cell>
          <cell r="F171">
            <v>42076</v>
          </cell>
          <cell r="H171">
            <v>140</v>
          </cell>
          <cell r="Q171">
            <v>168</v>
          </cell>
          <cell r="R171">
            <v>140</v>
          </cell>
          <cell r="S171">
            <v>112</v>
          </cell>
        </row>
        <row r="172">
          <cell r="A172">
            <v>160</v>
          </cell>
          <cell r="B172" t="str">
            <v>Instalación y Fijación de Tubería Conduit Galvanizada  de    1 x 1 1/2" Ǿ  (Incluye,  instalacion de accesorios de montaje, nivelación de la tubería y línea a tierra en conductor cobre desnudo No 2 a 2/0 AWG)</v>
          </cell>
          <cell r="C172" t="str">
            <v>ml</v>
          </cell>
          <cell r="D172">
            <v>93501</v>
          </cell>
          <cell r="E172">
            <v>1</v>
          </cell>
          <cell r="F172">
            <v>93501</v>
          </cell>
          <cell r="H172">
            <v>90</v>
          </cell>
          <cell r="Q172">
            <v>108</v>
          </cell>
          <cell r="R172">
            <v>90</v>
          </cell>
          <cell r="S172">
            <v>72</v>
          </cell>
        </row>
        <row r="173">
          <cell r="A173">
            <v>161</v>
          </cell>
          <cell r="B173" t="str">
            <v>Instalación y Fijación de Tubería Conduit Galvanizada  de    1 x 2" Ǿ  (Incluye,  instalacion de accesorios de montaje, nivelación de la tubería y línea a tierra en conductor cobre desnudo No 2 a 2/0 AWG)</v>
          </cell>
          <cell r="C173" t="str">
            <v>ml</v>
          </cell>
          <cell r="D173">
            <v>48701</v>
          </cell>
          <cell r="E173">
            <v>1</v>
          </cell>
          <cell r="F173">
            <v>48701</v>
          </cell>
          <cell r="H173">
            <v>100</v>
          </cell>
          <cell r="Q173">
            <v>120</v>
          </cell>
          <cell r="R173">
            <v>100</v>
          </cell>
          <cell r="S173">
            <v>80</v>
          </cell>
        </row>
        <row r="174">
          <cell r="A174">
            <v>162</v>
          </cell>
          <cell r="B174" t="str">
            <v>Instalación y Fijación de Tubería Conduit Galvanizada  de    1 x 2 1/2" Ǿ  (Incluye,  instalacion de accesorios de montaje, nivelación de la tubería y línea a tierra en conductor cobre desnudo No 2 a 2/0 AWG)</v>
          </cell>
          <cell r="C174" t="str">
            <v>ml</v>
          </cell>
          <cell r="D174">
            <v>55666</v>
          </cell>
          <cell r="E174">
            <v>1</v>
          </cell>
          <cell r="F174">
            <v>55666</v>
          </cell>
          <cell r="H174">
            <v>70</v>
          </cell>
          <cell r="Q174">
            <v>84</v>
          </cell>
          <cell r="R174">
            <v>70</v>
          </cell>
          <cell r="S174">
            <v>56</v>
          </cell>
        </row>
        <row r="175">
          <cell r="A175">
            <v>163</v>
          </cell>
          <cell r="B175" t="str">
            <v>Instalación y Fijación de Tubería Conduit Galvanizada  de    1 x 3" Ǿ  (Incluye,  instalacion de accesorios de montaje, nivelación de la tubería y línea a tierra en conductor cobre desnudo No 2 a 2/0 AWG)</v>
          </cell>
          <cell r="C175" t="str">
            <v>ml</v>
          </cell>
          <cell r="D175">
            <v>60416</v>
          </cell>
          <cell r="E175">
            <v>1</v>
          </cell>
          <cell r="F175">
            <v>60416</v>
          </cell>
          <cell r="H175">
            <v>60</v>
          </cell>
          <cell r="Q175">
            <v>72</v>
          </cell>
          <cell r="R175">
            <v>60</v>
          </cell>
          <cell r="S175">
            <v>48</v>
          </cell>
        </row>
        <row r="176">
          <cell r="A176">
            <v>164</v>
          </cell>
          <cell r="B176" t="str">
            <v>Instalación y Fijación de Tubería Conduit Galvanizada  de    1 x 4" Ǿ  (Incluye,  instalacion de accesorios de montaje, nivelación de la tubería y línea a tierra en conductor cobre desnudo No 2 a 2/0 AWG)</v>
          </cell>
          <cell r="C176" t="str">
            <v>ml</v>
          </cell>
          <cell r="D176">
            <v>56548</v>
          </cell>
          <cell r="E176">
            <v>1</v>
          </cell>
          <cell r="F176">
            <v>56548</v>
          </cell>
          <cell r="H176">
            <v>70</v>
          </cell>
          <cell r="Q176">
            <v>84</v>
          </cell>
          <cell r="R176">
            <v>70</v>
          </cell>
          <cell r="S176">
            <v>56</v>
          </cell>
        </row>
        <row r="177">
          <cell r="A177">
            <v>165</v>
          </cell>
          <cell r="B177" t="str">
            <v>Instalación y Fijación de Tubería Conduit Galvanizada  de   2 x 3" Ǿ  (Incluye,  instalacion de accesorios de montaje, nivelación de la tubería y línea a tierra en conductor cobre desnudo No 2 a 2/0 AWG)</v>
          </cell>
          <cell r="C177" t="str">
            <v>ml</v>
          </cell>
          <cell r="D177">
            <v>78294</v>
          </cell>
          <cell r="E177">
            <v>1</v>
          </cell>
          <cell r="F177">
            <v>78294</v>
          </cell>
          <cell r="H177">
            <v>37</v>
          </cell>
          <cell r="Q177">
            <v>44.4</v>
          </cell>
          <cell r="R177">
            <v>37</v>
          </cell>
          <cell r="S177">
            <v>29.6</v>
          </cell>
        </row>
        <row r="178">
          <cell r="A178">
            <v>166</v>
          </cell>
          <cell r="B178" t="str">
            <v>Instalación y Fijación de Banco de Tubería Conduit Galvanizada de 1x ( 2" Ǿ + 1" Ǿ). Incluye,  instalacion de accesorios de montaje, nivelación de la tubería y línea a tierra en conductor cobre desnudo No 2 a 2/0 AWG.</v>
          </cell>
          <cell r="C178" t="str">
            <v>ml</v>
          </cell>
          <cell r="D178">
            <v>57843</v>
          </cell>
          <cell r="E178">
            <v>1</v>
          </cell>
          <cell r="F178">
            <v>57843</v>
          </cell>
          <cell r="H178">
            <v>64</v>
          </cell>
          <cell r="Q178">
            <v>76.8</v>
          </cell>
          <cell r="R178">
            <v>64</v>
          </cell>
          <cell r="S178">
            <v>51.2</v>
          </cell>
        </row>
        <row r="179">
          <cell r="A179">
            <v>167</v>
          </cell>
          <cell r="B179" t="str">
            <v>Instalación Varilla Coperweld L=3,00 mts x 5/8". Incluye adecuación, excavación y reconformación del terreno.</v>
          </cell>
          <cell r="C179" t="str">
            <v>Un</v>
          </cell>
          <cell r="D179">
            <v>118975</v>
          </cell>
          <cell r="E179">
            <v>1</v>
          </cell>
          <cell r="F179">
            <v>118975</v>
          </cell>
          <cell r="H179">
            <v>12</v>
          </cell>
          <cell r="Q179">
            <v>14.399999999999999</v>
          </cell>
          <cell r="R179">
            <v>12</v>
          </cell>
          <cell r="S179">
            <v>9.6000000000000014</v>
          </cell>
        </row>
        <row r="180">
          <cell r="A180">
            <v>168</v>
          </cell>
          <cell r="B180" t="str">
            <v>Instalación, nivelación y fijación de Bandeja Portacables Ancho de 60 cms a 100 cms. Incluye instalación de soportes y accesorios tipo tee, reducción, curvas en horizontal ó vertical a 45 ó 90 acorde a planos.</v>
          </cell>
          <cell r="C180" t="str">
            <v>ml</v>
          </cell>
          <cell r="D180">
            <v>167060</v>
          </cell>
          <cell r="E180">
            <v>1</v>
          </cell>
          <cell r="F180">
            <v>167060</v>
          </cell>
          <cell r="H180">
            <v>8</v>
          </cell>
          <cell r="Q180">
            <v>9.6</v>
          </cell>
          <cell r="R180">
            <v>8</v>
          </cell>
          <cell r="S180">
            <v>6.4</v>
          </cell>
        </row>
        <row r="181">
          <cell r="A181">
            <v>169</v>
          </cell>
          <cell r="B181" t="str">
            <v>Instalación, Marcado, Conexionado y Pruebas de Acometida Eléctrica 4 x 350 MCM + 1T.</v>
          </cell>
          <cell r="C181" t="str">
            <v>ml</v>
          </cell>
          <cell r="D181">
            <v>55869</v>
          </cell>
          <cell r="E181">
            <v>1</v>
          </cell>
          <cell r="F181">
            <v>55869</v>
          </cell>
          <cell r="H181">
            <v>60</v>
          </cell>
          <cell r="Q181">
            <v>72</v>
          </cell>
          <cell r="R181">
            <v>60</v>
          </cell>
          <cell r="S181">
            <v>48</v>
          </cell>
        </row>
        <row r="182">
          <cell r="A182">
            <v>170</v>
          </cell>
          <cell r="B182" t="str">
            <v>Instalación, Marcado, Conexionado y Pruebas de Acometida Eléctrica 4 x 250 MCM + 1T.</v>
          </cell>
          <cell r="C182" t="str">
            <v>ml</v>
          </cell>
          <cell r="D182">
            <v>55869</v>
          </cell>
          <cell r="E182">
            <v>1</v>
          </cell>
          <cell r="F182">
            <v>55869</v>
          </cell>
          <cell r="H182">
            <v>60</v>
          </cell>
          <cell r="Q182">
            <v>72</v>
          </cell>
          <cell r="R182">
            <v>60</v>
          </cell>
          <cell r="S182">
            <v>48</v>
          </cell>
        </row>
        <row r="183">
          <cell r="A183">
            <v>171</v>
          </cell>
          <cell r="B183" t="str">
            <v>Instalación, Marcado, Conexionado y Pruebas de Acometida Eléctrica 4 x 2/0 AWG + 1T.</v>
          </cell>
          <cell r="C183" t="str">
            <v>ml</v>
          </cell>
          <cell r="D183">
            <v>47316</v>
          </cell>
          <cell r="E183">
            <v>1</v>
          </cell>
          <cell r="F183">
            <v>47316</v>
          </cell>
          <cell r="H183">
            <v>55</v>
          </cell>
          <cell r="Q183">
            <v>66</v>
          </cell>
          <cell r="R183">
            <v>55</v>
          </cell>
          <cell r="S183">
            <v>44</v>
          </cell>
        </row>
        <row r="184">
          <cell r="A184">
            <v>172</v>
          </cell>
          <cell r="B184" t="str">
            <v>Instalación, Marcado, Conexionado y Pruebas de Acometida Eléctrica 4 x 1/0 AWG + 1T.</v>
          </cell>
          <cell r="C184" t="str">
            <v>ml</v>
          </cell>
          <cell r="D184">
            <v>41478</v>
          </cell>
          <cell r="E184">
            <v>1</v>
          </cell>
          <cell r="F184">
            <v>41478</v>
          </cell>
          <cell r="H184">
            <v>80</v>
          </cell>
          <cell r="Q184">
            <v>96</v>
          </cell>
          <cell r="R184">
            <v>80</v>
          </cell>
          <cell r="S184">
            <v>64</v>
          </cell>
        </row>
        <row r="185">
          <cell r="A185">
            <v>173</v>
          </cell>
          <cell r="B185" t="str">
            <v>Instalación, Marcado, Conexionado y Pruebas de Acometida Eléctrica 4 x 2 AWG + 1T a 4 x 6 AWG + 1T.</v>
          </cell>
          <cell r="C185" t="str">
            <v>ml</v>
          </cell>
          <cell r="D185">
            <v>43141</v>
          </cell>
          <cell r="E185">
            <v>1</v>
          </cell>
          <cell r="F185">
            <v>43141</v>
          </cell>
          <cell r="H185">
            <v>35</v>
          </cell>
          <cell r="Q185">
            <v>42</v>
          </cell>
          <cell r="R185">
            <v>35</v>
          </cell>
          <cell r="S185">
            <v>28</v>
          </cell>
        </row>
        <row r="186">
          <cell r="A186">
            <v>174</v>
          </cell>
          <cell r="B186" t="str">
            <v>Instalación, Marcado, Conexionado y Pruebas de Acometida Eléctrica 4 x 8 AWG + 1T a 4 x 10 AWG + 1T.</v>
          </cell>
          <cell r="C186" t="str">
            <v>ml</v>
          </cell>
          <cell r="D186">
            <v>38828</v>
          </cell>
          <cell r="E186">
            <v>1</v>
          </cell>
          <cell r="F186">
            <v>38828</v>
          </cell>
          <cell r="H186">
            <v>45</v>
          </cell>
          <cell r="Q186">
            <v>54</v>
          </cell>
          <cell r="R186">
            <v>45</v>
          </cell>
          <cell r="S186">
            <v>36</v>
          </cell>
        </row>
        <row r="187">
          <cell r="A187">
            <v>175</v>
          </cell>
          <cell r="B187" t="str">
            <v>Instalación, Marcado, Conexionado y Pruebas de Acometida Eléctrica 4 x 12 AWG + 1T a 4 x 16 AWG + 1T.</v>
          </cell>
          <cell r="C187" t="str">
            <v>ml</v>
          </cell>
          <cell r="D187">
            <v>32790</v>
          </cell>
          <cell r="E187">
            <v>1</v>
          </cell>
          <cell r="F187">
            <v>32790</v>
          </cell>
          <cell r="H187">
            <v>75</v>
          </cell>
          <cell r="Q187">
            <v>90</v>
          </cell>
          <cell r="R187">
            <v>75</v>
          </cell>
          <cell r="S187">
            <v>60</v>
          </cell>
        </row>
        <row r="188">
          <cell r="A188">
            <v>176</v>
          </cell>
          <cell r="B188" t="str">
            <v>Instalación, Marcado, Conexionado y Pruebas de Acometida Eléctrica y/o control 5 x 12 AWG a 10 x 12 AWG.</v>
          </cell>
          <cell r="C188" t="str">
            <v>ml</v>
          </cell>
          <cell r="D188">
            <v>36550</v>
          </cell>
          <cell r="E188">
            <v>1</v>
          </cell>
          <cell r="F188">
            <v>36550</v>
          </cell>
          <cell r="H188">
            <v>53</v>
          </cell>
          <cell r="Q188">
            <v>63.599999999999994</v>
          </cell>
          <cell r="R188">
            <v>53</v>
          </cell>
          <cell r="S188">
            <v>42.400000000000006</v>
          </cell>
        </row>
        <row r="189">
          <cell r="A189">
            <v>177</v>
          </cell>
          <cell r="B189" t="str">
            <v>Instalación, Marcado, Conexionado y Pruebas de Acometida Eléctrica y/o control 5 x 16 AWG a 10 x 16 AWG.</v>
          </cell>
          <cell r="C189" t="str">
            <v>ml</v>
          </cell>
          <cell r="D189">
            <v>35054</v>
          </cell>
          <cell r="E189">
            <v>1</v>
          </cell>
          <cell r="F189">
            <v>35054</v>
          </cell>
          <cell r="H189">
            <v>60</v>
          </cell>
          <cell r="Q189">
            <v>72</v>
          </cell>
          <cell r="R189">
            <v>60</v>
          </cell>
          <cell r="S189">
            <v>48</v>
          </cell>
        </row>
        <row r="190">
          <cell r="A190">
            <v>178</v>
          </cell>
          <cell r="B190" t="str">
            <v>Suministro,Instalación, Marcado, Conexionado y Pruebas de red de comunicaciones UTP Categoria 6 o Red Coaxial,incluye ponchado del conector y certificacion</v>
          </cell>
          <cell r="C190" t="str">
            <v>ml</v>
          </cell>
          <cell r="D190">
            <v>42471</v>
          </cell>
          <cell r="E190">
            <v>1</v>
          </cell>
          <cell r="F190">
            <v>42471</v>
          </cell>
          <cell r="H190">
            <v>42</v>
          </cell>
          <cell r="Q190">
            <v>50.4</v>
          </cell>
          <cell r="R190">
            <v>42</v>
          </cell>
          <cell r="S190">
            <v>33.6</v>
          </cell>
        </row>
        <row r="191">
          <cell r="A191">
            <v>179</v>
          </cell>
          <cell r="B191" t="str">
            <v>Aplicación de soldadura  Exotermica de 90 a 150 Gramos cualquier disposición (cable-cable, cable-varilla, cable-platina)</v>
          </cell>
          <cell r="C191" t="str">
            <v>un</v>
          </cell>
          <cell r="D191">
            <v>61473</v>
          </cell>
          <cell r="E191">
            <v>1</v>
          </cell>
          <cell r="F191">
            <v>61473</v>
          </cell>
          <cell r="H191">
            <v>18</v>
          </cell>
          <cell r="Q191">
            <v>21.599999999999998</v>
          </cell>
          <cell r="R191">
            <v>18</v>
          </cell>
          <cell r="S191">
            <v>14.4</v>
          </cell>
        </row>
        <row r="192">
          <cell r="A192">
            <v>180</v>
          </cell>
          <cell r="B192" t="str">
            <v>Instalalación, fijación y conexionado mecanico de cable de tierra desnudo 2/0 a 2 AWG</v>
          </cell>
          <cell r="C192" t="str">
            <v>ml</v>
          </cell>
          <cell r="D192">
            <v>28261</v>
          </cell>
          <cell r="E192">
            <v>1</v>
          </cell>
          <cell r="F192">
            <v>28261</v>
          </cell>
          <cell r="H192">
            <v>150</v>
          </cell>
          <cell r="Q192">
            <v>180</v>
          </cell>
          <cell r="R192">
            <v>150</v>
          </cell>
          <cell r="S192">
            <v>120</v>
          </cell>
        </row>
        <row r="193">
          <cell r="A193">
            <v>181</v>
          </cell>
          <cell r="B193" t="str">
            <v>Suministro e instalación de Luminaria de 60x60cm, 4x17W tubo T8 de 4100ºK 10.000 horas Marca Philips o Sylvania , Balasto electronico con Factor de potencia &gt; 98% baja distorsión armonica &lt;10% marca Philips (Advance) o General Electric con garantia de 5 a</v>
          </cell>
          <cell r="C193" t="str">
            <v>un</v>
          </cell>
          <cell r="D193">
            <v>360213</v>
          </cell>
          <cell r="E193">
            <v>1</v>
          </cell>
          <cell r="F193">
            <v>360213</v>
          </cell>
          <cell r="H193">
            <v>9</v>
          </cell>
          <cell r="Q193">
            <v>10.799999999999999</v>
          </cell>
          <cell r="R193">
            <v>9</v>
          </cell>
          <cell r="S193">
            <v>7.2</v>
          </cell>
        </row>
        <row r="194">
          <cell r="A194">
            <v>182</v>
          </cell>
          <cell r="B194" t="str">
            <v>Suministro e instalación de tablero de 36 Circuitos, con espacio para totalizador, capacidad en barraje de 225 A , Tensión de prueba de aislamiento (VAC) 2000, Barra de neutro, barra de tierra, chapa y llave. NO EQUIPADO.</v>
          </cell>
          <cell r="C194" t="str">
            <v>un</v>
          </cell>
          <cell r="D194">
            <v>930664</v>
          </cell>
          <cell r="E194">
            <v>1</v>
          </cell>
          <cell r="F194">
            <v>930664</v>
          </cell>
          <cell r="H194">
            <v>1.75</v>
          </cell>
          <cell r="Q194">
            <v>2.1</v>
          </cell>
          <cell r="R194">
            <v>1.75</v>
          </cell>
          <cell r="S194">
            <v>1.4000000000000001</v>
          </cell>
        </row>
        <row r="195">
          <cell r="A195">
            <v>183</v>
          </cell>
          <cell r="B195" t="str">
            <v>Suministro e instalación de tablero de 24 Circuitos, con espacio para totalizador, capacidad en barraje de 225 A , Tensión de prueba de aislamiento (VAC) 2000, Barra de neutro, barra de tierra, chapa y llave. NO EQUIPADO.</v>
          </cell>
          <cell r="C195" t="str">
            <v>un</v>
          </cell>
          <cell r="D195">
            <v>1863619</v>
          </cell>
          <cell r="E195">
            <v>1</v>
          </cell>
          <cell r="F195">
            <v>1863619</v>
          </cell>
          <cell r="H195">
            <v>0.5</v>
          </cell>
          <cell r="Q195">
            <v>0.6</v>
          </cell>
          <cell r="R195">
            <v>0.5</v>
          </cell>
          <cell r="S195">
            <v>0.4</v>
          </cell>
        </row>
        <row r="196">
          <cell r="A196">
            <v>184</v>
          </cell>
          <cell r="B196" t="str">
            <v>Suministro e instalación de tablero de 18 Circuitos, con espacio para totalizador, capacidad en barraje de 225 A , Tensión de prueba de aislamiento (VAC) 2000, Barra de neutro, barra de tierra, chapa y llave. NO EQUIPADO.</v>
          </cell>
          <cell r="C196" t="str">
            <v>un</v>
          </cell>
          <cell r="D196">
            <v>819641</v>
          </cell>
          <cell r="E196">
            <v>1</v>
          </cell>
          <cell r="F196">
            <v>819641</v>
          </cell>
          <cell r="H196">
            <v>2</v>
          </cell>
          <cell r="Q196">
            <v>2.4</v>
          </cell>
          <cell r="R196">
            <v>2</v>
          </cell>
          <cell r="S196">
            <v>1.6</v>
          </cell>
        </row>
        <row r="197">
          <cell r="A197">
            <v>185</v>
          </cell>
          <cell r="B197" t="str">
            <v>Suministro e instalación de tablero de 12 Circuitos, con espacio para totalizador, capacidad en barraje de 225 A , Tensión de prueba de aislamiento (VAC) 2000, Barra de neutro, barra de tierra, chapa y llave. NO EQUIPADO.</v>
          </cell>
          <cell r="C197" t="str">
            <v>un</v>
          </cell>
          <cell r="D197">
            <v>1263694</v>
          </cell>
          <cell r="E197">
            <v>1</v>
          </cell>
          <cell r="F197">
            <v>1263694</v>
          </cell>
          <cell r="H197">
            <v>0.84</v>
          </cell>
          <cell r="Q197">
            <v>1.008</v>
          </cell>
          <cell r="R197">
            <v>0.84</v>
          </cell>
          <cell r="S197">
            <v>0.67200000000000004</v>
          </cell>
        </row>
        <row r="198">
          <cell r="A198">
            <v>186</v>
          </cell>
          <cell r="B198" t="str">
            <v>Suministro de materiales e instalación de punto eléctrico para toma corriente o iluminación con interruptor acorde a planos. Incluye tubería aérea EMT y PVC tipo pesado empotrada en pared, cajas de paso en lámina galv tipo pesado, cableado de circuitos de</v>
          </cell>
          <cell r="C198" t="str">
            <v>un</v>
          </cell>
          <cell r="D198">
            <v>189356</v>
          </cell>
          <cell r="E198">
            <v>1</v>
          </cell>
          <cell r="F198">
            <v>189356</v>
          </cell>
          <cell r="H198">
            <v>7</v>
          </cell>
          <cell r="Q198">
            <v>8.4</v>
          </cell>
          <cell r="R198">
            <v>7</v>
          </cell>
          <cell r="S198">
            <v>5.6000000000000005</v>
          </cell>
        </row>
        <row r="199">
          <cell r="A199">
            <v>187</v>
          </cell>
          <cell r="B199" t="str">
            <v>Suministro e instalación de toma tipo GFCI marca Leviton 110 voltios</v>
          </cell>
          <cell r="C199" t="str">
            <v>Un</v>
          </cell>
          <cell r="D199">
            <v>148959</v>
          </cell>
          <cell r="E199">
            <v>1</v>
          </cell>
          <cell r="F199">
            <v>148959</v>
          </cell>
          <cell r="H199">
            <v>3.5</v>
          </cell>
          <cell r="Q199">
            <v>4.2</v>
          </cell>
          <cell r="R199">
            <v>3.5</v>
          </cell>
          <cell r="S199">
            <v>2.8000000000000003</v>
          </cell>
        </row>
        <row r="200">
          <cell r="A200">
            <v>188</v>
          </cell>
          <cell r="B200" t="str">
            <v>Suministro e instalación de canaleta metálica en lámina col roll de 5 x 10 cms doble división, pintura electrostática, incluye face plates.</v>
          </cell>
          <cell r="C200" t="str">
            <v>ml</v>
          </cell>
          <cell r="D200">
            <v>113215</v>
          </cell>
          <cell r="E200">
            <v>1</v>
          </cell>
          <cell r="F200">
            <v>113215</v>
          </cell>
          <cell r="H200">
            <v>40</v>
          </cell>
          <cell r="Q200">
            <v>48</v>
          </cell>
          <cell r="R200">
            <v>40</v>
          </cell>
          <cell r="S200">
            <v>32</v>
          </cell>
        </row>
        <row r="201">
          <cell r="A201">
            <v>189</v>
          </cell>
          <cell r="B201" t="str">
            <v>Suministro e instalación de salida eléctrica en toma doble Leviton color naranja, tipo red regulada con p/t aislado, incluye cableqdo 7 hilos</v>
          </cell>
          <cell r="C201" t="str">
            <v>un</v>
          </cell>
          <cell r="D201">
            <v>130983</v>
          </cell>
          <cell r="E201">
            <v>1</v>
          </cell>
          <cell r="F201">
            <v>130983</v>
          </cell>
          <cell r="H201">
            <v>7.5</v>
          </cell>
          <cell r="Q201">
            <v>9</v>
          </cell>
          <cell r="R201">
            <v>7.5</v>
          </cell>
          <cell r="S201">
            <v>6</v>
          </cell>
        </row>
        <row r="202">
          <cell r="A202">
            <v>190</v>
          </cell>
          <cell r="B202" t="str">
            <v>Suministro, instalación, pruebas y puesta en servicio de aire acondicionado tipo mini split de 12000 BTU's marca LG 208 voltios con sus elementos conexos. Incluye construcción base en concreto de 3000 psi para el equipo y área circundante, drenaje, guarda</v>
          </cell>
          <cell r="C202" t="str">
            <v>un</v>
          </cell>
          <cell r="D202">
            <v>3061821</v>
          </cell>
          <cell r="E202">
            <v>1</v>
          </cell>
          <cell r="F202">
            <v>3061821</v>
          </cell>
          <cell r="H202">
            <v>1.5</v>
          </cell>
          <cell r="Q202">
            <v>1.7999999999999998</v>
          </cell>
          <cell r="R202">
            <v>1.5</v>
          </cell>
          <cell r="S202">
            <v>1.2000000000000002</v>
          </cell>
        </row>
        <row r="203">
          <cell r="A203">
            <v>191</v>
          </cell>
          <cell r="B203" t="str">
            <v>Suministro, instalación, pruebas y puesta en servicio de aire acondicionado tipo mini split de 36000 BTU's marca LG 208 voltios con sus elementos conexos. Incluye construcción base en concreto de 3000 psi para el equipo y área circundante, drenaje, guarda</v>
          </cell>
          <cell r="C203" t="str">
            <v>un</v>
          </cell>
          <cell r="D203">
            <v>6314121</v>
          </cell>
          <cell r="E203">
            <v>1</v>
          </cell>
          <cell r="F203">
            <v>6314121</v>
          </cell>
          <cell r="H203">
            <v>0.5</v>
          </cell>
          <cell r="Q203">
            <v>0.6</v>
          </cell>
          <cell r="R203">
            <v>0.5</v>
          </cell>
          <cell r="S203">
            <v>0.4</v>
          </cell>
        </row>
        <row r="204">
          <cell r="A204">
            <v>192</v>
          </cell>
          <cell r="B204" t="str">
            <v>Suministro, instalación, pruebas y puesta en servicio de aire acondicionado tipo mini split de 18000 BTU's marca LG 208 voltios con sus elementos conexos. Incluye construcción base en concreto de 3000 psi para el equipo y área circundante, drenaje, guarda</v>
          </cell>
          <cell r="C204" t="str">
            <v>un</v>
          </cell>
          <cell r="D204">
            <v>3734825</v>
          </cell>
          <cell r="E204">
            <v>1</v>
          </cell>
          <cell r="F204">
            <v>3734825</v>
          </cell>
          <cell r="H204">
            <v>1.8</v>
          </cell>
          <cell r="Q204">
            <v>2.16</v>
          </cell>
          <cell r="R204">
            <v>1.8</v>
          </cell>
          <cell r="S204">
            <v>1.4400000000000002</v>
          </cell>
        </row>
        <row r="205">
          <cell r="A205">
            <v>193</v>
          </cell>
          <cell r="B205" t="str">
            <v>Concreto reforzado de 3000 psi reforzado con malla Q3 para canales aereas</v>
          </cell>
          <cell r="C205" t="str">
            <v>ml</v>
          </cell>
          <cell r="D205">
            <v>289180</v>
          </cell>
          <cell r="E205">
            <v>1</v>
          </cell>
          <cell r="F205">
            <v>289180</v>
          </cell>
          <cell r="H205">
            <v>10</v>
          </cell>
          <cell r="Q205">
            <v>12</v>
          </cell>
          <cell r="R205">
            <v>10</v>
          </cell>
          <cell r="S205">
            <v>8</v>
          </cell>
        </row>
        <row r="206">
          <cell r="A206">
            <v>194</v>
          </cell>
          <cell r="B206" t="str">
            <v>Cieloraso en liston machihembrado de 8.5 x 1.5 cm, con entramado en madera, metalica y pintura en esmalte</v>
          </cell>
          <cell r="C206" t="str">
            <v>m2</v>
          </cell>
          <cell r="D206">
            <v>212918</v>
          </cell>
          <cell r="E206">
            <v>1</v>
          </cell>
          <cell r="F206">
            <v>212918</v>
          </cell>
          <cell r="H206">
            <v>8</v>
          </cell>
          <cell r="Q206">
            <v>9.6</v>
          </cell>
          <cell r="R206">
            <v>8</v>
          </cell>
          <cell r="S206">
            <v>6.4</v>
          </cell>
        </row>
        <row r="207">
          <cell r="A207">
            <v>195</v>
          </cell>
          <cell r="B207" t="str">
            <v>Cieloraso suspendido en Gyplac 1/2'' incluye perfilería metálica</v>
          </cell>
          <cell r="C207" t="str">
            <v>m2</v>
          </cell>
          <cell r="D207">
            <v>211238</v>
          </cell>
          <cell r="E207">
            <v>1</v>
          </cell>
          <cell r="F207">
            <v>211238</v>
          </cell>
          <cell r="H207">
            <v>8</v>
          </cell>
          <cell r="Q207">
            <v>9.6</v>
          </cell>
          <cell r="R207">
            <v>8</v>
          </cell>
          <cell r="S207">
            <v>6.4</v>
          </cell>
        </row>
        <row r="208">
          <cell r="A208">
            <v>196</v>
          </cell>
          <cell r="B208" t="str">
            <v>Ventana en aluminio y vidrio 3.5 X 2 m corrediza, tipo L</v>
          </cell>
          <cell r="C208" t="str">
            <v>Ea</v>
          </cell>
          <cell r="D208">
            <v>2858280</v>
          </cell>
          <cell r="E208">
            <v>1</v>
          </cell>
          <cell r="F208">
            <v>2858280</v>
          </cell>
          <cell r="H208">
            <v>3</v>
          </cell>
          <cell r="Q208">
            <v>3.5999999999999996</v>
          </cell>
          <cell r="R208">
            <v>3</v>
          </cell>
          <cell r="S208">
            <v>2.4000000000000004</v>
          </cell>
        </row>
        <row r="209">
          <cell r="A209">
            <v>197</v>
          </cell>
          <cell r="B209" t="str">
            <v>Vigas en perfil 2x2x1/4" para casetas</v>
          </cell>
          <cell r="C209" t="str">
            <v>Kg</v>
          </cell>
          <cell r="D209" t="e">
            <v>#N/A</v>
          </cell>
          <cell r="E209">
            <v>1</v>
          </cell>
          <cell r="F209" t="e">
            <v>#N/A</v>
          </cell>
          <cell r="H209">
            <v>30</v>
          </cell>
          <cell r="Q209">
            <v>36</v>
          </cell>
          <cell r="R209">
            <v>30</v>
          </cell>
          <cell r="S209">
            <v>24</v>
          </cell>
        </row>
        <row r="210">
          <cell r="A210">
            <v>198</v>
          </cell>
          <cell r="B210" t="str">
            <v>Cubierta metalica en lamina de Zinc 0.8 x 2.4 m</v>
          </cell>
          <cell r="C210" t="str">
            <v>m2</v>
          </cell>
          <cell r="D210">
            <v>55373</v>
          </cell>
          <cell r="E210">
            <v>1</v>
          </cell>
          <cell r="F210">
            <v>55373</v>
          </cell>
          <cell r="H210">
            <v>40</v>
          </cell>
          <cell r="Q210">
            <v>48</v>
          </cell>
          <cell r="R210">
            <v>40</v>
          </cell>
          <cell r="S210">
            <v>32</v>
          </cell>
        </row>
        <row r="211">
          <cell r="A211">
            <v>199</v>
          </cell>
          <cell r="B211" t="str">
            <v>Columnas en tubo galvanizado 2" (incluye pintura anticorrosiva) para casetas</v>
          </cell>
          <cell r="C211" t="str">
            <v>ml</v>
          </cell>
          <cell r="D211" t="e">
            <v>#N/A</v>
          </cell>
          <cell r="E211">
            <v>1</v>
          </cell>
          <cell r="F211" t="e">
            <v>#N/A</v>
          </cell>
          <cell r="H211">
            <v>13</v>
          </cell>
          <cell r="Q211">
            <v>15.6</v>
          </cell>
          <cell r="R211">
            <v>13</v>
          </cell>
          <cell r="S211">
            <v>10.4</v>
          </cell>
        </row>
        <row r="212">
          <cell r="A212">
            <v>200</v>
          </cell>
          <cell r="B212" t="str">
            <v>Instalacion de puerta en lamina (hasta 0.7 x 1.8 m) acrilica con marco y agarradera en aluminio</v>
          </cell>
          <cell r="C212" t="str">
            <v>Ea</v>
          </cell>
          <cell r="D212">
            <v>958645</v>
          </cell>
          <cell r="E212">
            <v>1</v>
          </cell>
          <cell r="F212">
            <v>958645</v>
          </cell>
          <cell r="H212">
            <v>3</v>
          </cell>
          <cell r="Q212">
            <v>3.5999999999999996</v>
          </cell>
          <cell r="R212">
            <v>3</v>
          </cell>
          <cell r="S212">
            <v>2.4000000000000004</v>
          </cell>
        </row>
        <row r="213">
          <cell r="A213">
            <v>201</v>
          </cell>
          <cell r="B213" t="str">
            <v>Instalacion  de registro hidraulico de 1/2"</v>
          </cell>
          <cell r="C213" t="str">
            <v>Ea</v>
          </cell>
          <cell r="D213">
            <v>110281</v>
          </cell>
          <cell r="E213">
            <v>1</v>
          </cell>
          <cell r="F213">
            <v>110281</v>
          </cell>
          <cell r="H213">
            <v>5</v>
          </cell>
          <cell r="Q213">
            <v>6</v>
          </cell>
          <cell r="R213">
            <v>5</v>
          </cell>
          <cell r="S213">
            <v>4</v>
          </cell>
        </row>
        <row r="214">
          <cell r="A214">
            <v>202</v>
          </cell>
          <cell r="B214" t="str">
            <v>Instalacion  de registro hidraulico de 3/4"</v>
          </cell>
          <cell r="C214" t="str">
            <v>Ea</v>
          </cell>
          <cell r="D214">
            <v>120431</v>
          </cell>
          <cell r="E214">
            <v>1</v>
          </cell>
          <cell r="F214">
            <v>120431</v>
          </cell>
          <cell r="H214">
            <v>5</v>
          </cell>
          <cell r="Q214">
            <v>6</v>
          </cell>
          <cell r="R214">
            <v>5</v>
          </cell>
          <cell r="S214">
            <v>4</v>
          </cell>
        </row>
        <row r="215">
          <cell r="A215">
            <v>203</v>
          </cell>
          <cell r="B215" t="str">
            <v>Instalacion  de registro hidraulico de 1 1/4"</v>
          </cell>
          <cell r="C215" t="str">
            <v>Ea</v>
          </cell>
          <cell r="D215">
            <v>182781</v>
          </cell>
          <cell r="E215">
            <v>1</v>
          </cell>
          <cell r="F215">
            <v>182781</v>
          </cell>
          <cell r="H215">
            <v>5</v>
          </cell>
          <cell r="Q215">
            <v>6</v>
          </cell>
          <cell r="R215">
            <v>5</v>
          </cell>
          <cell r="S215">
            <v>4</v>
          </cell>
        </row>
        <row r="216">
          <cell r="A216">
            <v>204</v>
          </cell>
          <cell r="B216" t="str">
            <v>Instalacion de tina hidromasajeadora 1.83 x 1.38 x 0.47 m. ref. Diana Edospina</v>
          </cell>
          <cell r="C216" t="str">
            <v>Ea</v>
          </cell>
          <cell r="D216">
            <v>6316538</v>
          </cell>
          <cell r="E216">
            <v>1</v>
          </cell>
          <cell r="F216">
            <v>6316538</v>
          </cell>
          <cell r="H216">
            <v>1.5</v>
          </cell>
          <cell r="Q216">
            <v>1.7999999999999998</v>
          </cell>
          <cell r="R216">
            <v>1.5</v>
          </cell>
          <cell r="S216">
            <v>1.2000000000000002</v>
          </cell>
        </row>
        <row r="217">
          <cell r="A217">
            <v>205</v>
          </cell>
          <cell r="B217" t="str">
            <v xml:space="preserve">Desagues en tubos de 3" PVC en voladizo de 1 m para placas </v>
          </cell>
          <cell r="C217" t="str">
            <v>ml</v>
          </cell>
          <cell r="D217">
            <v>64136</v>
          </cell>
          <cell r="E217">
            <v>1</v>
          </cell>
          <cell r="F217">
            <v>64136</v>
          </cell>
          <cell r="H217">
            <v>15</v>
          </cell>
          <cell r="Q217">
            <v>18</v>
          </cell>
          <cell r="R217">
            <v>15</v>
          </cell>
          <cell r="S217">
            <v>12</v>
          </cell>
        </row>
        <row r="218">
          <cell r="A218">
            <v>206</v>
          </cell>
          <cell r="B218" t="str">
            <v>Ventana corrediza en aluminio y vidrio 1.8 X 1.0 m (incluye marco y flanges en lamina galv No22)</v>
          </cell>
          <cell r="C218" t="str">
            <v>Ea</v>
          </cell>
          <cell r="D218">
            <v>626679</v>
          </cell>
          <cell r="E218">
            <v>1</v>
          </cell>
          <cell r="F218">
            <v>626679</v>
          </cell>
          <cell r="H218">
            <v>4</v>
          </cell>
          <cell r="Q218">
            <v>4.8</v>
          </cell>
          <cell r="R218">
            <v>4</v>
          </cell>
          <cell r="S218">
            <v>3.2</v>
          </cell>
        </row>
        <row r="219">
          <cell r="A219">
            <v>207</v>
          </cell>
          <cell r="B219" t="str">
            <v>Suministro e instalación de tubería PVC  eléctrica de 2 x 2" ó 2 x 3" Ø con accesorios de empalme.</v>
          </cell>
          <cell r="C219" t="str">
            <v>ml</v>
          </cell>
          <cell r="D219">
            <v>85321</v>
          </cell>
          <cell r="E219">
            <v>1</v>
          </cell>
          <cell r="F219">
            <v>85321</v>
          </cell>
          <cell r="H219">
            <v>20</v>
          </cell>
          <cell r="Q219">
            <v>24</v>
          </cell>
          <cell r="R219">
            <v>20</v>
          </cell>
          <cell r="S219">
            <v>16</v>
          </cell>
        </row>
        <row r="220">
          <cell r="A220">
            <v>208</v>
          </cell>
          <cell r="B220" t="str">
            <v>Instalación y Fijación de Tubería Conduit Galvanizada  de    2 x 1" Ǿ  (Incluye,  instalacion de accesorios de montaje, nivelación de la tubería y línea a tierra en conductor cobre desnudo No 2 a 2/0 AWG)</v>
          </cell>
          <cell r="C220" t="str">
            <v>ml</v>
          </cell>
          <cell r="D220">
            <v>49486</v>
          </cell>
          <cell r="E220">
            <v>1</v>
          </cell>
          <cell r="F220">
            <v>49486</v>
          </cell>
          <cell r="H220">
            <v>80</v>
          </cell>
          <cell r="Q220">
            <v>96</v>
          </cell>
          <cell r="R220">
            <v>80</v>
          </cell>
          <cell r="S220">
            <v>64</v>
          </cell>
        </row>
        <row r="221">
          <cell r="A221">
            <v>209</v>
          </cell>
          <cell r="B221" t="str">
            <v>Instalación y Fijación de Tubería Conduit Galvanizada  de    2 x 2" Ǿ  (Incluye,  instalacion de accesorios de montaje, nivelación de la tubería y línea a tierra en conductor cobre desnudo No 2 a 2/0 AWG)</v>
          </cell>
          <cell r="C221" t="str">
            <v>ml</v>
          </cell>
          <cell r="D221">
            <v>64093</v>
          </cell>
          <cell r="E221">
            <v>1</v>
          </cell>
          <cell r="F221">
            <v>64093</v>
          </cell>
          <cell r="H221">
            <v>60</v>
          </cell>
          <cell r="Q221">
            <v>72</v>
          </cell>
          <cell r="R221">
            <v>60</v>
          </cell>
          <cell r="S221">
            <v>48</v>
          </cell>
        </row>
        <row r="222">
          <cell r="A222">
            <v>210</v>
          </cell>
          <cell r="B222" t="str">
            <v>Suministro e instalacion de tablero de distribucion secundaria a 208V, NTQ-T42 Square-D con totalizador de 3x200 Amp.</v>
          </cell>
          <cell r="C222" t="str">
            <v>un</v>
          </cell>
          <cell r="D222">
            <v>2889251</v>
          </cell>
          <cell r="E222">
            <v>1</v>
          </cell>
          <cell r="F222">
            <v>2889251</v>
          </cell>
          <cell r="H222">
            <v>0.45</v>
          </cell>
          <cell r="Q222">
            <v>0.54</v>
          </cell>
          <cell r="R222">
            <v>0.45</v>
          </cell>
          <cell r="S222">
            <v>0.36000000000000004</v>
          </cell>
        </row>
        <row r="223">
          <cell r="A223">
            <v>211</v>
          </cell>
          <cell r="B223" t="str">
            <v>Suministro e instalacion de Breaker termomagnetico tipo industrial ajustable para una corriente nominal de 100Amp,208V,Marca Cutte Hammer, Square D, Merling Gering, Siemens o similar, que cumpla las caracteristicas tecnicas.</v>
          </cell>
          <cell r="C223" t="str">
            <v>un</v>
          </cell>
          <cell r="D223">
            <v>834026</v>
          </cell>
          <cell r="E223">
            <v>1</v>
          </cell>
          <cell r="F223">
            <v>834026</v>
          </cell>
          <cell r="H223">
            <v>0.7</v>
          </cell>
          <cell r="Q223">
            <v>0.84</v>
          </cell>
          <cell r="R223">
            <v>0.7</v>
          </cell>
          <cell r="S223">
            <v>0.55999999999999994</v>
          </cell>
        </row>
        <row r="224">
          <cell r="A224">
            <v>212</v>
          </cell>
          <cell r="B224" t="str">
            <v>Suministro e instalacion de Breaker termomagnetico tipo industrial ajustable para una corriente nominal de 200Amp,208V,Marca Cutte Hammer, Square D, Merling Gering, Siemens o similar, que cumpla las caracteristicas tecnicas.</v>
          </cell>
          <cell r="C224" t="str">
            <v>un</v>
          </cell>
          <cell r="D224">
            <v>1220815</v>
          </cell>
          <cell r="E224">
            <v>1</v>
          </cell>
          <cell r="F224">
            <v>1220815</v>
          </cell>
          <cell r="H224">
            <v>0.65</v>
          </cell>
          <cell r="Q224">
            <v>0.78</v>
          </cell>
          <cell r="R224">
            <v>0.65</v>
          </cell>
          <cell r="S224">
            <v>0.52</v>
          </cell>
        </row>
        <row r="225">
          <cell r="A225">
            <v>213</v>
          </cell>
          <cell r="B225" t="str">
            <v>Suministro e instalacion de Breaker termomagnetico tipo industrial ajustable para una corriente nominal de 300Amp,480V,Marca Cutte Hammer, Square D, Merling Gering, Siemens o similar, que cumpla las caracteristicas tecnicas.</v>
          </cell>
          <cell r="C225" t="str">
            <v>un</v>
          </cell>
          <cell r="D225">
            <v>2471628</v>
          </cell>
          <cell r="E225">
            <v>1</v>
          </cell>
          <cell r="F225">
            <v>2471628</v>
          </cell>
          <cell r="H225">
            <v>0.7</v>
          </cell>
          <cell r="Q225">
            <v>0.84</v>
          </cell>
          <cell r="R225">
            <v>0.7</v>
          </cell>
          <cell r="S225">
            <v>0.55999999999999994</v>
          </cell>
        </row>
        <row r="226">
          <cell r="A226">
            <v>214</v>
          </cell>
          <cell r="B226" t="str">
            <v xml:space="preserve">Pruebas Eléctricas al cableado de circuito existente todo tipo de calibre. </v>
          </cell>
          <cell r="C226" t="str">
            <v>Gl</v>
          </cell>
          <cell r="D226">
            <v>1276335</v>
          </cell>
          <cell r="E226">
            <v>1</v>
          </cell>
          <cell r="F226">
            <v>1276335</v>
          </cell>
          <cell r="H226">
            <v>0.8</v>
          </cell>
          <cell r="Q226">
            <v>0.96</v>
          </cell>
          <cell r="R226">
            <v>0.8</v>
          </cell>
          <cell r="S226">
            <v>0.64000000000000012</v>
          </cell>
        </row>
        <row r="227">
          <cell r="A227">
            <v>215</v>
          </cell>
          <cell r="B227" t="str">
            <v>Planos Red Line (3 Copias)</v>
          </cell>
          <cell r="C227" t="str">
            <v>Gl</v>
          </cell>
          <cell r="D227">
            <v>746875</v>
          </cell>
          <cell r="E227">
            <v>1</v>
          </cell>
          <cell r="F227">
            <v>746875</v>
          </cell>
          <cell r="H227">
            <v>1</v>
          </cell>
          <cell r="Q227">
            <v>1.2</v>
          </cell>
          <cell r="R227">
            <v>1</v>
          </cell>
          <cell r="S227">
            <v>0.8</v>
          </cell>
        </row>
        <row r="228">
          <cell r="A228">
            <v>216</v>
          </cell>
          <cell r="B228" t="str">
            <v>Desmonte,translado e instalacion de luminarias fluorescentes de 4x36W/120V, regilla tipo especular tubo T8,balasto electronico e interruptor.</v>
          </cell>
          <cell r="C228" t="str">
            <v>un</v>
          </cell>
          <cell r="D228">
            <v>183956</v>
          </cell>
          <cell r="E228">
            <v>1</v>
          </cell>
          <cell r="F228">
            <v>183956</v>
          </cell>
          <cell r="H228">
            <v>7</v>
          </cell>
          <cell r="Q228">
            <v>8.4</v>
          </cell>
          <cell r="R228">
            <v>7</v>
          </cell>
          <cell r="S228">
            <v>5.6000000000000005</v>
          </cell>
        </row>
        <row r="229">
          <cell r="A229">
            <v>217</v>
          </cell>
          <cell r="B229" t="str">
            <v xml:space="preserve">Suministro, instalacion,cableado y conexionado de luminaria fluorescentes de 4x36 / 120v rejilla tipo especular, tubo T8,balasto electronico e interruptor.  </v>
          </cell>
          <cell r="C229" t="str">
            <v>un</v>
          </cell>
          <cell r="D229">
            <v>437806</v>
          </cell>
          <cell r="H229">
            <v>10</v>
          </cell>
          <cell r="Q229">
            <v>12</v>
          </cell>
          <cell r="R229">
            <v>10</v>
          </cell>
          <cell r="S229">
            <v>8</v>
          </cell>
        </row>
        <row r="230">
          <cell r="A230">
            <v>218</v>
          </cell>
          <cell r="B230" t="str">
            <v>Suministro e instalacion de luminaria tipo bala fluorescente de 2x26W/120V o 2x32W/120V e interruptor</v>
          </cell>
          <cell r="C230" t="str">
            <v>un</v>
          </cell>
          <cell r="D230">
            <v>286111</v>
          </cell>
          <cell r="H230">
            <v>9</v>
          </cell>
          <cell r="Q230">
            <v>10.799999999999999</v>
          </cell>
          <cell r="R230">
            <v>9</v>
          </cell>
          <cell r="S230">
            <v>7.2</v>
          </cell>
        </row>
        <row r="231">
          <cell r="A231">
            <v>219</v>
          </cell>
          <cell r="B231" t="str">
            <v>Instalacion de poste de concreto de 14mts</v>
          </cell>
          <cell r="C231" t="str">
            <v>Ea</v>
          </cell>
          <cell r="D231">
            <v>1375594</v>
          </cell>
          <cell r="H231">
            <v>2</v>
          </cell>
          <cell r="Q231">
            <v>2.4</v>
          </cell>
          <cell r="R231">
            <v>2</v>
          </cell>
          <cell r="S231">
            <v>1.6</v>
          </cell>
        </row>
        <row r="232">
          <cell r="A232">
            <v>220</v>
          </cell>
          <cell r="B232" t="str">
            <v>Suministro e Instalacion de   toma doble RED normal Levinton 110V con polo a tierra,pt aisldo incluye conexionado, marquillado y cableado tipo 7 hilos</v>
          </cell>
          <cell r="C232" t="str">
            <v>un</v>
          </cell>
          <cell r="D232">
            <v>95183</v>
          </cell>
          <cell r="H232">
            <v>10</v>
          </cell>
          <cell r="Q232">
            <v>12</v>
          </cell>
          <cell r="R232">
            <v>10</v>
          </cell>
          <cell r="S232">
            <v>8</v>
          </cell>
        </row>
        <row r="233">
          <cell r="A233">
            <v>221</v>
          </cell>
          <cell r="B233" t="str">
            <v>Suministro e instalacion de luminaria de 400W, 208 vol, Sodio alta presion. Incluye suministro de bombilla y brazo</v>
          </cell>
          <cell r="C233" t="str">
            <v>un</v>
          </cell>
          <cell r="D233">
            <v>1371024</v>
          </cell>
          <cell r="H233">
            <v>1.5</v>
          </cell>
          <cell r="Q233">
            <v>1.7999999999999998</v>
          </cell>
          <cell r="R233">
            <v>1.5</v>
          </cell>
          <cell r="S233">
            <v>1.2000000000000002</v>
          </cell>
        </row>
        <row r="234">
          <cell r="A234">
            <v>222</v>
          </cell>
          <cell r="B234" t="str">
            <v>Suministro Breaker tipo enchufable de 3x20A General Electric Square D</v>
          </cell>
          <cell r="C234" t="str">
            <v>un</v>
          </cell>
          <cell r="D234">
            <v>110760</v>
          </cell>
          <cell r="H234">
            <v>1</v>
          </cell>
          <cell r="Q234">
            <v>1.2</v>
          </cell>
          <cell r="R234">
            <v>1</v>
          </cell>
          <cell r="S234">
            <v>0.8</v>
          </cell>
        </row>
        <row r="235">
          <cell r="A235">
            <v>223</v>
          </cell>
          <cell r="B235" t="str">
            <v>Suministro Breaker tipo enchufable de 1x20A General Electric Square D</v>
          </cell>
          <cell r="C235" t="str">
            <v>un</v>
          </cell>
          <cell r="D235">
            <v>61306</v>
          </cell>
          <cell r="H235">
            <v>13</v>
          </cell>
          <cell r="Q235">
            <v>15.6</v>
          </cell>
          <cell r="R235">
            <v>13</v>
          </cell>
          <cell r="S235">
            <v>10.4</v>
          </cell>
        </row>
        <row r="236">
          <cell r="A236">
            <v>224</v>
          </cell>
          <cell r="B236" t="str">
            <v>Pruebas Funcionales ( consiste ne la disponibilidad de un electricista II para apoyo de puesta en marcha del sistema)</v>
          </cell>
          <cell r="C236" t="str">
            <v>Gl</v>
          </cell>
          <cell r="D236">
            <v>784808</v>
          </cell>
          <cell r="E236">
            <v>1</v>
          </cell>
          <cell r="F236">
            <v>784808</v>
          </cell>
          <cell r="H236">
            <v>0.7</v>
          </cell>
          <cell r="Q236">
            <v>0.84</v>
          </cell>
          <cell r="R236">
            <v>0.7</v>
          </cell>
          <cell r="S236">
            <v>0.55999999999999994</v>
          </cell>
        </row>
        <row r="237">
          <cell r="A237">
            <v>225</v>
          </cell>
          <cell r="B237" t="str">
            <v>Instalacion de reflectores de 400W sodio alta presion</v>
          </cell>
          <cell r="C237" t="str">
            <v>Ea</v>
          </cell>
          <cell r="D237">
            <v>363343</v>
          </cell>
          <cell r="H237">
            <v>1</v>
          </cell>
          <cell r="Q237">
            <v>1.2</v>
          </cell>
          <cell r="R237">
            <v>1</v>
          </cell>
          <cell r="S237">
            <v>0.8</v>
          </cell>
        </row>
        <row r="238">
          <cell r="A238">
            <v>226</v>
          </cell>
          <cell r="B238" t="str">
            <v>Instalacion de Contactor en tablero de distribucion de alumbrado.</v>
          </cell>
          <cell r="C238" t="str">
            <v>un</v>
          </cell>
          <cell r="D238">
            <v>167168</v>
          </cell>
          <cell r="H238">
            <v>1</v>
          </cell>
          <cell r="Q238">
            <v>1.2</v>
          </cell>
          <cell r="R238">
            <v>1</v>
          </cell>
          <cell r="S238">
            <v>0.8</v>
          </cell>
        </row>
        <row r="239">
          <cell r="A239">
            <v>227</v>
          </cell>
          <cell r="B239" t="str">
            <v>Suministro e instalacion de Extractor marca Siemens Modelo:2CC2545YC3 // 1.5A // 0.7M3/s // 62Db</v>
          </cell>
          <cell r="C239" t="str">
            <v>un</v>
          </cell>
          <cell r="D239">
            <v>867761</v>
          </cell>
          <cell r="H239">
            <v>1</v>
          </cell>
          <cell r="Q239">
            <v>1.2</v>
          </cell>
          <cell r="R239">
            <v>1</v>
          </cell>
          <cell r="S239">
            <v>0.8</v>
          </cell>
        </row>
        <row r="240">
          <cell r="A240">
            <v>228</v>
          </cell>
          <cell r="B240" t="str">
            <v>Instalacion de Extractor marca Siemens 
Modelo:2CC2545YC3 // 1.5A // 0.7M3/s // 62Db</v>
          </cell>
          <cell r="C240" t="str">
            <v>un</v>
          </cell>
          <cell r="D240">
            <v>387089</v>
          </cell>
          <cell r="H240">
            <v>1.8</v>
          </cell>
          <cell r="Q240">
            <v>2.16</v>
          </cell>
          <cell r="R240">
            <v>1.8</v>
          </cell>
          <cell r="S240">
            <v>1.4400000000000002</v>
          </cell>
        </row>
        <row r="241">
          <cell r="A241">
            <v>229</v>
          </cell>
          <cell r="B241" t="str">
            <v>Instalacion de cajas de Conexiones en postes.</v>
          </cell>
          <cell r="C241" t="str">
            <v>un</v>
          </cell>
          <cell r="D241">
            <v>189365</v>
          </cell>
          <cell r="H241">
            <v>0</v>
          </cell>
          <cell r="Q241">
            <v>0</v>
          </cell>
          <cell r="R241">
            <v>0</v>
          </cell>
          <cell r="S241">
            <v>0</v>
          </cell>
        </row>
        <row r="242">
          <cell r="A242">
            <v>230</v>
          </cell>
          <cell r="C242" t="str">
            <v>un</v>
          </cell>
          <cell r="H242">
            <v>0</v>
          </cell>
          <cell r="Q242">
            <v>0</v>
          </cell>
          <cell r="S242">
            <v>0</v>
          </cell>
        </row>
        <row r="243">
          <cell r="A243">
            <v>231</v>
          </cell>
          <cell r="C243" t="str">
            <v>ml</v>
          </cell>
          <cell r="H243">
            <v>0</v>
          </cell>
          <cell r="Q243">
            <v>0</v>
          </cell>
          <cell r="S243">
            <v>0</v>
          </cell>
        </row>
        <row r="244">
          <cell r="A244">
            <v>232</v>
          </cell>
          <cell r="C244" t="str">
            <v>ml</v>
          </cell>
          <cell r="H244">
            <v>0</v>
          </cell>
          <cell r="Q244">
            <v>0</v>
          </cell>
          <cell r="S244">
            <v>0</v>
          </cell>
        </row>
        <row r="245">
          <cell r="A245">
            <v>233</v>
          </cell>
          <cell r="B245" t="str">
            <v>Adecuacion de tableros e instalacion de Breaker 1x15A proteccion</v>
          </cell>
          <cell r="C245" t="str">
            <v>Gl</v>
          </cell>
          <cell r="D245">
            <v>813906</v>
          </cell>
          <cell r="H245">
            <v>0.83</v>
          </cell>
          <cell r="Q245">
            <v>0.99599999999999989</v>
          </cell>
          <cell r="R245">
            <v>0.83</v>
          </cell>
          <cell r="S245">
            <v>0.66400000000000003</v>
          </cell>
        </row>
        <row r="246">
          <cell r="A246">
            <v>234</v>
          </cell>
          <cell r="B246" t="str">
            <v>Instalacion,cableado y conexionado de tablero
 FAP // 701// 7082 // 703// 704</v>
          </cell>
          <cell r="C246" t="str">
            <v>Ea</v>
          </cell>
          <cell r="D246">
            <v>1421249</v>
          </cell>
          <cell r="E246">
            <v>1</v>
          </cell>
          <cell r="F246">
            <v>1421249</v>
          </cell>
          <cell r="H246">
            <v>0.9</v>
          </cell>
          <cell r="Q246">
            <v>1.08</v>
          </cell>
          <cell r="R246">
            <v>0.9</v>
          </cell>
          <cell r="S246">
            <v>0.72000000000000008</v>
          </cell>
        </row>
        <row r="247">
          <cell r="A247">
            <v>235</v>
          </cell>
          <cell r="B247" t="str">
            <v>Instalacion,cableado y conexionado de tablero FAP // 700</v>
          </cell>
          <cell r="C247" t="str">
            <v>Ea</v>
          </cell>
          <cell r="D247">
            <v>2123929</v>
          </cell>
          <cell r="E247">
            <v>1</v>
          </cell>
          <cell r="F247">
            <v>2123929</v>
          </cell>
          <cell r="H247">
            <v>0.5</v>
          </cell>
          <cell r="Q247">
            <v>0.6</v>
          </cell>
          <cell r="R247">
            <v>0.5</v>
          </cell>
          <cell r="S247">
            <v>0.4</v>
          </cell>
        </row>
        <row r="248">
          <cell r="A248">
            <v>236</v>
          </cell>
          <cell r="B248" t="str">
            <v>Instalacion y fijacion de cajas de halado invertidas. Incluye la instalacion y conexion de cable de puesta a tierra en cobre desnudo</v>
          </cell>
          <cell r="C248" t="str">
            <v>Ea</v>
          </cell>
          <cell r="D248">
            <v>341795</v>
          </cell>
          <cell r="E248">
            <v>1</v>
          </cell>
          <cell r="F248">
            <v>341795</v>
          </cell>
          <cell r="H248">
            <v>2.7</v>
          </cell>
          <cell r="Q248">
            <v>3.24</v>
          </cell>
          <cell r="R248">
            <v>2.7</v>
          </cell>
          <cell r="S248">
            <v>2.16</v>
          </cell>
        </row>
        <row r="249">
          <cell r="A249">
            <v>237</v>
          </cell>
          <cell r="B249" t="str">
            <v xml:space="preserve">Instalacion, marcado y pruebas de cable de 
FIRE ALARM CABLE, U/L STYLE 24. 2X16AWG SHIELDED </v>
          </cell>
          <cell r="C249" t="str">
            <v>ml</v>
          </cell>
          <cell r="D249">
            <v>26719</v>
          </cell>
          <cell r="E249">
            <v>1</v>
          </cell>
          <cell r="F249">
            <v>26719</v>
          </cell>
          <cell r="H249">
            <v>260</v>
          </cell>
          <cell r="Q249">
            <v>312</v>
          </cell>
          <cell r="R249">
            <v>260</v>
          </cell>
          <cell r="S249">
            <v>208</v>
          </cell>
        </row>
        <row r="250">
          <cell r="A250">
            <v>238</v>
          </cell>
          <cell r="B250" t="str">
            <v xml:space="preserve">Instalacion, marcado y pruebas de cable de 
FIRE ALARM CABLE, U/L STYLE 24. 4X16AWG SHIELDED </v>
          </cell>
          <cell r="C250" t="str">
            <v>ml</v>
          </cell>
          <cell r="D250">
            <v>27015</v>
          </cell>
          <cell r="E250">
            <v>1</v>
          </cell>
          <cell r="F250">
            <v>27015</v>
          </cell>
          <cell r="H250">
            <v>245</v>
          </cell>
          <cell r="Q250">
            <v>294</v>
          </cell>
          <cell r="R250">
            <v>245</v>
          </cell>
          <cell r="S250">
            <v>196</v>
          </cell>
        </row>
        <row r="251">
          <cell r="A251">
            <v>239</v>
          </cell>
          <cell r="B251" t="str">
            <v>Tendido de cable termico sobre los conductores existentes en la bandeja e instalacion de caja para modulo intefase.Como se indique en planos</v>
          </cell>
          <cell r="C251" t="str">
            <v>ml</v>
          </cell>
          <cell r="D251">
            <v>29284</v>
          </cell>
          <cell r="E251">
            <v>1</v>
          </cell>
          <cell r="F251">
            <v>29284</v>
          </cell>
          <cell r="H251">
            <v>170</v>
          </cell>
          <cell r="Q251">
            <v>204</v>
          </cell>
          <cell r="R251">
            <v>170</v>
          </cell>
          <cell r="S251">
            <v>136</v>
          </cell>
        </row>
        <row r="252">
          <cell r="A252">
            <v>240</v>
          </cell>
          <cell r="B252" t="str">
            <v>Suministro e instalacion de soporte para tablero en angulo 2x2x1/4'' FAP // 700</v>
          </cell>
          <cell r="C252" t="str">
            <v>Ea</v>
          </cell>
          <cell r="D252">
            <v>741696</v>
          </cell>
          <cell r="E252">
            <v>1</v>
          </cell>
          <cell r="F252">
            <v>741696</v>
          </cell>
          <cell r="H252">
            <v>1.2</v>
          </cell>
          <cell r="Q252">
            <v>1.44</v>
          </cell>
          <cell r="R252">
            <v>1.2</v>
          </cell>
          <cell r="S252">
            <v>0.96</v>
          </cell>
        </row>
        <row r="253">
          <cell r="A253">
            <v>241</v>
          </cell>
          <cell r="B253" t="str">
            <v>Suministro e instalacion de soporte con techo para tablero en angulo 2x2x1/4''FAP // 701 // 7082 // 703 // 704</v>
          </cell>
          <cell r="C253" t="str">
            <v>Ea</v>
          </cell>
          <cell r="D253">
            <v>686325</v>
          </cell>
          <cell r="E253">
            <v>1</v>
          </cell>
          <cell r="F253">
            <v>686325</v>
          </cell>
          <cell r="H253">
            <v>1.3</v>
          </cell>
          <cell r="Q253">
            <v>1.56</v>
          </cell>
          <cell r="R253">
            <v>1.3</v>
          </cell>
          <cell r="S253">
            <v>1.04</v>
          </cell>
        </row>
        <row r="254">
          <cell r="A254">
            <v>242</v>
          </cell>
          <cell r="B254" t="str">
            <v>Tubería de 30'' Ansi 150-600 (accesorios y niples)</v>
          </cell>
          <cell r="C254" t="str">
            <v>Pega</v>
          </cell>
          <cell r="D254">
            <v>1698051</v>
          </cell>
          <cell r="H254">
            <v>0</v>
          </cell>
        </row>
        <row r="255">
          <cell r="A255">
            <v>243</v>
          </cell>
          <cell r="B255" t="str">
            <v>Tubería de 30'' Ansi 150-600 (alineamientos rectos)</v>
          </cell>
          <cell r="C255" t="str">
            <v>ml</v>
          </cell>
          <cell r="D255">
            <v>471349</v>
          </cell>
          <cell r="H255">
            <v>0</v>
          </cell>
        </row>
        <row r="256">
          <cell r="A256">
            <v>244</v>
          </cell>
          <cell r="B256" t="str">
            <v>Tuberia de 24'' Ansi 150-600 (accesorios y niples)</v>
          </cell>
          <cell r="C256" t="str">
            <v>Pega</v>
          </cell>
          <cell r="D256">
            <v>1688888</v>
          </cell>
          <cell r="H256">
            <v>0</v>
          </cell>
        </row>
        <row r="257">
          <cell r="A257">
            <v>245</v>
          </cell>
          <cell r="B257" t="str">
            <v>Tuberia de 24'' Ansi 150-600 (alineamientos rectos)</v>
          </cell>
          <cell r="C257" t="str">
            <v>ml</v>
          </cell>
          <cell r="D257">
            <v>492920</v>
          </cell>
          <cell r="H257">
            <v>0</v>
          </cell>
        </row>
        <row r="258">
          <cell r="A258">
            <v>246</v>
          </cell>
          <cell r="B258" t="str">
            <v>Tuberia de 20'' Ansi 150-600 (accesorios y niples)</v>
          </cell>
          <cell r="C258" t="str">
            <v>Pega</v>
          </cell>
          <cell r="D258">
            <v>1478611</v>
          </cell>
          <cell r="H258">
            <v>0</v>
          </cell>
        </row>
        <row r="259">
          <cell r="A259">
            <v>247</v>
          </cell>
          <cell r="B259" t="str">
            <v>Tuberia de 20'' Ansi 150-600 (alineamientos rectos)</v>
          </cell>
          <cell r="C259" t="str">
            <v>ml</v>
          </cell>
          <cell r="D259">
            <v>475458</v>
          </cell>
          <cell r="H259">
            <v>0</v>
          </cell>
        </row>
        <row r="260">
          <cell r="A260">
            <v>248</v>
          </cell>
          <cell r="B260" t="str">
            <v>Tuberia de 18'' Ansi 150-600 (accesorios y niples)</v>
          </cell>
          <cell r="C260" t="str">
            <v>Pega</v>
          </cell>
          <cell r="D260">
            <v>1307985</v>
          </cell>
          <cell r="H260">
            <v>0</v>
          </cell>
        </row>
        <row r="261">
          <cell r="A261">
            <v>249</v>
          </cell>
          <cell r="B261" t="str">
            <v>Plataforma en malla expandida con baranda, ancho 1.00 m</v>
          </cell>
          <cell r="C261" t="str">
            <v>ml</v>
          </cell>
          <cell r="D261">
            <v>653195</v>
          </cell>
          <cell r="H261">
            <v>6.7</v>
          </cell>
          <cell r="R261">
            <v>6.7</v>
          </cell>
        </row>
        <row r="262">
          <cell r="A262">
            <v>250</v>
          </cell>
          <cell r="B262" t="str">
            <v>Plataforma en malla expandida con baranda, ancho 0.75 m</v>
          </cell>
          <cell r="C262" t="str">
            <v>ml</v>
          </cell>
          <cell r="D262">
            <v>701040</v>
          </cell>
          <cell r="H262">
            <v>6.7</v>
          </cell>
          <cell r="R262">
            <v>6.7</v>
          </cell>
        </row>
        <row r="263">
          <cell r="A263">
            <v>251</v>
          </cell>
          <cell r="B263" t="str">
            <v>Escalera en malla expandida con baranda, ancho 0.75 m</v>
          </cell>
          <cell r="C263" t="str">
            <v>ml</v>
          </cell>
          <cell r="D263" t="e">
            <v>#N/A</v>
          </cell>
          <cell r="H263">
            <v>6.7</v>
          </cell>
          <cell r="R263">
            <v>6.7</v>
          </cell>
        </row>
        <row r="264">
          <cell r="A264">
            <v>252</v>
          </cell>
          <cell r="B264" t="str">
            <v>Tuberia de 18'' Ansi 150-600 (alineamientos rectos)</v>
          </cell>
          <cell r="C264" t="str">
            <v>ml</v>
          </cell>
          <cell r="D264">
            <v>308928</v>
          </cell>
          <cell r="H264">
            <v>0</v>
          </cell>
        </row>
        <row r="265">
          <cell r="A265">
            <v>253</v>
          </cell>
          <cell r="B265" t="str">
            <v>Tubería de 16'' Ansi 150-600 (accesorios y niples)</v>
          </cell>
          <cell r="C265" t="str">
            <v>Pega</v>
          </cell>
          <cell r="D265">
            <v>957714</v>
          </cell>
          <cell r="H265">
            <v>0</v>
          </cell>
        </row>
        <row r="266">
          <cell r="A266">
            <v>254</v>
          </cell>
          <cell r="B266" t="str">
            <v>Tuberia de 16'' Ansi 150-600 (alineamientos rectos)</v>
          </cell>
          <cell r="C266" t="str">
            <v>ml</v>
          </cell>
          <cell r="D266">
            <v>245135</v>
          </cell>
          <cell r="H266">
            <v>0</v>
          </cell>
        </row>
        <row r="267">
          <cell r="A267">
            <v>255</v>
          </cell>
          <cell r="B267" t="str">
            <v>Tubería de 12'' Ansi 150-600 (accesorios y niples)</v>
          </cell>
          <cell r="C267" t="str">
            <v>Pega</v>
          </cell>
          <cell r="D267">
            <v>905849</v>
          </cell>
          <cell r="H267">
            <v>0</v>
          </cell>
        </row>
        <row r="268">
          <cell r="A268">
            <v>256</v>
          </cell>
          <cell r="B268" t="str">
            <v>Tuberia de 12'' Ansi 150-600 (alineamientos rectos)</v>
          </cell>
          <cell r="C268" t="str">
            <v>ml</v>
          </cell>
          <cell r="D268">
            <v>242744</v>
          </cell>
          <cell r="H268">
            <v>0</v>
          </cell>
        </row>
        <row r="269">
          <cell r="A269">
            <v>257</v>
          </cell>
          <cell r="B269" t="str">
            <v>Tubería de 10'' Ansi 150-600 (accesorios y niples)</v>
          </cell>
          <cell r="C269" t="str">
            <v>Pega</v>
          </cell>
          <cell r="D269">
            <v>680829</v>
          </cell>
          <cell r="H269">
            <v>0</v>
          </cell>
        </row>
        <row r="270">
          <cell r="A270">
            <v>258</v>
          </cell>
          <cell r="B270" t="str">
            <v>Tuberia de 10'' Ansi 150-600 (alineamientos rectos)</v>
          </cell>
          <cell r="C270" t="str">
            <v>ml</v>
          </cell>
          <cell r="D270">
            <v>162136</v>
          </cell>
          <cell r="H270">
            <v>0</v>
          </cell>
        </row>
        <row r="271">
          <cell r="A271">
            <v>259</v>
          </cell>
          <cell r="B271" t="str">
            <v>Tubería de 8'' Ansi 150-600 (accesorios y niples)</v>
          </cell>
          <cell r="C271" t="str">
            <v>Pega</v>
          </cell>
          <cell r="D271">
            <v>469666</v>
          </cell>
          <cell r="H271">
            <v>0</v>
          </cell>
        </row>
        <row r="272">
          <cell r="A272">
            <v>260</v>
          </cell>
          <cell r="B272" t="str">
            <v>Tuberia de 8'' Ansi 150-600 (alineamientos rectos)</v>
          </cell>
          <cell r="C272" t="str">
            <v>ml</v>
          </cell>
          <cell r="D272">
            <v>138488</v>
          </cell>
          <cell r="H272">
            <v>0</v>
          </cell>
        </row>
        <row r="273">
          <cell r="A273">
            <v>261</v>
          </cell>
          <cell r="B273" t="str">
            <v>Tubería de 8'' Ansi &gt;600 (accesorios y niples)</v>
          </cell>
          <cell r="C273" t="str">
            <v>Pega</v>
          </cell>
          <cell r="D273">
            <v>520385</v>
          </cell>
          <cell r="H273">
            <v>0</v>
          </cell>
        </row>
        <row r="274">
          <cell r="A274">
            <v>262</v>
          </cell>
          <cell r="B274" t="str">
            <v>Tuberia de 8'' Ansi &gt;600 (alineamientos rectos)</v>
          </cell>
          <cell r="C274" t="str">
            <v>ml</v>
          </cell>
          <cell r="D274">
            <v>174240</v>
          </cell>
          <cell r="H274">
            <v>0</v>
          </cell>
        </row>
        <row r="275">
          <cell r="A275">
            <v>263</v>
          </cell>
          <cell r="B275" t="str">
            <v>Tubería de 6'' Ansi 150-600 (accesorios y niples)</v>
          </cell>
          <cell r="C275" t="str">
            <v>Pega</v>
          </cell>
          <cell r="D275">
            <v>388991</v>
          </cell>
          <cell r="H275">
            <v>0</v>
          </cell>
        </row>
        <row r="276">
          <cell r="A276">
            <v>264</v>
          </cell>
          <cell r="B276" t="str">
            <v>Tuberia de 6'' Ansi 150-600 (alineamientos rectos)</v>
          </cell>
          <cell r="C276" t="str">
            <v>ml</v>
          </cell>
          <cell r="D276">
            <v>121246</v>
          </cell>
          <cell r="H276">
            <v>0</v>
          </cell>
        </row>
        <row r="277">
          <cell r="A277">
            <v>265</v>
          </cell>
          <cell r="B277" t="str">
            <v>Tubería de 6'' Ansi &gt;600 (accesorios y niples)</v>
          </cell>
          <cell r="C277" t="str">
            <v>Pega</v>
          </cell>
          <cell r="D277">
            <v>446139</v>
          </cell>
          <cell r="H277">
            <v>0</v>
          </cell>
        </row>
        <row r="278">
          <cell r="A278">
            <v>266</v>
          </cell>
          <cell r="B278" t="str">
            <v>Tuberia de 6'' Ansi &gt;600 (alineamientos rectos)</v>
          </cell>
          <cell r="C278" t="str">
            <v>ml</v>
          </cell>
          <cell r="D278">
            <v>148286</v>
          </cell>
          <cell r="H278">
            <v>0</v>
          </cell>
        </row>
        <row r="279">
          <cell r="A279">
            <v>267</v>
          </cell>
          <cell r="B279" t="str">
            <v>Tubería de 4'' Ansi 150-600 (accesorios y niples)</v>
          </cell>
          <cell r="C279" t="str">
            <v>Pega</v>
          </cell>
          <cell r="D279">
            <v>347216</v>
          </cell>
          <cell r="H279">
            <v>0</v>
          </cell>
        </row>
        <row r="280">
          <cell r="A280">
            <v>268</v>
          </cell>
          <cell r="B280" t="str">
            <v>Tuberia de 4'' Ansi 150-600 (alineamientos rectos)</v>
          </cell>
          <cell r="C280" t="str">
            <v>ml</v>
          </cell>
          <cell r="D280">
            <v>114524</v>
          </cell>
          <cell r="H280">
            <v>0</v>
          </cell>
        </row>
        <row r="281">
          <cell r="A281">
            <v>269</v>
          </cell>
          <cell r="B281" t="str">
            <v>Tubería de 4'' Ansi &gt;600 (accesorios y niples)</v>
          </cell>
          <cell r="C281" t="str">
            <v>Pega</v>
          </cell>
          <cell r="D281">
            <v>355798</v>
          </cell>
          <cell r="H281">
            <v>0</v>
          </cell>
        </row>
        <row r="282">
          <cell r="A282">
            <v>270</v>
          </cell>
          <cell r="B282" t="str">
            <v>Tuberia de 4'' Ansi &gt;600 (alineamientos rectos)</v>
          </cell>
          <cell r="C282" t="str">
            <v>ml</v>
          </cell>
          <cell r="D282">
            <v>126911</v>
          </cell>
          <cell r="H282">
            <v>0</v>
          </cell>
        </row>
        <row r="283">
          <cell r="A283">
            <v>271</v>
          </cell>
          <cell r="B283" t="str">
            <v>Montaje de caseta metálica tipo Subestación eléctrica</v>
          </cell>
          <cell r="C283" t="str">
            <v>gl</v>
          </cell>
          <cell r="D283">
            <v>3230058</v>
          </cell>
          <cell r="H283">
            <v>0.4</v>
          </cell>
          <cell r="Q283">
            <v>0.48</v>
          </cell>
          <cell r="R283">
            <v>0.4</v>
          </cell>
          <cell r="S283">
            <v>0.32000000000000006</v>
          </cell>
        </row>
        <row r="284">
          <cell r="A284">
            <v>272</v>
          </cell>
          <cell r="B284" t="str">
            <v>Tubería de 3'' Ansi 150-600 (accesorios y niples)</v>
          </cell>
          <cell r="C284" t="str">
            <v>Pega</v>
          </cell>
          <cell r="D284">
            <v>338455</v>
          </cell>
          <cell r="H284">
            <v>0</v>
          </cell>
        </row>
        <row r="285">
          <cell r="A285">
            <v>273</v>
          </cell>
          <cell r="B285" t="str">
            <v>Tuberia de 3'' Ansi 150-600 (alineamientos rectos)</v>
          </cell>
          <cell r="C285" t="str">
            <v>ml</v>
          </cell>
          <cell r="D285">
            <v>101714</v>
          </cell>
          <cell r="H285">
            <v>0</v>
          </cell>
        </row>
        <row r="286">
          <cell r="A286">
            <v>274</v>
          </cell>
          <cell r="B286" t="str">
            <v>Tubería de 3'' Ansi &gt;600 (accesorios y niples)</v>
          </cell>
          <cell r="C286" t="str">
            <v>Pega</v>
          </cell>
          <cell r="D286">
            <v>385426</v>
          </cell>
          <cell r="H286">
            <v>0</v>
          </cell>
        </row>
        <row r="287">
          <cell r="A287">
            <v>275</v>
          </cell>
          <cell r="B287" t="str">
            <v>Tubería de 3'' Ansi &gt;600 (alineamientos rectos)</v>
          </cell>
          <cell r="C287" t="str">
            <v>ml</v>
          </cell>
          <cell r="D287">
            <v>136778</v>
          </cell>
          <cell r="H287">
            <v>0</v>
          </cell>
        </row>
        <row r="288">
          <cell r="A288">
            <v>276</v>
          </cell>
          <cell r="B288" t="str">
            <v>Tubería de 2'' Ansi 150-600 (accesorios y niples)</v>
          </cell>
          <cell r="C288" t="str">
            <v>Pega</v>
          </cell>
          <cell r="D288">
            <v>330244</v>
          </cell>
          <cell r="H288">
            <v>0</v>
          </cell>
        </row>
        <row r="289">
          <cell r="A289">
            <v>277</v>
          </cell>
          <cell r="B289" t="str">
            <v>Tuberia de 2'' Ansi 150-600 (alineamientos rectos)</v>
          </cell>
          <cell r="C289" t="str">
            <v>ml</v>
          </cell>
          <cell r="D289">
            <v>99330</v>
          </cell>
          <cell r="H289">
            <v>0</v>
          </cell>
        </row>
        <row r="290">
          <cell r="A290">
            <v>278</v>
          </cell>
          <cell r="B290" t="str">
            <v>Tubería de 2'' Ansi &gt;600 (accesorios y niples)</v>
          </cell>
          <cell r="C290" t="str">
            <v>Pega</v>
          </cell>
          <cell r="D290">
            <v>365733</v>
          </cell>
          <cell r="H290">
            <v>0</v>
          </cell>
        </row>
        <row r="291">
          <cell r="A291">
            <v>279</v>
          </cell>
          <cell r="B291" t="str">
            <v>Tuberia de 2'' Ansi &gt;600 (alineamientos rectos)</v>
          </cell>
          <cell r="C291" t="str">
            <v>ml</v>
          </cell>
          <cell r="D291">
            <v>129738</v>
          </cell>
          <cell r="H291">
            <v>0</v>
          </cell>
        </row>
        <row r="292">
          <cell r="A292">
            <v>274</v>
          </cell>
          <cell r="B292" t="str">
            <v>Tubería de 3'' Ansi &gt;600 (accesorios y niples)</v>
          </cell>
          <cell r="C292" t="str">
            <v>Pega</v>
          </cell>
          <cell r="D292">
            <v>385426</v>
          </cell>
          <cell r="H292">
            <v>0</v>
          </cell>
        </row>
        <row r="293">
          <cell r="A293">
            <v>275</v>
          </cell>
          <cell r="B293" t="str">
            <v>Tubería de 3'' Ansi &gt;600 (alineamientos rectos)</v>
          </cell>
          <cell r="C293" t="str">
            <v>ml</v>
          </cell>
          <cell r="D293">
            <v>136778</v>
          </cell>
          <cell r="H293">
            <v>0</v>
          </cell>
        </row>
        <row r="294">
          <cell r="A294">
            <v>276</v>
          </cell>
          <cell r="B294" t="str">
            <v>Tubería de 2'' Ansi 150-600 (accesorios y niples)</v>
          </cell>
          <cell r="C294" t="str">
            <v>Pega</v>
          </cell>
          <cell r="D294">
            <v>330244</v>
          </cell>
          <cell r="H294">
            <v>0</v>
          </cell>
        </row>
        <row r="295">
          <cell r="A295">
            <v>277</v>
          </cell>
          <cell r="B295" t="str">
            <v>Tuberia de 2'' Ansi 150-600 (alineamientos rectos)</v>
          </cell>
          <cell r="C295" t="str">
            <v>ml</v>
          </cell>
          <cell r="D295">
            <v>99330</v>
          </cell>
          <cell r="H295">
            <v>0</v>
          </cell>
        </row>
        <row r="296">
          <cell r="A296">
            <v>278</v>
          </cell>
          <cell r="B296" t="str">
            <v>Tubería de 2'' Ansi &gt;600 (accesorios y niples)</v>
          </cell>
          <cell r="C296" t="str">
            <v>Pega</v>
          </cell>
          <cell r="D296">
            <v>365733</v>
          </cell>
          <cell r="H296">
            <v>0</v>
          </cell>
        </row>
        <row r="297">
          <cell r="A297">
            <v>279</v>
          </cell>
          <cell r="B297" t="str">
            <v>Tuberia de  2'' Ansi &gt;600 (alineamientos rectos)</v>
          </cell>
          <cell r="C297" t="str">
            <v>ml</v>
          </cell>
          <cell r="D297">
            <v>129738</v>
          </cell>
          <cell r="H297">
            <v>0</v>
          </cell>
        </row>
        <row r="298">
          <cell r="A298">
            <v>280</v>
          </cell>
          <cell r="B298" t="str">
            <v>Manifold Típico Ansi 150-600</v>
          </cell>
          <cell r="C298" t="str">
            <v>Gl</v>
          </cell>
          <cell r="D298">
            <v>11007796</v>
          </cell>
          <cell r="H298">
            <v>0</v>
          </cell>
        </row>
        <row r="299">
          <cell r="A299">
            <v>281</v>
          </cell>
          <cell r="B299" t="str">
            <v>Manifold Típico Ansi &gt;600</v>
          </cell>
          <cell r="C299" t="str">
            <v>Gl</v>
          </cell>
          <cell r="D299">
            <v>13947495</v>
          </cell>
          <cell r="H299">
            <v>0</v>
          </cell>
        </row>
        <row r="300">
          <cell r="A300">
            <v>282</v>
          </cell>
          <cell r="B300" t="str">
            <v>Parrilla de Contrapozo</v>
          </cell>
          <cell r="C300" t="str">
            <v>Gl</v>
          </cell>
          <cell r="D300">
            <v>5040148</v>
          </cell>
          <cell r="H300">
            <v>0</v>
          </cell>
        </row>
        <row r="301">
          <cell r="A301">
            <v>283</v>
          </cell>
          <cell r="B301" t="str">
            <v>Conexión del Arbol de Navidad</v>
          </cell>
          <cell r="C301" t="str">
            <v>Gl</v>
          </cell>
          <cell r="D301">
            <v>3167098</v>
          </cell>
          <cell r="H301">
            <v>0</v>
          </cell>
        </row>
        <row r="302">
          <cell r="A302">
            <v>284</v>
          </cell>
          <cell r="B302" t="str">
            <v>Cruce de Vía (Cualquier Diámetro)</v>
          </cell>
          <cell r="C302" t="str">
            <v>Ml</v>
          </cell>
          <cell r="D302">
            <v>546746</v>
          </cell>
          <cell r="H302">
            <v>0</v>
          </cell>
        </row>
        <row r="303">
          <cell r="A303">
            <v>285</v>
          </cell>
          <cell r="B303" t="str">
            <v>Hot Tap igual o menos a 1'' sobre cualquier diámetro</v>
          </cell>
          <cell r="C303" t="str">
            <v>Ea</v>
          </cell>
          <cell r="D303">
            <v>507511</v>
          </cell>
          <cell r="H303">
            <v>0</v>
          </cell>
        </row>
        <row r="304">
          <cell r="A304">
            <v>286</v>
          </cell>
          <cell r="B304" t="str">
            <v>Hot Tap 2'' sobre cualquier diámetro</v>
          </cell>
          <cell r="C304" t="str">
            <v>Ea</v>
          </cell>
          <cell r="D304">
            <v>1268748</v>
          </cell>
          <cell r="H304">
            <v>0</v>
          </cell>
        </row>
        <row r="305">
          <cell r="A305">
            <v>287</v>
          </cell>
          <cell r="B305" t="str">
            <v>Hot Tap 3'' sobre cualquier diámetro</v>
          </cell>
          <cell r="C305" t="str">
            <v>Ea</v>
          </cell>
          <cell r="D305">
            <v>2325008</v>
          </cell>
          <cell r="H305">
            <v>0</v>
          </cell>
        </row>
        <row r="306">
          <cell r="A306">
            <v>288</v>
          </cell>
          <cell r="B306" t="str">
            <v>Hot Tap 4'' sobre cualquier diámetro</v>
          </cell>
          <cell r="C306" t="str">
            <v>Ea</v>
          </cell>
          <cell r="D306">
            <v>2327434</v>
          </cell>
          <cell r="H306">
            <v>0</v>
          </cell>
        </row>
        <row r="307">
          <cell r="A307">
            <v>289</v>
          </cell>
          <cell r="B307" t="str">
            <v>Instalación, pruebas y puesta en marcha PC 1-5 ánodos</v>
          </cell>
          <cell r="C307" t="str">
            <v>Cama</v>
          </cell>
          <cell r="D307">
            <v>4857796</v>
          </cell>
          <cell r="H307">
            <v>0</v>
          </cell>
        </row>
        <row r="308">
          <cell r="A308">
            <v>290</v>
          </cell>
          <cell r="B308" t="str">
            <v>Instalación, pruebas y puesta en marcha PC 6-10 ánodos</v>
          </cell>
          <cell r="C308" t="str">
            <v>Cama</v>
          </cell>
          <cell r="D308">
            <v>6262009</v>
          </cell>
          <cell r="H308">
            <v>0</v>
          </cell>
        </row>
        <row r="309">
          <cell r="A309">
            <v>291</v>
          </cell>
          <cell r="B309" t="str">
            <v>Contrapesas en concreto</v>
          </cell>
          <cell r="C309" t="str">
            <v>m3</v>
          </cell>
          <cell r="D309">
            <v>1105080</v>
          </cell>
          <cell r="H309">
            <v>0</v>
          </cell>
        </row>
        <row r="310">
          <cell r="A310">
            <v>292</v>
          </cell>
          <cell r="B310" t="str">
            <v>Concreto 3000psi</v>
          </cell>
          <cell r="C310" t="str">
            <v>m3</v>
          </cell>
          <cell r="D310">
            <v>2728793</v>
          </cell>
          <cell r="H310">
            <v>0</v>
          </cell>
        </row>
        <row r="311">
          <cell r="A311">
            <v>293</v>
          </cell>
          <cell r="B311" t="str">
            <v>Excavación manual en facilidades</v>
          </cell>
          <cell r="C311" t="str">
            <v>m3</v>
          </cell>
          <cell r="D311">
            <v>231403</v>
          </cell>
          <cell r="H311">
            <v>2.4</v>
          </cell>
          <cell r="Q311">
            <v>2.88</v>
          </cell>
          <cell r="R311">
            <v>2.4</v>
          </cell>
          <cell r="S311">
            <v>1.92</v>
          </cell>
        </row>
        <row r="312">
          <cell r="A312">
            <v>294</v>
          </cell>
          <cell r="B312" t="str">
            <v>Ubicación e instalación de postes de senalización; incluye pintura de banderas.</v>
          </cell>
          <cell r="C312" t="str">
            <v>und</v>
          </cell>
          <cell r="D312">
            <v>2159673</v>
          </cell>
          <cell r="H312">
            <v>0</v>
          </cell>
        </row>
        <row r="313">
          <cell r="A313">
            <v>295</v>
          </cell>
          <cell r="B313" t="str">
            <v>Prefabricación de poste en concreto de 3000 psi.</v>
          </cell>
          <cell r="C313" t="str">
            <v>und</v>
          </cell>
          <cell r="D313">
            <v>546708</v>
          </cell>
          <cell r="H313">
            <v>0</v>
          </cell>
        </row>
        <row r="314">
          <cell r="A314">
            <v>296</v>
          </cell>
          <cell r="B314" t="str">
            <v>Llenado, transporte y colocación de sacos arena en laguna la draga en area de PF2</v>
          </cell>
          <cell r="C314" t="str">
            <v>und</v>
          </cell>
          <cell r="D314">
            <v>13725</v>
          </cell>
          <cell r="H314">
            <v>0</v>
          </cell>
          <cell r="S314">
            <v>500</v>
          </cell>
        </row>
        <row r="315">
          <cell r="A315">
            <v>297</v>
          </cell>
          <cell r="B315" t="str">
            <v>Rocería en la vía principal</v>
          </cell>
          <cell r="C315" t="str">
            <v>ml</v>
          </cell>
          <cell r="D315">
            <v>2954</v>
          </cell>
          <cell r="H315">
            <v>1030</v>
          </cell>
          <cell r="Q315">
            <v>1236</v>
          </cell>
          <cell r="R315">
            <v>1030</v>
          </cell>
          <cell r="S315">
            <v>824</v>
          </cell>
        </row>
        <row r="316">
          <cell r="A316">
            <v>298</v>
          </cell>
          <cell r="B316" t="str">
            <v>Aplicación de Herbicida, ancho 5m. (Incluye suministro de herbicida)</v>
          </cell>
          <cell r="C316" t="str">
            <v>ml</v>
          </cell>
          <cell r="D316">
            <v>2954</v>
          </cell>
          <cell r="H316">
            <v>4000</v>
          </cell>
          <cell r="Q316">
            <v>4800</v>
          </cell>
          <cell r="R316">
            <v>4000</v>
          </cell>
          <cell r="S316">
            <v>3200</v>
          </cell>
        </row>
      </sheetData>
      <sheetData sheetId="3" refreshError="1"/>
      <sheetData sheetId="4" refreshError="1">
        <row r="18">
          <cell r="B18">
            <v>1</v>
          </cell>
          <cell r="C18" t="str">
            <v>Acero PDR-60</v>
          </cell>
          <cell r="D18" t="str">
            <v>KG</v>
          </cell>
          <cell r="E18">
            <v>3448.2885000000001</v>
          </cell>
        </row>
        <row r="19">
          <cell r="B19">
            <v>2</v>
          </cell>
          <cell r="C19" t="str">
            <v>Agua</v>
          </cell>
          <cell r="D19" t="str">
            <v>LT</v>
          </cell>
          <cell r="E19">
            <v>255.2</v>
          </cell>
        </row>
        <row r="20">
          <cell r="B20">
            <v>3</v>
          </cell>
          <cell r="C20" t="str">
            <v>Alambre galvanizado Cal. 10</v>
          </cell>
          <cell r="D20" t="str">
            <v>KG</v>
          </cell>
          <cell r="E20">
            <v>6119.9975999999988</v>
          </cell>
        </row>
        <row r="21">
          <cell r="B21">
            <v>4</v>
          </cell>
          <cell r="C21" t="str">
            <v>Alambre galvanizado Cal. 18</v>
          </cell>
          <cell r="D21" t="str">
            <v>KG</v>
          </cell>
          <cell r="E21">
            <v>5160.0047999999997</v>
          </cell>
        </row>
        <row r="22">
          <cell r="B22">
            <v>5</v>
          </cell>
          <cell r="C22" t="str">
            <v>Alambre negro</v>
          </cell>
          <cell r="D22" t="str">
            <v>KG</v>
          </cell>
          <cell r="E22">
            <v>5160.0047999999997</v>
          </cell>
        </row>
        <row r="23">
          <cell r="B23">
            <v>6</v>
          </cell>
          <cell r="C23" t="str">
            <v>Alambre púas</v>
          </cell>
          <cell r="D23" t="str">
            <v>RO</v>
          </cell>
          <cell r="E23">
            <v>98879.996159999981</v>
          </cell>
        </row>
        <row r="24">
          <cell r="B24">
            <v>7</v>
          </cell>
          <cell r="C24" t="str">
            <v>Ameron</v>
          </cell>
          <cell r="D24" t="str">
            <v>KG</v>
          </cell>
          <cell r="E24">
            <v>0</v>
          </cell>
        </row>
        <row r="25">
          <cell r="B25">
            <v>8</v>
          </cell>
          <cell r="C25" t="str">
            <v>APIQUE (SUB)</v>
          </cell>
          <cell r="D25" t="str">
            <v>GL</v>
          </cell>
          <cell r="E25">
            <v>0</v>
          </cell>
        </row>
        <row r="26">
          <cell r="B26">
            <v>9</v>
          </cell>
          <cell r="C26" t="str">
            <v>Arena</v>
          </cell>
          <cell r="D26" t="str">
            <v>M3</v>
          </cell>
          <cell r="E26">
            <v>0</v>
          </cell>
        </row>
        <row r="27">
          <cell r="B27">
            <v>10</v>
          </cell>
          <cell r="C27" t="str">
            <v>Arena fina</v>
          </cell>
          <cell r="D27" t="str">
            <v>M3</v>
          </cell>
          <cell r="E27">
            <v>0</v>
          </cell>
        </row>
        <row r="28">
          <cell r="B28">
            <v>11</v>
          </cell>
          <cell r="C28" t="str">
            <v>Aserrin</v>
          </cell>
          <cell r="D28" t="str">
            <v>m3</v>
          </cell>
          <cell r="E28">
            <v>0</v>
          </cell>
        </row>
        <row r="29">
          <cell r="B29">
            <v>12</v>
          </cell>
          <cell r="C29" t="str">
            <v>Asfalto</v>
          </cell>
          <cell r="D29" t="str">
            <v>M3</v>
          </cell>
          <cell r="E29">
            <v>0</v>
          </cell>
        </row>
        <row r="30">
          <cell r="B30">
            <v>13</v>
          </cell>
          <cell r="C30" t="str">
            <v>Barreras en zanja</v>
          </cell>
          <cell r="D30" t="str">
            <v>UN</v>
          </cell>
          <cell r="E30">
            <v>0</v>
          </cell>
        </row>
        <row r="31">
          <cell r="B31">
            <v>14</v>
          </cell>
          <cell r="C31" t="str">
            <v>Bloque en concreto</v>
          </cell>
          <cell r="D31" t="str">
            <v>UN</v>
          </cell>
          <cell r="E31">
            <v>2204</v>
          </cell>
        </row>
        <row r="32">
          <cell r="B32">
            <v>15</v>
          </cell>
          <cell r="C32" t="str">
            <v>Brocha 3''</v>
          </cell>
          <cell r="D32" t="str">
            <v>UN</v>
          </cell>
          <cell r="E32">
            <v>9648.8799999999992</v>
          </cell>
        </row>
        <row r="33">
          <cell r="B33">
            <v>16</v>
          </cell>
          <cell r="C33" t="str">
            <v>Brocha 4"</v>
          </cell>
          <cell r="D33" t="str">
            <v>UN</v>
          </cell>
          <cell r="E33">
            <v>15799.199999999999</v>
          </cell>
        </row>
        <row r="34">
          <cell r="B34">
            <v>17</v>
          </cell>
          <cell r="C34" t="str">
            <v>Cable cobre encauchetado</v>
          </cell>
          <cell r="D34" t="str">
            <v>M</v>
          </cell>
          <cell r="E34">
            <v>0</v>
          </cell>
        </row>
        <row r="35">
          <cell r="B35">
            <v>18</v>
          </cell>
          <cell r="C35" t="str">
            <v>Cabuya ref. 1800</v>
          </cell>
          <cell r="D35" t="str">
            <v>RO</v>
          </cell>
          <cell r="E35">
            <v>12749.56</v>
          </cell>
        </row>
        <row r="36">
          <cell r="B36">
            <v>19</v>
          </cell>
          <cell r="C36" t="str">
            <v>Caneca 55 gal. vacía</v>
          </cell>
          <cell r="D36" t="str">
            <v>UN</v>
          </cell>
          <cell r="E36">
            <v>0</v>
          </cell>
        </row>
        <row r="37">
          <cell r="B37">
            <v>20</v>
          </cell>
          <cell r="C37" t="str">
            <v>Caperuza de lámina Cal 10</v>
          </cell>
          <cell r="D37" t="str">
            <v>UN</v>
          </cell>
          <cell r="E37">
            <v>0</v>
          </cell>
        </row>
        <row r="38">
          <cell r="B38">
            <v>21</v>
          </cell>
          <cell r="C38" t="str">
            <v>Cemento gris</v>
          </cell>
          <cell r="D38" t="str">
            <v>Kg</v>
          </cell>
          <cell r="E38">
            <v>510.4</v>
          </cell>
        </row>
        <row r="39">
          <cell r="B39">
            <v>22</v>
          </cell>
          <cell r="C39" t="str">
            <v>Concertina</v>
          </cell>
          <cell r="D39" t="str">
            <v>M</v>
          </cell>
          <cell r="E39">
            <v>0</v>
          </cell>
        </row>
        <row r="40">
          <cell r="B40">
            <v>23</v>
          </cell>
          <cell r="C40" t="str">
            <v>Concreto premezclado 1500 PSI</v>
          </cell>
          <cell r="D40" t="str">
            <v>M3</v>
          </cell>
          <cell r="E40">
            <v>0</v>
          </cell>
        </row>
        <row r="41">
          <cell r="B41">
            <v>24</v>
          </cell>
          <cell r="C41" t="str">
            <v>Concreto premezclado 2000 PSI</v>
          </cell>
          <cell r="D41" t="str">
            <v>M3</v>
          </cell>
          <cell r="E41">
            <v>0</v>
          </cell>
        </row>
        <row r="42">
          <cell r="B42">
            <v>25</v>
          </cell>
          <cell r="C42" t="str">
            <v>Concreto premezclado 2500 PSI</v>
          </cell>
          <cell r="D42" t="str">
            <v>M3</v>
          </cell>
          <cell r="E42">
            <v>0</v>
          </cell>
        </row>
        <row r="43">
          <cell r="B43">
            <v>26</v>
          </cell>
          <cell r="C43" t="str">
            <v>Concreto 3000 PSI a todo costo</v>
          </cell>
          <cell r="D43" t="str">
            <v>M3</v>
          </cell>
          <cell r="E43">
            <v>2472673.4</v>
          </cell>
        </row>
        <row r="44">
          <cell r="B44">
            <v>27</v>
          </cell>
          <cell r="C44" t="str">
            <v>Dinamita</v>
          </cell>
          <cell r="D44" t="str">
            <v>KG</v>
          </cell>
          <cell r="E44">
            <v>0</v>
          </cell>
        </row>
        <row r="45">
          <cell r="B45">
            <v>28</v>
          </cell>
          <cell r="C45" t="str">
            <v>Estacones</v>
          </cell>
          <cell r="D45" t="str">
            <v>UN</v>
          </cell>
          <cell r="E45">
            <v>0</v>
          </cell>
        </row>
        <row r="46">
          <cell r="B46">
            <v>29</v>
          </cell>
          <cell r="C46" t="str">
            <v>Esterilla</v>
          </cell>
          <cell r="D46" t="str">
            <v>MT</v>
          </cell>
          <cell r="E46">
            <v>0</v>
          </cell>
        </row>
        <row r="47">
          <cell r="B47">
            <v>30</v>
          </cell>
          <cell r="C47" t="str">
            <v>Estibas de madera</v>
          </cell>
          <cell r="D47" t="str">
            <v>UN</v>
          </cell>
          <cell r="E47">
            <v>174000</v>
          </cell>
        </row>
        <row r="48">
          <cell r="B48">
            <v>31</v>
          </cell>
          <cell r="C48" t="str">
            <v>Estopin</v>
          </cell>
          <cell r="D48" t="str">
            <v>UN</v>
          </cell>
          <cell r="E48">
            <v>0</v>
          </cell>
        </row>
        <row r="49">
          <cell r="B49">
            <v>32</v>
          </cell>
          <cell r="C49" t="str">
            <v>Estrobos</v>
          </cell>
          <cell r="D49" t="str">
            <v>UN</v>
          </cell>
          <cell r="E49">
            <v>0</v>
          </cell>
        </row>
        <row r="50">
          <cell r="B50">
            <v>33</v>
          </cell>
          <cell r="C50" t="str">
            <v>Geotextil</v>
          </cell>
          <cell r="D50" t="str">
            <v>M2</v>
          </cell>
          <cell r="E50">
            <v>4408</v>
          </cell>
        </row>
        <row r="51">
          <cell r="B51">
            <v>34</v>
          </cell>
          <cell r="C51" t="str">
            <v>Grapa para alambre de púa</v>
          </cell>
          <cell r="D51" t="str">
            <v>KG</v>
          </cell>
          <cell r="E51">
            <v>1392</v>
          </cell>
        </row>
        <row r="52">
          <cell r="B52">
            <v>35</v>
          </cell>
          <cell r="C52" t="str">
            <v>Gravilla 3/4"</v>
          </cell>
          <cell r="D52" t="str">
            <v>M3</v>
          </cell>
          <cell r="E52">
            <v>104400</v>
          </cell>
        </row>
        <row r="53">
          <cell r="B53">
            <v>36</v>
          </cell>
          <cell r="C53" t="str">
            <v>Hidrosolta</v>
          </cell>
          <cell r="D53" t="str">
            <v>BTO</v>
          </cell>
          <cell r="E53">
            <v>0</v>
          </cell>
        </row>
        <row r="54">
          <cell r="B54">
            <v>37</v>
          </cell>
          <cell r="C54" t="str">
            <v>Dilataciones en madera</v>
          </cell>
          <cell r="D54" t="str">
            <v>M</v>
          </cell>
          <cell r="E54">
            <v>1160</v>
          </cell>
        </row>
        <row r="55">
          <cell r="B55">
            <v>38</v>
          </cell>
          <cell r="C55" t="str">
            <v>Malla electrosoldada Q7</v>
          </cell>
          <cell r="D55" t="str">
            <v>M2</v>
          </cell>
          <cell r="E55">
            <v>10992.851063829785</v>
          </cell>
        </row>
        <row r="56">
          <cell r="B56">
            <v>39</v>
          </cell>
          <cell r="C56" t="str">
            <v>Malla eslabonada Cal. 10 2''x2''</v>
          </cell>
          <cell r="D56" t="str">
            <v>M2</v>
          </cell>
          <cell r="E56">
            <v>10440</v>
          </cell>
        </row>
        <row r="57">
          <cell r="B57">
            <v>40</v>
          </cell>
          <cell r="C57" t="str">
            <v>Malla para gaviones</v>
          </cell>
          <cell r="D57" t="str">
            <v>UN</v>
          </cell>
          <cell r="E57">
            <v>0</v>
          </cell>
        </row>
        <row r="58">
          <cell r="B58">
            <v>41</v>
          </cell>
          <cell r="C58" t="str">
            <v>Manila 1"</v>
          </cell>
          <cell r="D58" t="str">
            <v>MT</v>
          </cell>
          <cell r="E58">
            <v>2320</v>
          </cell>
        </row>
        <row r="59">
          <cell r="B59">
            <v>42</v>
          </cell>
          <cell r="C59" t="str">
            <v>Manila 1/2''</v>
          </cell>
          <cell r="D59" t="str">
            <v>MT</v>
          </cell>
          <cell r="E59">
            <v>927.99999999999989</v>
          </cell>
        </row>
        <row r="60">
          <cell r="B60">
            <v>43</v>
          </cell>
          <cell r="C60" t="str">
            <v>Manila 3/4"</v>
          </cell>
          <cell r="D60" t="str">
            <v>MT</v>
          </cell>
          <cell r="E60">
            <v>1392</v>
          </cell>
        </row>
        <row r="61">
          <cell r="B61">
            <v>44</v>
          </cell>
          <cell r="C61" t="str">
            <v>Mechalenta</v>
          </cell>
          <cell r="D61" t="str">
            <v>M</v>
          </cell>
          <cell r="E61">
            <v>0</v>
          </cell>
        </row>
        <row r="62">
          <cell r="B62">
            <v>45</v>
          </cell>
          <cell r="C62" t="str">
            <v>Mojones</v>
          </cell>
          <cell r="D62" t="str">
            <v>UN</v>
          </cell>
          <cell r="E62">
            <v>0</v>
          </cell>
        </row>
        <row r="63">
          <cell r="B63">
            <v>46</v>
          </cell>
          <cell r="C63" t="str">
            <v>MORTERO PEGA Y PAÑETE 1000 PSI</v>
          </cell>
          <cell r="D63" t="str">
            <v>m3</v>
          </cell>
          <cell r="E63">
            <v>0</v>
          </cell>
        </row>
        <row r="64">
          <cell r="B64">
            <v>47</v>
          </cell>
          <cell r="C64" t="str">
            <v>MORTERO PEGA Y PAÑETE 1500 PSI</v>
          </cell>
          <cell r="D64" t="str">
            <v>m3</v>
          </cell>
          <cell r="E64" t="e">
            <v>#REF!</v>
          </cell>
        </row>
        <row r="65">
          <cell r="B65">
            <v>48</v>
          </cell>
          <cell r="C65" t="str">
            <v>MORTERO PEGA Y PAÑETE 1785 PSI</v>
          </cell>
          <cell r="D65" t="str">
            <v>m3</v>
          </cell>
          <cell r="E65">
            <v>0</v>
          </cell>
        </row>
        <row r="66">
          <cell r="B66">
            <v>49</v>
          </cell>
          <cell r="C66" t="str">
            <v>MORTERO PEGA Y PAÑETE 2000 PSI</v>
          </cell>
          <cell r="D66" t="str">
            <v>m3</v>
          </cell>
          <cell r="E66">
            <v>0</v>
          </cell>
        </row>
        <row r="67">
          <cell r="B67">
            <v>50</v>
          </cell>
          <cell r="C67" t="str">
            <v>MORTERO PEGA Y PAÑETE 2500 PSI</v>
          </cell>
          <cell r="D67" t="str">
            <v>m3</v>
          </cell>
          <cell r="E67">
            <v>0</v>
          </cell>
        </row>
        <row r="68">
          <cell r="B68">
            <v>51</v>
          </cell>
          <cell r="C68" t="str">
            <v>Neopreno 1/8"</v>
          </cell>
          <cell r="D68" t="str">
            <v>M2</v>
          </cell>
          <cell r="E68">
            <v>0</v>
          </cell>
        </row>
        <row r="69">
          <cell r="B69">
            <v>52</v>
          </cell>
          <cell r="C69" t="str">
            <v>Nivel 24"</v>
          </cell>
          <cell r="D69" t="str">
            <v>UN</v>
          </cell>
          <cell r="E69">
            <v>0</v>
          </cell>
        </row>
        <row r="70">
          <cell r="B70">
            <v>53</v>
          </cell>
          <cell r="C70" t="str">
            <v>Nivel Abney</v>
          </cell>
          <cell r="D70" t="str">
            <v>UN</v>
          </cell>
          <cell r="E70">
            <v>0</v>
          </cell>
        </row>
        <row r="71">
          <cell r="B71">
            <v>54</v>
          </cell>
          <cell r="C71" t="str">
            <v>Oxígeno</v>
          </cell>
          <cell r="D71" t="str">
            <v>CYL</v>
          </cell>
          <cell r="E71">
            <v>98600</v>
          </cell>
        </row>
        <row r="72">
          <cell r="B72">
            <v>55</v>
          </cell>
          <cell r="C72" t="str">
            <v>Pala concabo</v>
          </cell>
          <cell r="D72" t="str">
            <v>UN</v>
          </cell>
          <cell r="E72">
            <v>0</v>
          </cell>
        </row>
        <row r="73">
          <cell r="B73">
            <v>56</v>
          </cell>
          <cell r="C73" t="str">
            <v>Paladraga</v>
          </cell>
          <cell r="D73" t="str">
            <v>UN</v>
          </cell>
          <cell r="E73">
            <v>55331.999999999993</v>
          </cell>
        </row>
        <row r="74">
          <cell r="B74">
            <v>57</v>
          </cell>
          <cell r="C74" t="str">
            <v>Palustre 8"</v>
          </cell>
          <cell r="D74" t="str">
            <v>UN</v>
          </cell>
          <cell r="E74">
            <v>11078</v>
          </cell>
        </row>
        <row r="75">
          <cell r="B75">
            <v>58</v>
          </cell>
          <cell r="C75" t="str">
            <v>Pararrayos Tipo Franklin</v>
          </cell>
          <cell r="D75" t="str">
            <v>un</v>
          </cell>
          <cell r="E75">
            <v>0</v>
          </cell>
        </row>
        <row r="76">
          <cell r="B76">
            <v>59</v>
          </cell>
          <cell r="C76" t="str">
            <v>PARASOL</v>
          </cell>
          <cell r="D76" t="str">
            <v>UN</v>
          </cell>
          <cell r="E76">
            <v>0</v>
          </cell>
        </row>
        <row r="77">
          <cell r="B77">
            <v>60</v>
          </cell>
          <cell r="C77" t="str">
            <v>PICA CON CABO</v>
          </cell>
          <cell r="D77" t="str">
            <v>UN</v>
          </cell>
          <cell r="E77">
            <v>0</v>
          </cell>
        </row>
        <row r="78">
          <cell r="B78">
            <v>61</v>
          </cell>
          <cell r="C78" t="str">
            <v>PIEDRA 4"</v>
          </cell>
          <cell r="D78" t="str">
            <v>UN</v>
          </cell>
          <cell r="E78">
            <v>0</v>
          </cell>
        </row>
        <row r="79">
          <cell r="B79">
            <v>62</v>
          </cell>
          <cell r="C79" t="str">
            <v>PIEDRA 5"</v>
          </cell>
          <cell r="D79" t="str">
            <v>M3</v>
          </cell>
          <cell r="E79">
            <v>0</v>
          </cell>
        </row>
        <row r="80">
          <cell r="B80">
            <v>63</v>
          </cell>
          <cell r="C80" t="str">
            <v>PIEDRA RAJON</v>
          </cell>
          <cell r="D80" t="str">
            <v>M3</v>
          </cell>
          <cell r="E80">
            <v>0</v>
          </cell>
        </row>
        <row r="81">
          <cell r="B81">
            <v>64</v>
          </cell>
          <cell r="C81" t="str">
            <v>PIEDRA ZONJA - ROCA</v>
          </cell>
          <cell r="D81" t="str">
            <v>M3</v>
          </cell>
          <cell r="E81">
            <v>0</v>
          </cell>
        </row>
        <row r="82">
          <cell r="B82">
            <v>65</v>
          </cell>
          <cell r="C82" t="str">
            <v>PIMPINA 15 GLS</v>
          </cell>
          <cell r="D82" t="str">
            <v>UN</v>
          </cell>
          <cell r="E82">
            <v>28999.999999999996</v>
          </cell>
        </row>
        <row r="83">
          <cell r="B83">
            <v>66</v>
          </cell>
          <cell r="C83" t="str">
            <v>Pintura anticorrosiva</v>
          </cell>
          <cell r="D83" t="str">
            <v>GL</v>
          </cell>
          <cell r="E83">
            <v>38280</v>
          </cell>
        </row>
        <row r="84">
          <cell r="B84">
            <v>67</v>
          </cell>
          <cell r="C84" t="str">
            <v>Pintura viniltex</v>
          </cell>
          <cell r="D84" t="str">
            <v>GL</v>
          </cell>
          <cell r="E84">
            <v>56599.88</v>
          </cell>
        </row>
        <row r="85">
          <cell r="B85">
            <v>68</v>
          </cell>
          <cell r="C85" t="str">
            <v>Pintura Pintulux</v>
          </cell>
          <cell r="D85" t="str">
            <v>GL</v>
          </cell>
          <cell r="E85">
            <v>76618</v>
          </cell>
        </row>
        <row r="86">
          <cell r="B86">
            <v>69</v>
          </cell>
          <cell r="C86" t="str">
            <v>Pintura viniltex Coraza</v>
          </cell>
          <cell r="D86" t="str">
            <v>UN</v>
          </cell>
          <cell r="E86">
            <v>63799.999999999993</v>
          </cell>
        </row>
        <row r="87">
          <cell r="B87">
            <v>70</v>
          </cell>
          <cell r="C87" t="str">
            <v>Puerta entamborada  Cal 18 con marco 0.85 x 2.0 m con marco</v>
          </cell>
          <cell r="D87" t="str">
            <v>Un</v>
          </cell>
          <cell r="E87">
            <v>600000</v>
          </cell>
        </row>
        <row r="88">
          <cell r="B88">
            <v>71</v>
          </cell>
          <cell r="C88" t="str">
            <v>Puerta en lámina 2x1</v>
          </cell>
          <cell r="D88" t="str">
            <v>UN</v>
          </cell>
          <cell r="E88">
            <v>0</v>
          </cell>
        </row>
        <row r="89">
          <cell r="B89">
            <v>72</v>
          </cell>
          <cell r="C89" t="str">
            <v>Puntillas 1-1/2"</v>
          </cell>
          <cell r="D89" t="str">
            <v>LB</v>
          </cell>
          <cell r="E89">
            <v>3499.72</v>
          </cell>
        </row>
        <row r="90">
          <cell r="B90">
            <v>73</v>
          </cell>
          <cell r="C90" t="str">
            <v>RECEBO</v>
          </cell>
          <cell r="D90" t="str">
            <v>M3</v>
          </cell>
          <cell r="E90">
            <v>0</v>
          </cell>
        </row>
        <row r="91">
          <cell r="B91">
            <v>74</v>
          </cell>
          <cell r="C91" t="str">
            <v>Repisa</v>
          </cell>
          <cell r="D91" t="str">
            <v>UN</v>
          </cell>
          <cell r="E91">
            <v>10672</v>
          </cell>
        </row>
        <row r="92">
          <cell r="B92">
            <v>75</v>
          </cell>
          <cell r="D92" t="str">
            <v>UN</v>
          </cell>
          <cell r="E92">
            <v>3479.9999999999995</v>
          </cell>
        </row>
        <row r="93">
          <cell r="B93">
            <v>76</v>
          </cell>
          <cell r="C93" t="str">
            <v>Sacos de fique</v>
          </cell>
          <cell r="D93" t="str">
            <v>UN</v>
          </cell>
          <cell r="E93">
            <v>6380</v>
          </cell>
        </row>
        <row r="94">
          <cell r="B94">
            <v>77</v>
          </cell>
          <cell r="C94" t="str">
            <v>Segueta</v>
          </cell>
          <cell r="D94" t="str">
            <v>UN</v>
          </cell>
          <cell r="E94">
            <v>4988</v>
          </cell>
        </row>
        <row r="95">
          <cell r="B95">
            <v>78</v>
          </cell>
          <cell r="C95" t="str">
            <v>Señal 0.90x0.90</v>
          </cell>
          <cell r="D95" t="str">
            <v>UN</v>
          </cell>
          <cell r="E95">
            <v>406000</v>
          </cell>
        </row>
        <row r="96">
          <cell r="B96">
            <v>79</v>
          </cell>
          <cell r="C96" t="str">
            <v>Separadores</v>
          </cell>
          <cell r="D96" t="str">
            <v>Jgo</v>
          </cell>
          <cell r="E96">
            <v>0</v>
          </cell>
        </row>
        <row r="97">
          <cell r="B97">
            <v>80</v>
          </cell>
          <cell r="C97" t="str">
            <v>SikaSet L acelerante</v>
          </cell>
          <cell r="D97" t="str">
            <v>KG</v>
          </cell>
          <cell r="E97">
            <v>6148</v>
          </cell>
        </row>
        <row r="98">
          <cell r="B98">
            <v>81</v>
          </cell>
          <cell r="C98" t="str">
            <v>Soldadura</v>
          </cell>
          <cell r="D98" t="str">
            <v>KG</v>
          </cell>
          <cell r="E98">
            <v>9048</v>
          </cell>
        </row>
        <row r="99">
          <cell r="B99">
            <v>82</v>
          </cell>
          <cell r="C99" t="str">
            <v>SOLDADURA (SUB)</v>
          </cell>
          <cell r="D99" t="str">
            <v>KM</v>
          </cell>
          <cell r="E99">
            <v>0</v>
          </cell>
        </row>
        <row r="100">
          <cell r="B100">
            <v>83</v>
          </cell>
          <cell r="C100" t="str">
            <v>SOLDADURA 6013</v>
          </cell>
          <cell r="D100" t="str">
            <v>KG</v>
          </cell>
          <cell r="E100">
            <v>0</v>
          </cell>
        </row>
        <row r="101">
          <cell r="B101">
            <v>84</v>
          </cell>
          <cell r="C101" t="str">
            <v>SOLDADURA 7010</v>
          </cell>
          <cell r="D101" t="str">
            <v>KG</v>
          </cell>
          <cell r="E101">
            <v>0</v>
          </cell>
        </row>
        <row r="102">
          <cell r="B102">
            <v>85</v>
          </cell>
          <cell r="C102" t="str">
            <v>SOLDADURA 7018 1/8"</v>
          </cell>
          <cell r="D102" t="str">
            <v>KG</v>
          </cell>
          <cell r="E102">
            <v>0</v>
          </cell>
        </row>
        <row r="103">
          <cell r="B103">
            <v>86</v>
          </cell>
          <cell r="C103" t="str">
            <v>SOLDADURA 8010 3/16"</v>
          </cell>
          <cell r="D103" t="str">
            <v>KG</v>
          </cell>
          <cell r="E103">
            <v>0</v>
          </cell>
        </row>
        <row r="104">
          <cell r="B104">
            <v>87</v>
          </cell>
          <cell r="C104" t="str">
            <v>SOLDADURA CADWELL</v>
          </cell>
          <cell r="D104" t="str">
            <v>KG</v>
          </cell>
          <cell r="E104">
            <v>8119.9999999999991</v>
          </cell>
        </row>
        <row r="105">
          <cell r="B105">
            <v>88</v>
          </cell>
          <cell r="C105" t="str">
            <v>SOLDADURA DUROWELL 450 5/32"</v>
          </cell>
          <cell r="D105" t="str">
            <v>KG</v>
          </cell>
          <cell r="E105">
            <v>0</v>
          </cell>
        </row>
        <row r="106">
          <cell r="B106">
            <v>89</v>
          </cell>
          <cell r="C106" t="str">
            <v>SOLDADURA NICKEL 100 1/8"</v>
          </cell>
          <cell r="D106" t="str">
            <v>KG</v>
          </cell>
          <cell r="E106">
            <v>0</v>
          </cell>
        </row>
        <row r="107">
          <cell r="B107">
            <v>90</v>
          </cell>
          <cell r="C107" t="str">
            <v>SONDAS</v>
          </cell>
          <cell r="D107" t="str">
            <v>M</v>
          </cell>
          <cell r="E107">
            <v>0</v>
          </cell>
        </row>
        <row r="108">
          <cell r="B108">
            <v>91</v>
          </cell>
          <cell r="C108" t="str">
            <v>SOPORTE METALICOS</v>
          </cell>
          <cell r="D108" t="str">
            <v>KG</v>
          </cell>
          <cell r="E108">
            <v>0</v>
          </cell>
        </row>
        <row r="109">
          <cell r="B109">
            <v>92</v>
          </cell>
          <cell r="C109" t="str">
            <v>Tablas de 0.30 x 1" x 3 metros</v>
          </cell>
          <cell r="D109" t="str">
            <v>Un</v>
          </cell>
          <cell r="E109">
            <v>32479.999999999996</v>
          </cell>
        </row>
        <row r="110">
          <cell r="B110">
            <v>93</v>
          </cell>
          <cell r="C110" t="str">
            <v>Table estacado metálico</v>
          </cell>
          <cell r="D110" t="str">
            <v>M2</v>
          </cell>
          <cell r="E110">
            <v>0</v>
          </cell>
        </row>
        <row r="111">
          <cell r="B111">
            <v>94</v>
          </cell>
          <cell r="C111" t="str">
            <v xml:space="preserve">Teflón </v>
          </cell>
          <cell r="D111" t="str">
            <v>RO</v>
          </cell>
          <cell r="E111">
            <v>812</v>
          </cell>
        </row>
        <row r="112">
          <cell r="B112">
            <v>95</v>
          </cell>
          <cell r="C112" t="str">
            <v>TERMO 10 GLS</v>
          </cell>
          <cell r="D112" t="str">
            <v>UN</v>
          </cell>
          <cell r="E112">
            <v>0</v>
          </cell>
        </row>
        <row r="113">
          <cell r="B113">
            <v>96</v>
          </cell>
          <cell r="C113" t="str">
            <v>THORTEX</v>
          </cell>
          <cell r="D113" t="str">
            <v>KG</v>
          </cell>
          <cell r="E113">
            <v>0</v>
          </cell>
        </row>
        <row r="114">
          <cell r="B114">
            <v>97</v>
          </cell>
          <cell r="C114" t="str">
            <v>TIERRA NEGRA</v>
          </cell>
          <cell r="D114" t="str">
            <v>M3</v>
          </cell>
          <cell r="E114">
            <v>0</v>
          </cell>
        </row>
        <row r="115">
          <cell r="B115">
            <v>98</v>
          </cell>
          <cell r="C115" t="str">
            <v>TIZA INDUSTRIAL</v>
          </cell>
          <cell r="D115" t="str">
            <v>UN</v>
          </cell>
          <cell r="E115">
            <v>0</v>
          </cell>
        </row>
        <row r="116">
          <cell r="B116">
            <v>99</v>
          </cell>
          <cell r="C116" t="str">
            <v>Tolete comun</v>
          </cell>
          <cell r="D116" t="str">
            <v>un</v>
          </cell>
          <cell r="E116">
            <v>985.99999999999989</v>
          </cell>
        </row>
        <row r="117">
          <cell r="B117">
            <v>100</v>
          </cell>
          <cell r="C117" t="str">
            <v>TUBERIA 6" ACERO AL CARBON</v>
          </cell>
          <cell r="D117" t="str">
            <v>M</v>
          </cell>
          <cell r="E117">
            <v>0</v>
          </cell>
        </row>
        <row r="118">
          <cell r="B118">
            <v>101</v>
          </cell>
          <cell r="C118" t="str">
            <v>TUBERIA DE ACERO 6"</v>
          </cell>
          <cell r="D118" t="str">
            <v>KG</v>
          </cell>
          <cell r="E118">
            <v>0</v>
          </cell>
        </row>
        <row r="119">
          <cell r="B119">
            <v>102</v>
          </cell>
          <cell r="C119" t="str">
            <v>Tubería galvanizada 2" (6 Mts)</v>
          </cell>
          <cell r="D119" t="str">
            <v>UN</v>
          </cell>
          <cell r="E119">
            <v>81200</v>
          </cell>
        </row>
        <row r="120">
          <cell r="B120">
            <v>103</v>
          </cell>
          <cell r="C120" t="str">
            <v>Tubería PVC 2" RDE 21</v>
          </cell>
          <cell r="D120" t="str">
            <v>Ml</v>
          </cell>
          <cell r="E120">
            <v>15079.999999999998</v>
          </cell>
        </row>
        <row r="121">
          <cell r="B121">
            <v>104</v>
          </cell>
          <cell r="C121" t="str">
            <v>Tubería PVC 3/4" RDE 21</v>
          </cell>
          <cell r="D121" t="str">
            <v>Ml</v>
          </cell>
          <cell r="E121">
            <v>2900</v>
          </cell>
        </row>
        <row r="122">
          <cell r="B122">
            <v>105</v>
          </cell>
          <cell r="C122" t="str">
            <v>TUBO FLEXIBLE DE 6"</v>
          </cell>
          <cell r="D122" t="str">
            <v>UN</v>
          </cell>
          <cell r="E122">
            <v>0</v>
          </cell>
        </row>
        <row r="123">
          <cell r="B123">
            <v>106</v>
          </cell>
          <cell r="C123" t="str">
            <v>varillla cooper weld</v>
          </cell>
          <cell r="D123" t="str">
            <v>un</v>
          </cell>
          <cell r="E123">
            <v>0</v>
          </cell>
        </row>
        <row r="124">
          <cell r="B124">
            <v>107</v>
          </cell>
          <cell r="C124" t="str">
            <v>ZUNCHO</v>
          </cell>
          <cell r="D124" t="str">
            <v>M</v>
          </cell>
          <cell r="E124">
            <v>2320</v>
          </cell>
        </row>
        <row r="125">
          <cell r="B125">
            <v>108</v>
          </cell>
          <cell r="C125" t="str">
            <v>Limpiador PVC</v>
          </cell>
          <cell r="D125" t="str">
            <v>GAL</v>
          </cell>
          <cell r="E125">
            <v>115999.99999999999</v>
          </cell>
        </row>
        <row r="126">
          <cell r="B126">
            <v>109</v>
          </cell>
          <cell r="C126" t="str">
            <v>PREFABRICADO 1</v>
          </cell>
          <cell r="D126" t="str">
            <v>UN</v>
          </cell>
          <cell r="E126">
            <v>0</v>
          </cell>
        </row>
        <row r="127">
          <cell r="B127">
            <v>110</v>
          </cell>
          <cell r="C127" t="str">
            <v>PREFABRICADO 2</v>
          </cell>
          <cell r="D127" t="str">
            <v>UN</v>
          </cell>
          <cell r="E127">
            <v>0</v>
          </cell>
        </row>
        <row r="128">
          <cell r="B128">
            <v>111</v>
          </cell>
          <cell r="C128" t="str">
            <v>Formaleta</v>
          </cell>
          <cell r="D128" t="str">
            <v>M2</v>
          </cell>
          <cell r="E128">
            <v>7539.9999999999991</v>
          </cell>
        </row>
        <row r="129">
          <cell r="B129">
            <v>112</v>
          </cell>
          <cell r="C129" t="str">
            <v>ACPM</v>
          </cell>
          <cell r="D129" t="str">
            <v>GL</v>
          </cell>
          <cell r="E129">
            <v>6929.8399999999992</v>
          </cell>
        </row>
        <row r="130">
          <cell r="B130">
            <v>113</v>
          </cell>
          <cell r="C130" t="str">
            <v>RocKtop</v>
          </cell>
          <cell r="D130" t="str">
            <v>Kg</v>
          </cell>
          <cell r="E130">
            <v>0</v>
          </cell>
        </row>
        <row r="131">
          <cell r="B131">
            <v>114</v>
          </cell>
          <cell r="C131" t="str">
            <v>Casetón de gadua</v>
          </cell>
          <cell r="D131" t="str">
            <v>m2</v>
          </cell>
          <cell r="E131">
            <v>0</v>
          </cell>
        </row>
        <row r="132">
          <cell r="B132">
            <v>115</v>
          </cell>
          <cell r="C132" t="str">
            <v>Bloque no 5</v>
          </cell>
          <cell r="D132" t="str">
            <v>un</v>
          </cell>
          <cell r="E132">
            <v>1566</v>
          </cell>
        </row>
        <row r="133">
          <cell r="B133">
            <v>116</v>
          </cell>
          <cell r="C133" t="str">
            <v>Caolín</v>
          </cell>
          <cell r="D133" t="str">
            <v>BTO</v>
          </cell>
          <cell r="E133">
            <v>15590.4</v>
          </cell>
        </row>
        <row r="134">
          <cell r="B134">
            <v>117</v>
          </cell>
          <cell r="C134" t="str">
            <v>Pabmeril</v>
          </cell>
          <cell r="D134" t="str">
            <v>UN</v>
          </cell>
          <cell r="E134">
            <v>2746.8799999999997</v>
          </cell>
        </row>
        <row r="135">
          <cell r="B135">
            <v>118</v>
          </cell>
          <cell r="C135" t="str">
            <v>vinilo</v>
          </cell>
          <cell r="D135" t="str">
            <v>GL</v>
          </cell>
          <cell r="E135">
            <v>18798.96</v>
          </cell>
        </row>
        <row r="136">
          <cell r="B136">
            <v>119</v>
          </cell>
          <cell r="C136" t="str">
            <v>Yeso</v>
          </cell>
          <cell r="D136" t="str">
            <v>bulto</v>
          </cell>
          <cell r="E136">
            <v>21499.439999999999</v>
          </cell>
        </row>
        <row r="137">
          <cell r="B137">
            <v>120</v>
          </cell>
          <cell r="C137" t="str">
            <v>Cerámica para enchape</v>
          </cell>
          <cell r="D137" t="str">
            <v>M2</v>
          </cell>
          <cell r="E137">
            <v>40600</v>
          </cell>
        </row>
        <row r="138">
          <cell r="B138">
            <v>121</v>
          </cell>
          <cell r="C138" t="str">
            <v>Pegacor</v>
          </cell>
          <cell r="D138" t="str">
            <v>KG</v>
          </cell>
          <cell r="E138">
            <v>1902.3999999999999</v>
          </cell>
        </row>
        <row r="139">
          <cell r="B139">
            <v>122</v>
          </cell>
          <cell r="C139" t="str">
            <v>Cemento Blanco</v>
          </cell>
          <cell r="D139" t="str">
            <v>KG</v>
          </cell>
          <cell r="E139">
            <v>1902.3999999999999</v>
          </cell>
        </row>
        <row r="140">
          <cell r="B140">
            <v>123</v>
          </cell>
          <cell r="C140" t="str">
            <v>Baldosa Gres 0.2x0.2</v>
          </cell>
          <cell r="D140" t="str">
            <v>M2</v>
          </cell>
          <cell r="E140">
            <v>19720</v>
          </cell>
        </row>
        <row r="141">
          <cell r="B141">
            <v>124</v>
          </cell>
          <cell r="C141" t="str">
            <v>Color</v>
          </cell>
          <cell r="D141" t="str">
            <v>kg</v>
          </cell>
          <cell r="E141">
            <v>6959.9999999999991</v>
          </cell>
        </row>
        <row r="142">
          <cell r="B142">
            <v>125</v>
          </cell>
          <cell r="C142" t="str">
            <v>Relleno b-600</v>
          </cell>
          <cell r="D142" t="str">
            <v>m3</v>
          </cell>
          <cell r="E142">
            <v>0</v>
          </cell>
        </row>
        <row r="143">
          <cell r="B143">
            <v>126</v>
          </cell>
          <cell r="C143" t="str">
            <v>lightcrete</v>
          </cell>
          <cell r="D143" t="str">
            <v>kg</v>
          </cell>
          <cell r="E143">
            <v>0</v>
          </cell>
        </row>
        <row r="144">
          <cell r="B144">
            <v>127</v>
          </cell>
          <cell r="C144" t="str">
            <v>Relleno fluido f'c 20</v>
          </cell>
          <cell r="D144" t="str">
            <v>m3</v>
          </cell>
          <cell r="E144">
            <v>168124</v>
          </cell>
        </row>
        <row r="145">
          <cell r="B145">
            <v>128</v>
          </cell>
          <cell r="C145" t="str">
            <v>Disco cortadora</v>
          </cell>
          <cell r="D145" t="str">
            <v>un</v>
          </cell>
          <cell r="E145">
            <v>127599.99999999999</v>
          </cell>
        </row>
        <row r="146">
          <cell r="B146">
            <v>129</v>
          </cell>
          <cell r="C146" t="str">
            <v>mortero estructural</v>
          </cell>
          <cell r="D146" t="str">
            <v>m3</v>
          </cell>
          <cell r="E146">
            <v>224655</v>
          </cell>
        </row>
        <row r="147">
          <cell r="B147">
            <v>130</v>
          </cell>
          <cell r="C147" t="str">
            <v>Platina acero 1/2''x3/16''</v>
          </cell>
          <cell r="D147" t="str">
            <v>Ml</v>
          </cell>
          <cell r="E147">
            <v>5800</v>
          </cell>
        </row>
        <row r="148">
          <cell r="B148">
            <v>131</v>
          </cell>
          <cell r="C148" t="str">
            <v>Codo 90º PVC Sanitario 6''</v>
          </cell>
          <cell r="D148" t="str">
            <v>Ea</v>
          </cell>
          <cell r="E148">
            <v>92800</v>
          </cell>
        </row>
        <row r="149">
          <cell r="B149">
            <v>132</v>
          </cell>
          <cell r="C149" t="str">
            <v>Tuberia PVC sanitario 6''</v>
          </cell>
          <cell r="D149" t="str">
            <v>Ml</v>
          </cell>
          <cell r="E149">
            <v>45240</v>
          </cell>
        </row>
        <row r="150">
          <cell r="B150">
            <v>133</v>
          </cell>
          <cell r="C150" t="str">
            <v>Soldadura para PVC</v>
          </cell>
          <cell r="D150" t="str">
            <v>GAL</v>
          </cell>
          <cell r="E150">
            <v>231999.99999999997</v>
          </cell>
        </row>
        <row r="151">
          <cell r="B151">
            <v>134</v>
          </cell>
          <cell r="C151" t="str">
            <v>Cheque R-W Roscado 1-1/2"</v>
          </cell>
          <cell r="D151" t="str">
            <v>un</v>
          </cell>
          <cell r="E151">
            <v>0</v>
          </cell>
        </row>
        <row r="152">
          <cell r="B152">
            <v>135</v>
          </cell>
          <cell r="C152" t="str">
            <v>Codo 90º PVC presión 1 1/2 "</v>
          </cell>
          <cell r="D152" t="str">
            <v>Ea</v>
          </cell>
          <cell r="E152">
            <v>5800</v>
          </cell>
        </row>
        <row r="153">
          <cell r="B153">
            <v>136</v>
          </cell>
          <cell r="C153" t="str">
            <v>Registro de P/D Red White ó Kitz de 1-1/2"</v>
          </cell>
          <cell r="D153" t="str">
            <v>un</v>
          </cell>
          <cell r="E153">
            <v>0</v>
          </cell>
        </row>
        <row r="154">
          <cell r="B154">
            <v>137</v>
          </cell>
          <cell r="C154" t="str">
            <v>Tubo sanitario PVC de 1 1/2"</v>
          </cell>
          <cell r="D154" t="str">
            <v>Ml</v>
          </cell>
          <cell r="E154">
            <v>8700</v>
          </cell>
        </row>
        <row r="155">
          <cell r="B155">
            <v>138</v>
          </cell>
          <cell r="C155" t="str">
            <v>Tubo conduit PVC 1  1/2"</v>
          </cell>
          <cell r="D155" t="str">
            <v>Ml</v>
          </cell>
          <cell r="E155">
            <v>12852.8</v>
          </cell>
        </row>
        <row r="156">
          <cell r="B156">
            <v>139</v>
          </cell>
          <cell r="C156" t="str">
            <v>Codo PVC presión 90º de 1 1/2"</v>
          </cell>
          <cell r="D156" t="str">
            <v>Ea</v>
          </cell>
          <cell r="E156">
            <v>5568</v>
          </cell>
        </row>
        <row r="157">
          <cell r="B157">
            <v>140</v>
          </cell>
          <cell r="C157" t="str">
            <v>Codo PVC presión 90º de 2"</v>
          </cell>
          <cell r="D157" t="str">
            <v>Ea</v>
          </cell>
          <cell r="E157">
            <v>8700</v>
          </cell>
        </row>
        <row r="158">
          <cell r="B158">
            <v>141</v>
          </cell>
          <cell r="C158" t="str">
            <v>Codo PVC presión 90º de 1"</v>
          </cell>
          <cell r="D158" t="str">
            <v>Ea</v>
          </cell>
          <cell r="E158">
            <v>1199.4399999999998</v>
          </cell>
        </row>
        <row r="159">
          <cell r="B159">
            <v>142</v>
          </cell>
          <cell r="C159" t="str">
            <v>Codo PVC presión 90º de 1/2"</v>
          </cell>
          <cell r="D159" t="str">
            <v>Ea</v>
          </cell>
          <cell r="E159">
            <v>463.99999999999994</v>
          </cell>
        </row>
        <row r="160">
          <cell r="B160">
            <v>143</v>
          </cell>
          <cell r="C160" t="str">
            <v>Codo PVC presión 90º de 3/4"</v>
          </cell>
          <cell r="D160" t="str">
            <v>Ea</v>
          </cell>
          <cell r="E160">
            <v>684.4</v>
          </cell>
        </row>
        <row r="161">
          <cell r="B161">
            <v>144</v>
          </cell>
          <cell r="C161" t="str">
            <v>Tuberia PVC 1/2" RDE 21</v>
          </cell>
          <cell r="D161" t="str">
            <v>Ml</v>
          </cell>
          <cell r="E161">
            <v>2320</v>
          </cell>
        </row>
        <row r="162">
          <cell r="B162">
            <v>145</v>
          </cell>
          <cell r="C162" t="str">
            <v>Tuberia PVC 1 1/4" RDE 21</v>
          </cell>
          <cell r="D162" t="str">
            <v>m</v>
          </cell>
          <cell r="E162">
            <v>8119.9999999999991</v>
          </cell>
        </row>
        <row r="163">
          <cell r="B163">
            <v>146</v>
          </cell>
          <cell r="C163" t="str">
            <v>Tuberia PVC 1" RDE 21</v>
          </cell>
          <cell r="D163" t="str">
            <v>Ml</v>
          </cell>
          <cell r="E163">
            <v>4059.9999999999995</v>
          </cell>
        </row>
        <row r="164">
          <cell r="B164">
            <v>147</v>
          </cell>
          <cell r="C164" t="str">
            <v>Tuberia PVC 1 1/2" RDE 21</v>
          </cell>
          <cell r="D164" t="str">
            <v>Ml</v>
          </cell>
          <cell r="E164">
            <v>9628</v>
          </cell>
        </row>
        <row r="165">
          <cell r="B165">
            <v>148</v>
          </cell>
          <cell r="C165" t="str">
            <v>Tuberia PVC sanitaria 2"</v>
          </cell>
          <cell r="D165" t="str">
            <v>Ml</v>
          </cell>
          <cell r="E165">
            <v>10440</v>
          </cell>
        </row>
        <row r="166">
          <cell r="B166">
            <v>149</v>
          </cell>
          <cell r="C166" t="str">
            <v>Tuberia PVC sanitaria 3"</v>
          </cell>
          <cell r="D166" t="str">
            <v>Ml</v>
          </cell>
          <cell r="E166">
            <v>15659.999999999998</v>
          </cell>
        </row>
        <row r="167">
          <cell r="B167">
            <v>150</v>
          </cell>
          <cell r="C167" t="str">
            <v>Tuberia PVC sanitaria 4"</v>
          </cell>
          <cell r="D167" t="str">
            <v>Ml</v>
          </cell>
          <cell r="E167">
            <v>22040</v>
          </cell>
        </row>
        <row r="168">
          <cell r="B168">
            <v>151</v>
          </cell>
          <cell r="C168" t="str">
            <v xml:space="preserve">Codo PVC sanitario 90º 2" </v>
          </cell>
          <cell r="D168" t="str">
            <v>Ea</v>
          </cell>
          <cell r="E168">
            <v>2900</v>
          </cell>
        </row>
        <row r="169">
          <cell r="B169">
            <v>152</v>
          </cell>
          <cell r="C169" t="str">
            <v xml:space="preserve">Codo PVC sanitario 90º 3" </v>
          </cell>
          <cell r="D169" t="str">
            <v>Ea</v>
          </cell>
          <cell r="E169">
            <v>5916</v>
          </cell>
        </row>
        <row r="170">
          <cell r="B170">
            <v>153</v>
          </cell>
          <cell r="C170" t="str">
            <v xml:space="preserve">Codo PVC sanitario 90º 4" </v>
          </cell>
          <cell r="D170" t="str">
            <v>Ea</v>
          </cell>
          <cell r="E170">
            <v>11020</v>
          </cell>
        </row>
        <row r="171">
          <cell r="B171">
            <v>154</v>
          </cell>
          <cell r="C171" t="str">
            <v xml:space="preserve">Codo PVC sanitario 90º 6" </v>
          </cell>
          <cell r="D171" t="str">
            <v>Ea</v>
          </cell>
          <cell r="E171">
            <v>90480</v>
          </cell>
        </row>
        <row r="172">
          <cell r="B172">
            <v>155</v>
          </cell>
          <cell r="C172" t="str">
            <v xml:space="preserve">Unión PVC sanitario 3" </v>
          </cell>
          <cell r="D172" t="str">
            <v>Ea</v>
          </cell>
          <cell r="E172">
            <v>5916</v>
          </cell>
        </row>
        <row r="173">
          <cell r="B173">
            <v>156</v>
          </cell>
          <cell r="C173" t="str">
            <v xml:space="preserve">Unión PVC sanitario 4" </v>
          </cell>
          <cell r="D173" t="str">
            <v>Ea</v>
          </cell>
          <cell r="E173">
            <v>6380</v>
          </cell>
        </row>
        <row r="174">
          <cell r="B174">
            <v>157</v>
          </cell>
          <cell r="C174" t="str">
            <v>Unión PVC sanitario 6"</v>
          </cell>
          <cell r="D174" t="str">
            <v>Ea</v>
          </cell>
          <cell r="E174">
            <v>27839.999999999996</v>
          </cell>
        </row>
        <row r="175">
          <cell r="B175">
            <v>158</v>
          </cell>
          <cell r="C175" t="str">
            <v>Unión PVC sanitario 2"</v>
          </cell>
          <cell r="D175" t="str">
            <v>Ea</v>
          </cell>
          <cell r="E175">
            <v>2204</v>
          </cell>
        </row>
        <row r="176">
          <cell r="B176">
            <v>159</v>
          </cell>
          <cell r="C176" t="str">
            <v>Tornillo para lámina</v>
          </cell>
          <cell r="D176" t="str">
            <v>UN</v>
          </cell>
          <cell r="E176">
            <v>115.99999999999999</v>
          </cell>
        </row>
        <row r="177">
          <cell r="B177">
            <v>160</v>
          </cell>
          <cell r="C177" t="str">
            <v>Conector de resorte</v>
          </cell>
          <cell r="D177" t="str">
            <v>UN</v>
          </cell>
          <cell r="E177">
            <v>591.59999999999991</v>
          </cell>
        </row>
        <row r="178">
          <cell r="B178">
            <v>161</v>
          </cell>
          <cell r="C178" t="str">
            <v>Alambre de Cu. THW 12 AWG</v>
          </cell>
          <cell r="D178" t="str">
            <v>m</v>
          </cell>
          <cell r="E178">
            <v>696</v>
          </cell>
        </row>
        <row r="179">
          <cell r="B179">
            <v>162</v>
          </cell>
          <cell r="C179" t="str">
            <v>Alambre de Cu. 14  desnudo</v>
          </cell>
          <cell r="D179" t="str">
            <v>m</v>
          </cell>
          <cell r="E179">
            <v>997.59999999999991</v>
          </cell>
        </row>
        <row r="180">
          <cell r="B180">
            <v>163</v>
          </cell>
          <cell r="C180" t="str">
            <v>Tubo conduit PVC 3/4"</v>
          </cell>
          <cell r="D180" t="str">
            <v>m</v>
          </cell>
          <cell r="E180">
            <v>5857.3910761154839</v>
          </cell>
        </row>
        <row r="181">
          <cell r="B181">
            <v>164</v>
          </cell>
          <cell r="C181" t="str">
            <v>Adaptador terminal PVC de 3/4"</v>
          </cell>
          <cell r="D181" t="str">
            <v>un</v>
          </cell>
          <cell r="E181">
            <v>750.52</v>
          </cell>
        </row>
        <row r="182">
          <cell r="B182">
            <v>165</v>
          </cell>
          <cell r="C182" t="str">
            <v>Caja cuadrada  4x4  galvanizada</v>
          </cell>
          <cell r="D182" t="str">
            <v>un</v>
          </cell>
          <cell r="E182">
            <v>2320</v>
          </cell>
        </row>
        <row r="183">
          <cell r="B183">
            <v>166</v>
          </cell>
          <cell r="C183" t="str">
            <v>Toma trifasica 5 polos 30A</v>
          </cell>
          <cell r="D183" t="str">
            <v>UN</v>
          </cell>
          <cell r="E183">
            <v>3479.9999999999995</v>
          </cell>
        </row>
        <row r="184">
          <cell r="B184">
            <v>167</v>
          </cell>
          <cell r="C184" t="str">
            <v>Roseta (plafon)</v>
          </cell>
          <cell r="D184" t="str">
            <v>UN</v>
          </cell>
          <cell r="E184">
            <v>1999.84</v>
          </cell>
        </row>
        <row r="185">
          <cell r="B185">
            <v>168</v>
          </cell>
          <cell r="C185" t="str">
            <v>Caja octogonal galvanizada</v>
          </cell>
          <cell r="D185" t="str">
            <v>un</v>
          </cell>
          <cell r="E185">
            <v>812</v>
          </cell>
        </row>
        <row r="186">
          <cell r="B186">
            <v>169</v>
          </cell>
          <cell r="C186" t="str">
            <v>Interruptor sencillo Luminex.</v>
          </cell>
          <cell r="D186" t="str">
            <v>un</v>
          </cell>
          <cell r="E186">
            <v>10440</v>
          </cell>
        </row>
        <row r="187">
          <cell r="B187">
            <v>170</v>
          </cell>
          <cell r="C187" t="str">
            <v>Alambre de Cu. THW 14 AWG</v>
          </cell>
          <cell r="D187" t="str">
            <v>m</v>
          </cell>
          <cell r="E187">
            <v>463.99999999999994</v>
          </cell>
        </row>
        <row r="188">
          <cell r="B188">
            <v>171</v>
          </cell>
          <cell r="C188" t="str">
            <v>Guardaescoba PVC 7.5 cm</v>
          </cell>
          <cell r="D188" t="str">
            <v>m</v>
          </cell>
          <cell r="E188">
            <v>11600</v>
          </cell>
        </row>
        <row r="189">
          <cell r="B189">
            <v>172</v>
          </cell>
          <cell r="C189" t="str">
            <v>Adaptador terminal PVC de  1/2"</v>
          </cell>
          <cell r="D189" t="str">
            <v>un</v>
          </cell>
          <cell r="E189">
            <v>399.03999999999996</v>
          </cell>
        </row>
        <row r="190">
          <cell r="B190">
            <v>173</v>
          </cell>
          <cell r="C190" t="str">
            <v>Caja cuadrada  4x2  rectangular</v>
          </cell>
          <cell r="D190" t="str">
            <v>un</v>
          </cell>
          <cell r="E190">
            <v>812</v>
          </cell>
        </row>
        <row r="191">
          <cell r="B191">
            <v>174</v>
          </cell>
          <cell r="C191" t="str">
            <v>Gravilla 1 1/2''</v>
          </cell>
          <cell r="D191" t="str">
            <v>m3</v>
          </cell>
          <cell r="E191">
            <v>69600</v>
          </cell>
        </row>
        <row r="192">
          <cell r="B192">
            <v>175</v>
          </cell>
          <cell r="C192" t="str">
            <v>Lámina Fibrocell 1.2 x 0.6 m</v>
          </cell>
          <cell r="D192" t="str">
            <v>un</v>
          </cell>
          <cell r="E192">
            <v>12180</v>
          </cell>
        </row>
        <row r="193">
          <cell r="B193">
            <v>176</v>
          </cell>
          <cell r="C193" t="str">
            <v>Angulo o Te en Aluminio 1''x1'' x 6 m</v>
          </cell>
          <cell r="D193" t="str">
            <v>un</v>
          </cell>
          <cell r="E193">
            <v>11020</v>
          </cell>
        </row>
        <row r="194">
          <cell r="B194">
            <v>177</v>
          </cell>
          <cell r="C194" t="str">
            <v>Puntillas de acero 1''</v>
          </cell>
          <cell r="D194" t="str">
            <v>Lb</v>
          </cell>
          <cell r="E194">
            <v>6399.7199999999993</v>
          </cell>
        </row>
        <row r="195">
          <cell r="B195">
            <v>178</v>
          </cell>
          <cell r="C195" t="str">
            <v>Ventanería en aluminio con vidrio 5 mm</v>
          </cell>
          <cell r="D195" t="str">
            <v>m2</v>
          </cell>
          <cell r="E195">
            <v>323060</v>
          </cell>
        </row>
        <row r="196">
          <cell r="B196">
            <v>179</v>
          </cell>
          <cell r="C196" t="str">
            <v xml:space="preserve">Guardaescoba en San Remo </v>
          </cell>
          <cell r="D196" t="str">
            <v>ml</v>
          </cell>
          <cell r="E196">
            <v>7249.9999999999991</v>
          </cell>
        </row>
        <row r="197">
          <cell r="B197">
            <v>180</v>
          </cell>
          <cell r="C197" t="str">
            <v>Pegante boxer</v>
          </cell>
          <cell r="D197" t="str">
            <v>ltr</v>
          </cell>
          <cell r="E197">
            <v>9280</v>
          </cell>
        </row>
        <row r="198">
          <cell r="B198">
            <v>181</v>
          </cell>
          <cell r="C198" t="str">
            <v>Unión PVC presión 1/2''</v>
          </cell>
          <cell r="D198" t="str">
            <v>Ea</v>
          </cell>
          <cell r="E198">
            <v>399.03999999999996</v>
          </cell>
        </row>
        <row r="199">
          <cell r="B199">
            <v>182</v>
          </cell>
          <cell r="C199" t="str">
            <v>Unión PVC presión 3/4''</v>
          </cell>
          <cell r="D199" t="str">
            <v>Ea</v>
          </cell>
          <cell r="E199">
            <v>522</v>
          </cell>
        </row>
        <row r="200">
          <cell r="B200">
            <v>183</v>
          </cell>
          <cell r="C200" t="str">
            <v>Unión PVC presión 1''</v>
          </cell>
          <cell r="D200" t="str">
            <v>Ea</v>
          </cell>
          <cell r="E200">
            <v>869.99999999999989</v>
          </cell>
        </row>
        <row r="201">
          <cell r="B201">
            <v>184</v>
          </cell>
          <cell r="C201" t="str">
            <v>Unión PVC presión 1 1/2''</v>
          </cell>
          <cell r="D201" t="str">
            <v>Ea</v>
          </cell>
          <cell r="E201">
            <v>2204</v>
          </cell>
        </row>
        <row r="202">
          <cell r="B202">
            <v>185</v>
          </cell>
          <cell r="C202" t="str">
            <v>Unión PVC presión 2''</v>
          </cell>
          <cell r="D202" t="str">
            <v>Ea</v>
          </cell>
          <cell r="E202">
            <v>3595.9999999999995</v>
          </cell>
        </row>
        <row r="203">
          <cell r="B203">
            <v>186</v>
          </cell>
          <cell r="C203" t="str">
            <v>Vidrio Peldar 5 mm</v>
          </cell>
          <cell r="D203" t="str">
            <v>M2</v>
          </cell>
          <cell r="E203">
            <v>40600</v>
          </cell>
        </row>
        <row r="204">
          <cell r="B204">
            <v>187</v>
          </cell>
          <cell r="C204" t="str">
            <v>Tee sanitaria 3''</v>
          </cell>
          <cell r="D204" t="str">
            <v>Ea</v>
          </cell>
          <cell r="E204">
            <v>6959.9999999999991</v>
          </cell>
        </row>
        <row r="205">
          <cell r="B205">
            <v>188</v>
          </cell>
          <cell r="C205" t="str">
            <v>Tee sanitaria 4''</v>
          </cell>
          <cell r="D205" t="str">
            <v>Ea</v>
          </cell>
          <cell r="E205">
            <v>14151.999999999998</v>
          </cell>
        </row>
        <row r="206">
          <cell r="B206">
            <v>189</v>
          </cell>
          <cell r="C206" t="str">
            <v>Tee PVC presión 1"</v>
          </cell>
          <cell r="D206" t="str">
            <v>EA</v>
          </cell>
          <cell r="E206">
            <v>1799.1599999999999</v>
          </cell>
        </row>
        <row r="207">
          <cell r="B207">
            <v>190</v>
          </cell>
          <cell r="C207" t="str">
            <v>Excavaciones varias a todo costo</v>
          </cell>
          <cell r="D207" t="str">
            <v>M3</v>
          </cell>
          <cell r="E207">
            <v>333987.19999999995</v>
          </cell>
        </row>
        <row r="208">
          <cell r="B208">
            <v>191</v>
          </cell>
          <cell r="C208" t="str">
            <v>Acero figurado a todo costo</v>
          </cell>
          <cell r="D208" t="str">
            <v>Kg</v>
          </cell>
          <cell r="E208">
            <v>8390.2799999999988</v>
          </cell>
        </row>
        <row r="209">
          <cell r="B209">
            <v>192</v>
          </cell>
          <cell r="C209" t="str">
            <v>Unión PVC presión 1 1/4''</v>
          </cell>
          <cell r="D209" t="str">
            <v>Ea</v>
          </cell>
          <cell r="E209">
            <v>1739.9999999999998</v>
          </cell>
        </row>
        <row r="210">
          <cell r="B210">
            <v>193</v>
          </cell>
          <cell r="C210" t="str">
            <v>Tee sanitaria 2''</v>
          </cell>
          <cell r="D210" t="str">
            <v>Ea</v>
          </cell>
          <cell r="E210">
            <v>5800</v>
          </cell>
        </row>
        <row r="211">
          <cell r="B211">
            <v>194</v>
          </cell>
          <cell r="C211" t="str">
            <v>Angulo 2'' x 3/16''</v>
          </cell>
          <cell r="D211" t="str">
            <v>Ml</v>
          </cell>
          <cell r="E211">
            <v>13765.72</v>
          </cell>
        </row>
        <row r="212">
          <cell r="B212">
            <v>195</v>
          </cell>
          <cell r="C212" t="str">
            <v>Angulo 2'' x 1/4''</v>
          </cell>
          <cell r="D212" t="str">
            <v>Ml</v>
          </cell>
          <cell r="E212">
            <v>16820</v>
          </cell>
        </row>
        <row r="213">
          <cell r="B213">
            <v>196</v>
          </cell>
          <cell r="C213" t="str">
            <v>Perfil C 220 x 80x3.00</v>
          </cell>
          <cell r="D213" t="str">
            <v>Ml</v>
          </cell>
          <cell r="E213">
            <v>28999.999999999996</v>
          </cell>
        </row>
        <row r="214">
          <cell r="B214">
            <v>197</v>
          </cell>
          <cell r="C214" t="str">
            <v>Perfil C 220 x 80x1.90</v>
          </cell>
          <cell r="D214" t="str">
            <v>ML</v>
          </cell>
          <cell r="E214">
            <v>25133.333333333332</v>
          </cell>
        </row>
        <row r="215">
          <cell r="B215">
            <v>198</v>
          </cell>
          <cell r="C215" t="str">
            <v>Perfil C 120 x 80x1.90</v>
          </cell>
          <cell r="D215" t="str">
            <v>ML</v>
          </cell>
          <cell r="E215">
            <v>17400</v>
          </cell>
        </row>
        <row r="216">
          <cell r="B216">
            <v>199</v>
          </cell>
          <cell r="C216" t="str">
            <v>Perfil C 160 x 60x1.20</v>
          </cell>
          <cell r="D216" t="str">
            <v>ML</v>
          </cell>
          <cell r="E216">
            <v>19333.333333333332</v>
          </cell>
        </row>
        <row r="217">
          <cell r="B217">
            <v>200</v>
          </cell>
          <cell r="C217" t="str">
            <v>Teja eternit Española 1.64 m</v>
          </cell>
          <cell r="D217" t="str">
            <v>EA</v>
          </cell>
          <cell r="E217">
            <v>47636.56</v>
          </cell>
        </row>
        <row r="218">
          <cell r="B218">
            <v>201</v>
          </cell>
          <cell r="C218" t="str">
            <v xml:space="preserve">Caballete español eternit </v>
          </cell>
          <cell r="D218" t="str">
            <v>EA</v>
          </cell>
          <cell r="E218">
            <v>10475.959999999999</v>
          </cell>
        </row>
        <row r="219">
          <cell r="B219">
            <v>202</v>
          </cell>
          <cell r="C219" t="str">
            <v>Gancho Teja Eternit 55 MM</v>
          </cell>
          <cell r="D219" t="str">
            <v>EA</v>
          </cell>
          <cell r="E219">
            <v>386.28</v>
          </cell>
        </row>
        <row r="220">
          <cell r="B220">
            <v>203</v>
          </cell>
          <cell r="C220" t="str">
            <v>Canales y Bajantes Ld=0.60</v>
          </cell>
          <cell r="D220" t="str">
            <v>ml</v>
          </cell>
          <cell r="E220">
            <v>92800</v>
          </cell>
        </row>
        <row r="221">
          <cell r="B221">
            <v>204</v>
          </cell>
          <cell r="C221" t="str">
            <v>Granito travertino peruano No.  3</v>
          </cell>
          <cell r="D221" t="str">
            <v>bulto</v>
          </cell>
          <cell r="E221">
            <v>26429.439999999999</v>
          </cell>
        </row>
        <row r="222">
          <cell r="B222">
            <v>205</v>
          </cell>
          <cell r="C222" t="str">
            <v>Guardaescoba cedro   8 cm</v>
          </cell>
          <cell r="D222" t="str">
            <v>ml</v>
          </cell>
          <cell r="E222">
            <v>11878.4</v>
          </cell>
        </row>
        <row r="223">
          <cell r="B223">
            <v>206</v>
          </cell>
          <cell r="C223" t="str">
            <v>Marmolina</v>
          </cell>
          <cell r="D223" t="str">
            <v>bulto</v>
          </cell>
          <cell r="E223">
            <v>13951.32</v>
          </cell>
        </row>
        <row r="224">
          <cell r="B224">
            <v>207</v>
          </cell>
          <cell r="C224" t="str">
            <v>Tapete antiestático</v>
          </cell>
          <cell r="D224" t="str">
            <v>m2</v>
          </cell>
          <cell r="E224">
            <v>309720</v>
          </cell>
        </row>
        <row r="225">
          <cell r="B225">
            <v>208</v>
          </cell>
          <cell r="C225" t="str">
            <v>Cerradura Safe interior</v>
          </cell>
          <cell r="D225" t="str">
            <v>Ea</v>
          </cell>
          <cell r="E225">
            <v>43059.199999999997</v>
          </cell>
        </row>
        <row r="226">
          <cell r="B226">
            <v>209</v>
          </cell>
          <cell r="C226" t="str">
            <v>Cerradura Safe Entrada principal</v>
          </cell>
          <cell r="D226" t="str">
            <v>EA</v>
          </cell>
          <cell r="E226">
            <v>67172.12</v>
          </cell>
        </row>
        <row r="227">
          <cell r="B227">
            <v>210</v>
          </cell>
          <cell r="C227" t="str">
            <v>Puerta en madera residencial de 1.0 m con marco</v>
          </cell>
          <cell r="D227" t="str">
            <v>EA</v>
          </cell>
          <cell r="E227">
            <v>348000</v>
          </cell>
        </row>
        <row r="228">
          <cell r="B228">
            <v>211</v>
          </cell>
          <cell r="C228" t="str">
            <v>Puerta en madera residencial de 0.9 m con marco</v>
          </cell>
          <cell r="D228" t="str">
            <v>EA</v>
          </cell>
          <cell r="E228">
            <v>324800</v>
          </cell>
        </row>
        <row r="229">
          <cell r="B229">
            <v>212</v>
          </cell>
          <cell r="C229" t="str">
            <v>Puerta en madera residencial de 0.7 m con marco</v>
          </cell>
          <cell r="D229" t="str">
            <v>EA</v>
          </cell>
          <cell r="E229">
            <v>231999.99999999997</v>
          </cell>
        </row>
        <row r="230">
          <cell r="B230">
            <v>213</v>
          </cell>
          <cell r="C230" t="str">
            <v>Puerta persiana de madera tipo closet con marco</v>
          </cell>
          <cell r="D230" t="str">
            <v>EA</v>
          </cell>
          <cell r="E230">
            <v>220399.99999999997</v>
          </cell>
        </row>
        <row r="231">
          <cell r="B231">
            <v>214</v>
          </cell>
          <cell r="C231" t="str">
            <v>Malla Eslabonada 2"X2" Calibre 9  de 2,3 mts</v>
          </cell>
          <cell r="D231" t="str">
            <v>ml</v>
          </cell>
          <cell r="E231">
            <v>23260.470799999999</v>
          </cell>
        </row>
        <row r="232">
          <cell r="B232">
            <v>215</v>
          </cell>
          <cell r="C232" t="str">
            <v>Tubo Galvanizado de 3" X 6 mts.</v>
          </cell>
          <cell r="D232" t="str">
            <v>un</v>
          </cell>
          <cell r="E232">
            <v>22724.771199999999</v>
          </cell>
        </row>
        <row r="233">
          <cell r="B233">
            <v>216</v>
          </cell>
          <cell r="C233" t="str">
            <v>Tubo Galvanizado de 2"X 6 mts.</v>
          </cell>
          <cell r="D233" t="str">
            <v>un</v>
          </cell>
          <cell r="E233">
            <v>15225.034799999999</v>
          </cell>
        </row>
        <row r="234">
          <cell r="B234">
            <v>217</v>
          </cell>
          <cell r="C234" t="str">
            <v>Tubo Galvanizado de 1 1/4"X 6 mts.</v>
          </cell>
          <cell r="D234" t="str">
            <v>un</v>
          </cell>
          <cell r="E234">
            <v>9022.2363999999998</v>
          </cell>
        </row>
        <row r="235">
          <cell r="B235">
            <v>218</v>
          </cell>
          <cell r="C235" t="str">
            <v>Acero de Refuerzo 60.000 PSI</v>
          </cell>
          <cell r="D235" t="str">
            <v>Kg</v>
          </cell>
          <cell r="E235">
            <v>3191.16</v>
          </cell>
        </row>
        <row r="236">
          <cell r="B236">
            <v>219</v>
          </cell>
          <cell r="C236" t="str">
            <v>Tablón de 0.30 x 1" x 3 mts</v>
          </cell>
          <cell r="E236">
            <v>11600</v>
          </cell>
        </row>
        <row r="237">
          <cell r="B237">
            <v>220</v>
          </cell>
          <cell r="C237" t="str">
            <v>Rejilla prensada 1"x1/8"</v>
          </cell>
          <cell r="D237" t="str">
            <v>ml</v>
          </cell>
          <cell r="E237">
            <v>48720</v>
          </cell>
        </row>
        <row r="238">
          <cell r="B238">
            <v>221</v>
          </cell>
          <cell r="C238" t="str">
            <v>Sikadur-31 FF</v>
          </cell>
          <cell r="D238" t="str">
            <v>kg</v>
          </cell>
          <cell r="E238">
            <v>43500</v>
          </cell>
        </row>
        <row r="239">
          <cell r="B239">
            <v>222</v>
          </cell>
          <cell r="C239" t="str">
            <v>Platina acero 3''x3/16''</v>
          </cell>
          <cell r="D239" t="str">
            <v>ml</v>
          </cell>
          <cell r="E239">
            <v>9280</v>
          </cell>
        </row>
        <row r="240">
          <cell r="B240">
            <v>223</v>
          </cell>
          <cell r="C240" t="str">
            <v>Tubería EMT de 1/2" x 3 mts</v>
          </cell>
          <cell r="D240" t="str">
            <v>un</v>
          </cell>
          <cell r="E240">
            <v>10440</v>
          </cell>
        </row>
        <row r="241">
          <cell r="B241">
            <v>224</v>
          </cell>
          <cell r="C241" t="str">
            <v>Conductor No 12 AWG 7 hilos</v>
          </cell>
          <cell r="D241" t="str">
            <v>ml</v>
          </cell>
          <cell r="E241">
            <v>812</v>
          </cell>
        </row>
        <row r="242">
          <cell r="B242">
            <v>225</v>
          </cell>
          <cell r="C242" t="str">
            <v>Toma doble leviton color marfil, incluye cajetin</v>
          </cell>
          <cell r="D242" t="str">
            <v>un</v>
          </cell>
          <cell r="E242">
            <v>4292</v>
          </cell>
        </row>
        <row r="243">
          <cell r="B243">
            <v>226</v>
          </cell>
          <cell r="C243" t="str">
            <v>accesorios</v>
          </cell>
          <cell r="D243" t="str">
            <v>gl</v>
          </cell>
          <cell r="E243">
            <v>1739.9999999999998</v>
          </cell>
        </row>
        <row r="244">
          <cell r="B244">
            <v>227</v>
          </cell>
          <cell r="C244" t="str">
            <v>Toma tipo GFCI marca Leviton 11 0 vol</v>
          </cell>
          <cell r="D244" t="str">
            <v>un</v>
          </cell>
          <cell r="E244">
            <v>26100</v>
          </cell>
        </row>
        <row r="245">
          <cell r="B245">
            <v>228</v>
          </cell>
          <cell r="C245" t="str">
            <v>Canaleta metálica 5 x 10 cms, doble división, lámina col roll</v>
          </cell>
          <cell r="D245" t="str">
            <v>ml</v>
          </cell>
          <cell r="E245">
            <v>57999.999999999993</v>
          </cell>
        </row>
        <row r="246">
          <cell r="B246">
            <v>229</v>
          </cell>
          <cell r="C246" t="str">
            <v>Toma doble leviton color naranja, red regulada con p/t aislado</v>
          </cell>
          <cell r="D246" t="str">
            <v>un</v>
          </cell>
          <cell r="E246">
            <v>5800</v>
          </cell>
        </row>
        <row r="247">
          <cell r="B247">
            <v>230</v>
          </cell>
          <cell r="C247" t="str">
            <v>Troquel para canaleta metálica</v>
          </cell>
          <cell r="D247" t="str">
            <v>un</v>
          </cell>
          <cell r="E247">
            <v>7539.9999999999991</v>
          </cell>
        </row>
        <row r="248">
          <cell r="B248">
            <v>231</v>
          </cell>
          <cell r="C248" t="str">
            <v>Aire AC tipo mini split de 12000 BTU's marca LG</v>
          </cell>
          <cell r="D248" t="str">
            <v>un</v>
          </cell>
          <cell r="E248">
            <v>1450000</v>
          </cell>
        </row>
        <row r="249">
          <cell r="B249">
            <v>232</v>
          </cell>
          <cell r="C249" t="str">
            <v>Aire AC tipo mini split de 36000 BTU's marca LG</v>
          </cell>
          <cell r="D249" t="str">
            <v>un</v>
          </cell>
          <cell r="E249">
            <v>2842000</v>
          </cell>
        </row>
        <row r="250">
          <cell r="B250">
            <v>233</v>
          </cell>
          <cell r="C250" t="str">
            <v>Aire AC tipo mini split de 18000 BTU's marca LG</v>
          </cell>
          <cell r="D250" t="str">
            <v>un</v>
          </cell>
          <cell r="E250">
            <v>1913999.9999999998</v>
          </cell>
        </row>
        <row r="251">
          <cell r="B251">
            <v>234</v>
          </cell>
          <cell r="C251" t="str">
            <v>Lámina Alfajor de 1/4"</v>
          </cell>
          <cell r="D251" t="str">
            <v>m2</v>
          </cell>
          <cell r="E251">
            <v>168548</v>
          </cell>
        </row>
        <row r="252">
          <cell r="B252">
            <v>235</v>
          </cell>
          <cell r="C252" t="str">
            <v>Malla eslabonada Cal. 12 1''x1''</v>
          </cell>
          <cell r="D252" t="str">
            <v>m2</v>
          </cell>
          <cell r="E252">
            <v>10440</v>
          </cell>
        </row>
        <row r="253">
          <cell r="B253">
            <v>236</v>
          </cell>
          <cell r="C253" t="str">
            <v>Malla zaranda de 5x5 mm</v>
          </cell>
          <cell r="D253" t="str">
            <v>m2</v>
          </cell>
          <cell r="E253">
            <v>10440</v>
          </cell>
        </row>
        <row r="254">
          <cell r="B254">
            <v>237</v>
          </cell>
          <cell r="C254" t="str">
            <v>Tramos de defensa metálica, lámina galvanizada cal 16, lóngitud útil de 3.81 m</v>
          </cell>
          <cell r="D254" t="str">
            <v>Und</v>
          </cell>
          <cell r="E254">
            <v>262391.99999999994</v>
          </cell>
        </row>
        <row r="255">
          <cell r="B255">
            <v>238</v>
          </cell>
          <cell r="C255" t="str">
            <v>Parales de 1.80 m, lámina galvanizada cal. 16</v>
          </cell>
          <cell r="D255" t="str">
            <v>Und</v>
          </cell>
          <cell r="E255">
            <v>141287.99999999997</v>
          </cell>
        </row>
        <row r="256">
          <cell r="B256">
            <v>239</v>
          </cell>
          <cell r="C256" t="str">
            <v>Terminales lámina Galvanizada cal. 16</v>
          </cell>
          <cell r="D256" t="str">
            <v>Und</v>
          </cell>
          <cell r="E256">
            <v>74007.999999999985</v>
          </cell>
        </row>
        <row r="257">
          <cell r="B257">
            <v>240</v>
          </cell>
          <cell r="C257" t="str">
            <v>Pintura para  galvanizado de defensas</v>
          </cell>
          <cell r="D257" t="str">
            <v>Und</v>
          </cell>
          <cell r="E257">
            <v>47520.56</v>
          </cell>
        </row>
        <row r="258">
          <cell r="B258">
            <v>241</v>
          </cell>
          <cell r="C258" t="str">
            <v>Sikaflex</v>
          </cell>
          <cell r="D258" t="str">
            <v>Cartucho</v>
          </cell>
          <cell r="E258">
            <v>24012</v>
          </cell>
        </row>
        <row r="259">
          <cell r="B259">
            <v>242</v>
          </cell>
          <cell r="C259" t="str">
            <v>Embebidos metálicos</v>
          </cell>
          <cell r="D259" t="str">
            <v>Glb</v>
          </cell>
          <cell r="E259">
            <v>127599.99999999999</v>
          </cell>
        </row>
        <row r="260">
          <cell r="B260">
            <v>243</v>
          </cell>
          <cell r="C260" t="str">
            <v>Angulo 2 1/2'' x 3/8''</v>
          </cell>
          <cell r="D260" t="str">
            <v>Ml</v>
          </cell>
          <cell r="E260">
            <v>48720</v>
          </cell>
        </row>
        <row r="261">
          <cell r="B261">
            <v>244</v>
          </cell>
          <cell r="C261" t="str">
            <v>Platina 3/8'' de 0.2x0.2m</v>
          </cell>
          <cell r="D261" t="str">
            <v>Ea</v>
          </cell>
          <cell r="E261">
            <v>46400</v>
          </cell>
        </row>
        <row r="262">
          <cell r="B262">
            <v>245</v>
          </cell>
          <cell r="C262" t="str">
            <v>Cinta papel para Juntas</v>
          </cell>
          <cell r="D262" t="str">
            <v>Rollo</v>
          </cell>
          <cell r="E262">
            <v>7788.24</v>
          </cell>
        </row>
        <row r="263">
          <cell r="B263">
            <v>246</v>
          </cell>
          <cell r="C263" t="str">
            <v>Masilla para Interiores Cuñete.</v>
          </cell>
          <cell r="D263" t="str">
            <v>Cuñete</v>
          </cell>
          <cell r="E263">
            <v>40600</v>
          </cell>
        </row>
        <row r="264">
          <cell r="B264">
            <v>247</v>
          </cell>
          <cell r="C264" t="str">
            <v>Masilla para Exteriores Cuñete.</v>
          </cell>
          <cell r="D264" t="str">
            <v>Cuñete</v>
          </cell>
          <cell r="E264">
            <v>98368</v>
          </cell>
        </row>
        <row r="265">
          <cell r="B265">
            <v>248</v>
          </cell>
          <cell r="C265" t="str">
            <v>Masilla supermastic superboard y Gyplac</v>
          </cell>
          <cell r="D265" t="str">
            <v>Cuñete</v>
          </cell>
          <cell r="E265">
            <v>39854.119999999995</v>
          </cell>
        </row>
        <row r="266">
          <cell r="B266">
            <v>249</v>
          </cell>
          <cell r="C266" t="str">
            <v xml:space="preserve">Limatesa español eternit </v>
          </cell>
          <cell r="D266" t="str">
            <v>EA</v>
          </cell>
          <cell r="E266">
            <v>16239.999999999998</v>
          </cell>
        </row>
        <row r="267">
          <cell r="B267">
            <v>250</v>
          </cell>
          <cell r="C267" t="str">
            <v xml:space="preserve">Terminal español eternit </v>
          </cell>
          <cell r="D267" t="str">
            <v>EA</v>
          </cell>
          <cell r="E267">
            <v>11226.48</v>
          </cell>
        </row>
        <row r="268">
          <cell r="B268">
            <v>251</v>
          </cell>
          <cell r="C268" t="str">
            <v>Perfil angulo Cal.26X244</v>
          </cell>
          <cell r="D268" t="str">
            <v>Ea</v>
          </cell>
          <cell r="E268">
            <v>2401.1999999999998</v>
          </cell>
        </row>
        <row r="269">
          <cell r="B269">
            <v>252</v>
          </cell>
          <cell r="C269" t="str">
            <v>Perfil Omega Cal. 26X244</v>
          </cell>
          <cell r="D269" t="str">
            <v>Ea</v>
          </cell>
          <cell r="E269">
            <v>5858</v>
          </cell>
        </row>
        <row r="270">
          <cell r="B270">
            <v>253</v>
          </cell>
          <cell r="C270" t="str">
            <v>Perfil vigueta Cal. 26X244</v>
          </cell>
          <cell r="D270" t="str">
            <v>Ea</v>
          </cell>
          <cell r="E270">
            <v>6925.2</v>
          </cell>
        </row>
        <row r="271">
          <cell r="B271">
            <v>254</v>
          </cell>
          <cell r="E271">
            <v>0</v>
          </cell>
        </row>
        <row r="272">
          <cell r="B272">
            <v>255</v>
          </cell>
          <cell r="E272">
            <v>0</v>
          </cell>
        </row>
        <row r="273">
          <cell r="B273">
            <v>256</v>
          </cell>
          <cell r="E273">
            <v>0</v>
          </cell>
        </row>
        <row r="274">
          <cell r="B274">
            <v>257</v>
          </cell>
          <cell r="C274" t="str">
            <v>Perfil Paral B9 Cal.26, Largo 2.44</v>
          </cell>
          <cell r="D274" t="str">
            <v>Ea</v>
          </cell>
          <cell r="E274">
            <v>10266</v>
          </cell>
        </row>
        <row r="275">
          <cell r="B275">
            <v>258</v>
          </cell>
          <cell r="C275" t="str">
            <v>Perfil Canal B9 Cal.24, Largo 2.44</v>
          </cell>
          <cell r="D275" t="str">
            <v>Ea</v>
          </cell>
          <cell r="E275">
            <v>12145.199999999999</v>
          </cell>
        </row>
        <row r="276">
          <cell r="B276">
            <v>259</v>
          </cell>
          <cell r="C276" t="str">
            <v>Sellante Elastomérico - Sika Flex.</v>
          </cell>
          <cell r="D276" t="str">
            <v>Ea</v>
          </cell>
          <cell r="E276">
            <v>20421.8</v>
          </cell>
        </row>
        <row r="277">
          <cell r="B277">
            <v>260</v>
          </cell>
          <cell r="C277" t="str">
            <v>Adhesivo Epoxico - Sika Dur Panel.</v>
          </cell>
          <cell r="D277" t="str">
            <v>Ea</v>
          </cell>
          <cell r="E277">
            <v>56723.999999999993</v>
          </cell>
        </row>
        <row r="278">
          <cell r="B278">
            <v>261</v>
          </cell>
          <cell r="C278" t="str">
            <v>Cinta Metálica para filos</v>
          </cell>
          <cell r="D278" t="str">
            <v>Ea</v>
          </cell>
          <cell r="E278">
            <v>67512</v>
          </cell>
        </row>
        <row r="279">
          <cell r="B279">
            <v>262</v>
          </cell>
          <cell r="C279" t="str">
            <v>Carga Verde Tiro a Tiro con Perno</v>
          </cell>
          <cell r="D279" t="str">
            <v>Ea</v>
          </cell>
          <cell r="E279">
            <v>1438.3999999999999</v>
          </cell>
        </row>
        <row r="280">
          <cell r="B280">
            <v>263</v>
          </cell>
          <cell r="C280" t="str">
            <v>Rollo Frescasa 85 Ml.</v>
          </cell>
          <cell r="D280" t="str">
            <v>Ea</v>
          </cell>
          <cell r="E280">
            <v>180751.19999999998</v>
          </cell>
        </row>
        <row r="281">
          <cell r="B281">
            <v>264</v>
          </cell>
          <cell r="C281" t="str">
            <v>Laminas de Gyplac 2.44X1.22 Ref 12,7</v>
          </cell>
          <cell r="D281" t="str">
            <v>Ea</v>
          </cell>
          <cell r="E281">
            <v>32479.999999999996</v>
          </cell>
        </row>
        <row r="282">
          <cell r="B282">
            <v>265</v>
          </cell>
          <cell r="C282" t="str">
            <v>Laminas de Gyplac R.F. 2.44X1.22 Ref 12,7</v>
          </cell>
          <cell r="D282" t="str">
            <v>Ea</v>
          </cell>
          <cell r="E282">
            <v>60667.999999999993</v>
          </cell>
        </row>
        <row r="283">
          <cell r="B283">
            <v>266</v>
          </cell>
          <cell r="C283" t="str">
            <v>Placa Superboard Ref.8 mm. Medida 2,44 x 1,22</v>
          </cell>
          <cell r="D283" t="str">
            <v>Ea</v>
          </cell>
          <cell r="E283">
            <v>52200</v>
          </cell>
        </row>
        <row r="284">
          <cell r="B284">
            <v>267</v>
          </cell>
          <cell r="C284" t="str">
            <v>Placa Superboard Ref.11 mm. Medida 2,44 x 1,22</v>
          </cell>
          <cell r="D284" t="str">
            <v>Ea</v>
          </cell>
          <cell r="E284">
            <v>60667.999999999993</v>
          </cell>
        </row>
        <row r="285">
          <cell r="B285">
            <v>268</v>
          </cell>
          <cell r="C285" t="str">
            <v>Placa Gyplac R.F. Ref.12,7. Medidas: 2.44 x 1.22</v>
          </cell>
          <cell r="D285" t="str">
            <v>Ea</v>
          </cell>
          <cell r="E285">
            <v>60667.999999999993</v>
          </cell>
        </row>
        <row r="286">
          <cell r="B286">
            <v>269</v>
          </cell>
          <cell r="C286" t="str">
            <v>Placa Superboard R.F. Ref.20 mm. Medidas: 2.44 x 1.23</v>
          </cell>
          <cell r="D286" t="str">
            <v>Ea</v>
          </cell>
          <cell r="E286">
            <v>101154.9</v>
          </cell>
        </row>
        <row r="287">
          <cell r="B287">
            <v>270</v>
          </cell>
          <cell r="C287" t="str">
            <v>Tornillo autoperforante yeso 6X1"</v>
          </cell>
          <cell r="D287" t="str">
            <v>Ea</v>
          </cell>
          <cell r="E287">
            <v>23.2</v>
          </cell>
        </row>
        <row r="288">
          <cell r="B288">
            <v>271</v>
          </cell>
          <cell r="C288" t="str">
            <v>Tornillo autoperforante 7X7-1/16"</v>
          </cell>
          <cell r="D288" t="str">
            <v>Ea</v>
          </cell>
          <cell r="E288">
            <v>23.2</v>
          </cell>
        </row>
        <row r="289">
          <cell r="B289">
            <v>272</v>
          </cell>
          <cell r="C289" t="str">
            <v>Tornillo autoperforante extraplano</v>
          </cell>
          <cell r="D289" t="str">
            <v>Ea</v>
          </cell>
          <cell r="E289">
            <v>23.2</v>
          </cell>
        </row>
        <row r="290">
          <cell r="B290">
            <v>273</v>
          </cell>
          <cell r="C290" t="str">
            <v>Clavo para pistola</v>
          </cell>
          <cell r="D290" t="str">
            <v>Ea</v>
          </cell>
          <cell r="E290">
            <v>150.79999999999998</v>
          </cell>
        </row>
        <row r="291">
          <cell r="B291">
            <v>274</v>
          </cell>
          <cell r="C291" t="str">
            <v>Pintura tipo I viniltex Pintuco</v>
          </cell>
          <cell r="D291" t="str">
            <v>Gl</v>
          </cell>
          <cell r="E291">
            <v>43674.695999999996</v>
          </cell>
        </row>
        <row r="292">
          <cell r="E292">
            <v>0</v>
          </cell>
        </row>
        <row r="293">
          <cell r="B293">
            <v>276</v>
          </cell>
          <cell r="C293" t="str">
            <v>Bloque no 4</v>
          </cell>
          <cell r="D293" t="str">
            <v>Ea</v>
          </cell>
          <cell r="E293">
            <v>1044</v>
          </cell>
        </row>
        <row r="294">
          <cell r="B294">
            <v>277</v>
          </cell>
          <cell r="C294" t="str">
            <v>Tableta de Vinilo 30 x 30 e= 2mm</v>
          </cell>
          <cell r="D294" t="str">
            <v>m2</v>
          </cell>
          <cell r="E294">
            <v>15000</v>
          </cell>
        </row>
        <row r="295">
          <cell r="B295">
            <v>278</v>
          </cell>
          <cell r="C295" t="str">
            <v>Guardaescoba en vinilo h=10 cm</v>
          </cell>
          <cell r="D295" t="str">
            <v>ml</v>
          </cell>
          <cell r="E295">
            <v>2300</v>
          </cell>
        </row>
        <row r="296">
          <cell r="B296">
            <v>279</v>
          </cell>
          <cell r="C296" t="str">
            <v>Puerta en aluminio y vidrio 0.9 x 2.0</v>
          </cell>
          <cell r="D296" t="str">
            <v>Ea</v>
          </cell>
          <cell r="E296">
            <v>695600</v>
          </cell>
        </row>
        <row r="297">
          <cell r="B297">
            <v>280</v>
          </cell>
          <cell r="C297" t="str">
            <v>Puerta en aluminio y vidrio con flanges en lam. Galv. No. 22 1.0 x 2.0</v>
          </cell>
          <cell r="D297" t="str">
            <v>Ea</v>
          </cell>
          <cell r="E297">
            <v>799939.99999999988</v>
          </cell>
        </row>
        <row r="298">
          <cell r="B298">
            <v>281</v>
          </cell>
          <cell r="C298" t="str">
            <v>Pintura anticorrosiva y acabado colores</v>
          </cell>
          <cell r="D298" t="str">
            <v>Gl</v>
          </cell>
          <cell r="E298">
            <v>69000</v>
          </cell>
        </row>
        <row r="299">
          <cell r="B299">
            <v>282</v>
          </cell>
          <cell r="C299" t="str">
            <v>Ventana en Aluminio y y doble vidrio en aluminio de 2 x 2 m</v>
          </cell>
          <cell r="D299" t="str">
            <v>Ea</v>
          </cell>
          <cell r="E299">
            <v>1508000</v>
          </cell>
        </row>
        <row r="300">
          <cell r="B300">
            <v>283</v>
          </cell>
          <cell r="C300" t="str">
            <v>Ventana en Aluminio y vidrio 1.2 X 1.2m</v>
          </cell>
          <cell r="D300" t="str">
            <v>Ea</v>
          </cell>
          <cell r="E300">
            <v>230000</v>
          </cell>
        </row>
        <row r="301">
          <cell r="B301">
            <v>284</v>
          </cell>
          <cell r="C301" t="str">
            <v>Ventana cortina enrrollable en aluminio 1.95 X 1.1m</v>
          </cell>
          <cell r="D301" t="str">
            <v>Ea</v>
          </cell>
          <cell r="E301">
            <v>390000</v>
          </cell>
        </row>
        <row r="302">
          <cell r="B302">
            <v>285</v>
          </cell>
          <cell r="C302" t="str">
            <v>Tubo Galvanizado 2"</v>
          </cell>
          <cell r="D302" t="str">
            <v>ml</v>
          </cell>
          <cell r="E302">
            <v>25000</v>
          </cell>
        </row>
        <row r="303">
          <cell r="B303">
            <v>286</v>
          </cell>
          <cell r="C303" t="str">
            <v>Soldadura electrica 4kg de 3/23"</v>
          </cell>
          <cell r="D303" t="str">
            <v>kg</v>
          </cell>
          <cell r="E303">
            <v>41</v>
          </cell>
        </row>
        <row r="304">
          <cell r="B304">
            <v>287</v>
          </cell>
          <cell r="C304" t="str">
            <v>Acero estructural 36,000 psi</v>
          </cell>
          <cell r="D304" t="str">
            <v>Kg</v>
          </cell>
          <cell r="E304">
            <v>2500</v>
          </cell>
        </row>
        <row r="305">
          <cell r="B305">
            <v>288</v>
          </cell>
          <cell r="C305" t="str">
            <v>Perfiles PHR C 220x80 - 2.5 mm</v>
          </cell>
          <cell r="D305" t="str">
            <v>ml</v>
          </cell>
          <cell r="E305">
            <v>10000</v>
          </cell>
        </row>
        <row r="306">
          <cell r="B306">
            <v>289</v>
          </cell>
          <cell r="C306" t="str">
            <v>Perfiles PHR C 60x40 - 1.5 mm</v>
          </cell>
          <cell r="D306" t="str">
            <v>ml</v>
          </cell>
          <cell r="E306">
            <v>8000</v>
          </cell>
        </row>
        <row r="307">
          <cell r="B307">
            <v>290</v>
          </cell>
          <cell r="C307" t="str">
            <v>Malla electrosoldada Q3 2.5 x 6m</v>
          </cell>
          <cell r="D307" t="str">
            <v>Ea</v>
          </cell>
          <cell r="E307">
            <v>150800</v>
          </cell>
        </row>
        <row r="308">
          <cell r="B308">
            <v>291</v>
          </cell>
          <cell r="C308" t="str">
            <v>Ladrillo a la vista</v>
          </cell>
          <cell r="D308" t="str">
            <v>Ea</v>
          </cell>
          <cell r="E308">
            <v>1160</v>
          </cell>
        </row>
        <row r="309">
          <cell r="B309">
            <v>292</v>
          </cell>
          <cell r="C309" t="str">
            <v>Duraflex 10 x 1m</v>
          </cell>
          <cell r="D309" t="str">
            <v>Ea</v>
          </cell>
          <cell r="E309">
            <v>92800</v>
          </cell>
        </row>
        <row r="310">
          <cell r="B310">
            <v>293</v>
          </cell>
          <cell r="C310" t="str">
            <v>Sika transparente</v>
          </cell>
          <cell r="D310" t="str">
            <v>Gl</v>
          </cell>
          <cell r="E310">
            <v>34800</v>
          </cell>
        </row>
        <row r="311">
          <cell r="B311">
            <v>294</v>
          </cell>
          <cell r="C311" t="str">
            <v>Registro de 1/2"</v>
          </cell>
          <cell r="D311" t="str">
            <v>Ea</v>
          </cell>
          <cell r="E311">
            <v>17400</v>
          </cell>
        </row>
        <row r="312">
          <cell r="B312">
            <v>295</v>
          </cell>
          <cell r="C312" t="str">
            <v>Registro de 3/4"</v>
          </cell>
          <cell r="D312" t="str">
            <v>Ea</v>
          </cell>
          <cell r="E312">
            <v>25520</v>
          </cell>
        </row>
        <row r="313">
          <cell r="B313">
            <v>296</v>
          </cell>
          <cell r="C313" t="str">
            <v>Registro de 1 1/4"</v>
          </cell>
          <cell r="D313" t="str">
            <v>Ea</v>
          </cell>
          <cell r="E313">
            <v>75400</v>
          </cell>
        </row>
        <row r="314">
          <cell r="B314">
            <v>297</v>
          </cell>
          <cell r="C314" t="str">
            <v>Rejillas cromadas de piso de 3"</v>
          </cell>
          <cell r="D314" t="str">
            <v>Ea</v>
          </cell>
          <cell r="E314">
            <v>8119.9999999999991</v>
          </cell>
        </row>
        <row r="315">
          <cell r="B315">
            <v>298</v>
          </cell>
          <cell r="C315" t="str">
            <v>Liston machihembrado 8x1.5 cm</v>
          </cell>
          <cell r="D315" t="str">
            <v>Ea</v>
          </cell>
          <cell r="E315">
            <v>5800</v>
          </cell>
        </row>
        <row r="316">
          <cell r="B316">
            <v>299</v>
          </cell>
          <cell r="C316" t="str">
            <v>Pintura esmalte para madera</v>
          </cell>
          <cell r="D316" t="str">
            <v>Ea</v>
          </cell>
          <cell r="E316">
            <v>52200</v>
          </cell>
        </row>
        <row r="317">
          <cell r="B317">
            <v>300</v>
          </cell>
          <cell r="C317" t="str">
            <v>Ventana en Aluminio tipo L en doble vidrio en aluminio de 3.5 x 2 m</v>
          </cell>
          <cell r="D317" t="str">
            <v>Ea</v>
          </cell>
          <cell r="E317">
            <v>2087999.9999999998</v>
          </cell>
        </row>
        <row r="318">
          <cell r="B318">
            <v>301</v>
          </cell>
          <cell r="C318" t="str">
            <v>Lamina de Zinc para cubierta 0.8x2.4m</v>
          </cell>
          <cell r="D318" t="str">
            <v>Ea</v>
          </cell>
          <cell r="E318">
            <v>18560</v>
          </cell>
        </row>
        <row r="319">
          <cell r="B319">
            <v>302</v>
          </cell>
          <cell r="C319" t="str">
            <v>Amarre de alambre para teja de Zinc</v>
          </cell>
          <cell r="D319" t="str">
            <v>Ea</v>
          </cell>
          <cell r="E319">
            <v>115.99999999999999</v>
          </cell>
        </row>
        <row r="320">
          <cell r="B320">
            <v>303</v>
          </cell>
          <cell r="C320" t="str">
            <v>Puerta en acrilico con marco y agarradera en aluminio</v>
          </cell>
          <cell r="D320" t="str">
            <v>Ea</v>
          </cell>
          <cell r="E320">
            <v>580000</v>
          </cell>
        </row>
        <row r="321">
          <cell r="B321">
            <v>304</v>
          </cell>
          <cell r="C321" t="str">
            <v>Tina Hidromasajes 1.83 x 1.38 x 0.43 m ref. Diana de Edospina</v>
          </cell>
          <cell r="D321" t="str">
            <v>Ea</v>
          </cell>
          <cell r="E321">
            <v>4512400</v>
          </cell>
        </row>
        <row r="322">
          <cell r="B322">
            <v>305</v>
          </cell>
          <cell r="C322" t="str">
            <v>Mortero 1:5</v>
          </cell>
          <cell r="D322" t="str">
            <v>m3</v>
          </cell>
          <cell r="E322">
            <v>186844.68</v>
          </cell>
        </row>
        <row r="323">
          <cell r="B323">
            <v>306</v>
          </cell>
          <cell r="C323" t="str">
            <v>Puerta entamborada  Cal 18 con marco 1.5 x 2.2 m con marco</v>
          </cell>
          <cell r="D323" t="str">
            <v>Ea</v>
          </cell>
          <cell r="E323">
            <v>927999.99999999988</v>
          </cell>
        </row>
        <row r="324">
          <cell r="B324">
            <v>307</v>
          </cell>
          <cell r="C324" t="str">
            <v>Ventana corrediza en Aluminio y vidrio 1.8 X 1.0 m (incluye flanges en lamina galvanizada No.22)</v>
          </cell>
          <cell r="D324" t="str">
            <v>Ea</v>
          </cell>
          <cell r="E324">
            <v>348000</v>
          </cell>
        </row>
        <row r="325">
          <cell r="B325">
            <v>308</v>
          </cell>
          <cell r="C325" t="str">
            <v>Ventana en Aluminio de 2.00 x 1.50 mts (Vidrio Doble)</v>
          </cell>
          <cell r="D325" t="str">
            <v>Ea</v>
          </cell>
          <cell r="E325">
            <v>1218000</v>
          </cell>
        </row>
        <row r="326">
          <cell r="B326">
            <v>309</v>
          </cell>
          <cell r="C326" t="str">
            <v>Ventana en Aluminio de 2.50 x 1.50 mts (Vidrio sencillo)</v>
          </cell>
          <cell r="D326" t="str">
            <v>Ea</v>
          </cell>
          <cell r="E326">
            <v>869999.99999999988</v>
          </cell>
        </row>
        <row r="327">
          <cell r="B327">
            <v>310</v>
          </cell>
          <cell r="C327" t="str">
            <v>Ventana en Aluminio de 3.00 x 1.50 mts (Vidirio Doble)</v>
          </cell>
          <cell r="D327" t="str">
            <v>Ea</v>
          </cell>
          <cell r="E327">
            <v>1855999.9999999998</v>
          </cell>
        </row>
        <row r="328">
          <cell r="B328">
            <v>311</v>
          </cell>
          <cell r="C328" t="str">
            <v>Puerta de 2.20 x 0.90 mts en Lamina Coll Roled Calibre 0.90</v>
          </cell>
          <cell r="D328" t="str">
            <v>Ea</v>
          </cell>
          <cell r="E328">
            <v>406000</v>
          </cell>
        </row>
        <row r="329">
          <cell r="B329">
            <v>312</v>
          </cell>
          <cell r="C329" t="str">
            <v xml:space="preserve"> Puerta de 2.50 x 1.30 mts en Lamina Coll Roled Calibre 0.90</v>
          </cell>
          <cell r="D329" t="str">
            <v>Ea</v>
          </cell>
          <cell r="E329">
            <v>463999.99999999994</v>
          </cell>
        </row>
        <row r="330">
          <cell r="B330">
            <v>313</v>
          </cell>
          <cell r="C330" t="str">
            <v>Teja TermoAcusti de 0.90 mts</v>
          </cell>
          <cell r="D330" t="str">
            <v>Ml</v>
          </cell>
          <cell r="E330">
            <v>20880</v>
          </cell>
        </row>
        <row r="331">
          <cell r="B331">
            <v>314</v>
          </cell>
          <cell r="C331" t="str">
            <v>Tablero de 42 circuitos NTQ T42 Square-D</v>
          </cell>
          <cell r="D331" t="str">
            <v>Und</v>
          </cell>
          <cell r="E331">
            <v>564177.6</v>
          </cell>
        </row>
        <row r="332">
          <cell r="B332">
            <v>315</v>
          </cell>
          <cell r="C332" t="str">
            <v>Braker 3x200Amp</v>
          </cell>
          <cell r="D332" t="str">
            <v>Und</v>
          </cell>
          <cell r="E332">
            <v>521791.19999999995</v>
          </cell>
        </row>
        <row r="333">
          <cell r="B333">
            <v>316</v>
          </cell>
          <cell r="C333" t="str">
            <v>Braker 3x100Amp</v>
          </cell>
          <cell r="D333" t="str">
            <v>Und</v>
          </cell>
          <cell r="E333">
            <v>243599.99999999997</v>
          </cell>
        </row>
        <row r="334">
          <cell r="B334">
            <v>317</v>
          </cell>
          <cell r="C334" t="str">
            <v>Braker 3x200Amp,208V</v>
          </cell>
          <cell r="D334" t="str">
            <v>Und</v>
          </cell>
          <cell r="E334">
            <v>521791.19999999995</v>
          </cell>
        </row>
        <row r="335">
          <cell r="B335">
            <v>318</v>
          </cell>
          <cell r="C335" t="str">
            <v>Braker 3x300Amp , 480V</v>
          </cell>
          <cell r="D335" t="str">
            <v>Und</v>
          </cell>
          <cell r="E335">
            <v>1553680.7999999998</v>
          </cell>
        </row>
        <row r="336">
          <cell r="B336">
            <v>319</v>
          </cell>
          <cell r="C336" t="str">
            <v>Planos Red line (3copias)</v>
          </cell>
          <cell r="D336" t="str">
            <v>Juego</v>
          </cell>
          <cell r="E336">
            <v>580000</v>
          </cell>
        </row>
        <row r="337">
          <cell r="B337">
            <v>320</v>
          </cell>
          <cell r="C337" t="str">
            <v>Braker 1x15Amp proteccion</v>
          </cell>
          <cell r="D337" t="str">
            <v>Und</v>
          </cell>
          <cell r="E337">
            <v>20880</v>
          </cell>
        </row>
        <row r="338">
          <cell r="B338">
            <v>321</v>
          </cell>
          <cell r="C338" t="str">
            <v>Luminaria  4x36W/120v rejilla tipo especular tubo t8 interruptor electronico</v>
          </cell>
          <cell r="D338" t="str">
            <v>Und</v>
          </cell>
          <cell r="E338">
            <v>278400</v>
          </cell>
        </row>
        <row r="339">
          <cell r="B339">
            <v>322</v>
          </cell>
          <cell r="C339" t="str">
            <v>Extractor 1.5A 10''</v>
          </cell>
          <cell r="D339" t="str">
            <v>Und</v>
          </cell>
          <cell r="E339">
            <v>150800</v>
          </cell>
        </row>
        <row r="340">
          <cell r="B340">
            <v>323</v>
          </cell>
          <cell r="C340" t="str">
            <v>Braker tipo encufable 1x20 A GE</v>
          </cell>
          <cell r="D340" t="str">
            <v>Und</v>
          </cell>
          <cell r="E340">
            <v>11600</v>
          </cell>
        </row>
        <row r="341">
          <cell r="B341">
            <v>324</v>
          </cell>
          <cell r="C341" t="str">
            <v>Breaker tipo enchufable 3x20 A GE</v>
          </cell>
          <cell r="D341" t="str">
            <v>Und</v>
          </cell>
          <cell r="E341">
            <v>71108</v>
          </cell>
        </row>
        <row r="342">
          <cell r="B342">
            <v>325</v>
          </cell>
          <cell r="C342" t="str">
            <v>Toma doble RED normal Levinton 110v</v>
          </cell>
          <cell r="D342" t="str">
            <v>Und</v>
          </cell>
          <cell r="E342">
            <v>6055.2</v>
          </cell>
        </row>
        <row r="343">
          <cell r="B343">
            <v>326</v>
          </cell>
          <cell r="C343" t="str">
            <v>Luminaria 2x32W ,2x26W</v>
          </cell>
          <cell r="D343" t="str">
            <v>Und</v>
          </cell>
          <cell r="E343">
            <v>150800</v>
          </cell>
        </row>
        <row r="344">
          <cell r="B344">
            <v>327</v>
          </cell>
          <cell r="C344" t="str">
            <v>LUMINARIA 4X17W, 60X60 ETC…</v>
          </cell>
          <cell r="D344" t="str">
            <v>Und</v>
          </cell>
          <cell r="E344">
            <v>208800</v>
          </cell>
        </row>
        <row r="345">
          <cell r="B345">
            <v>328</v>
          </cell>
          <cell r="C345" t="str">
            <v>Varios Mecánica</v>
          </cell>
          <cell r="D345" t="str">
            <v>GLB</v>
          </cell>
          <cell r="E345">
            <v>6380</v>
          </cell>
        </row>
        <row r="346">
          <cell r="B346">
            <v>329</v>
          </cell>
          <cell r="C346" t="str">
            <v xml:space="preserve">Varios </v>
          </cell>
          <cell r="D346" t="str">
            <v>GLB</v>
          </cell>
          <cell r="E346">
            <v>2900</v>
          </cell>
        </row>
        <row r="347">
          <cell r="B347">
            <v>330</v>
          </cell>
          <cell r="C347" t="str">
            <v>Listón de madera 3''x3m</v>
          </cell>
          <cell r="D347" t="str">
            <v>Ea</v>
          </cell>
          <cell r="E347">
            <v>4640</v>
          </cell>
        </row>
        <row r="348">
          <cell r="B348">
            <v>331</v>
          </cell>
          <cell r="C348" t="str">
            <v>Estacas de madera 1'' x 0.30 m</v>
          </cell>
          <cell r="D348" t="str">
            <v>Ea</v>
          </cell>
          <cell r="E348">
            <v>1160</v>
          </cell>
        </row>
        <row r="349">
          <cell r="B349">
            <v>332</v>
          </cell>
          <cell r="C349" t="str">
            <v>Acero de Refuerzo figurado 4200 Kg/cm²</v>
          </cell>
          <cell r="D349" t="str">
            <v>Kg</v>
          </cell>
          <cell r="E349">
            <v>10487.56</v>
          </cell>
        </row>
        <row r="350">
          <cell r="B350">
            <v>333</v>
          </cell>
          <cell r="C350" t="str">
            <v>Grata entorchada 7/8''</v>
          </cell>
          <cell r="D350" t="str">
            <v>Ea</v>
          </cell>
          <cell r="E350">
            <v>42729.759999999995</v>
          </cell>
        </row>
        <row r="351">
          <cell r="B351">
            <v>334</v>
          </cell>
          <cell r="C351" t="str">
            <v>Discos pulidora 5/8''</v>
          </cell>
          <cell r="D351" t="str">
            <v>Ea</v>
          </cell>
          <cell r="E351">
            <v>9289.2799999999988</v>
          </cell>
        </row>
        <row r="352">
          <cell r="B352">
            <v>335</v>
          </cell>
          <cell r="C352" t="str">
            <v>Manila nylon 1''</v>
          </cell>
          <cell r="D352" t="str">
            <v>ML</v>
          </cell>
          <cell r="E352">
            <v>2990.48</v>
          </cell>
        </row>
        <row r="353">
          <cell r="B353">
            <v>336</v>
          </cell>
          <cell r="C353" t="str">
            <v>Polines de madera</v>
          </cell>
          <cell r="D353" t="str">
            <v>Ea</v>
          </cell>
          <cell r="E353">
            <v>11020</v>
          </cell>
        </row>
        <row r="354">
          <cell r="B354">
            <v>337</v>
          </cell>
          <cell r="C354" t="str">
            <v>Arena para sandblastin</v>
          </cell>
          <cell r="D354" t="str">
            <v>Kg</v>
          </cell>
          <cell r="E354">
            <v>61.48</v>
          </cell>
        </row>
        <row r="355">
          <cell r="B355">
            <v>338</v>
          </cell>
          <cell r="C355" t="str">
            <v>Tubo HR de 1 1/2" x 6 mts.</v>
          </cell>
          <cell r="D355" t="str">
            <v>Ea</v>
          </cell>
          <cell r="E355">
            <v>67280</v>
          </cell>
        </row>
        <row r="356">
          <cell r="B356">
            <v>339</v>
          </cell>
          <cell r="C356" t="str">
            <v>Malla expandida IMT 40 galvanizada</v>
          </cell>
          <cell r="D356" t="str">
            <v>m2</v>
          </cell>
          <cell r="E356">
            <v>168200</v>
          </cell>
        </row>
        <row r="357">
          <cell r="B357">
            <v>340</v>
          </cell>
          <cell r="C357" t="str">
            <v>Perfil C 6"x8.2 lb/ft de 6m</v>
          </cell>
          <cell r="D357" t="str">
            <v>Ea</v>
          </cell>
          <cell r="E357">
            <v>295800</v>
          </cell>
        </row>
        <row r="358">
          <cell r="B358">
            <v>341</v>
          </cell>
          <cell r="C358" t="str">
            <v>Perfil C 4"x5.5 lb/ft de 6m</v>
          </cell>
          <cell r="D358" t="str">
            <v>Ea</v>
          </cell>
          <cell r="E358">
            <v>185600</v>
          </cell>
        </row>
        <row r="359">
          <cell r="B359">
            <v>342</v>
          </cell>
          <cell r="C359" t="str">
            <v>Angulo 1 1/2'' x 3/16'' de 6m</v>
          </cell>
          <cell r="D359" t="str">
            <v>Ea</v>
          </cell>
          <cell r="E359">
            <v>69484</v>
          </cell>
        </row>
        <row r="360">
          <cell r="B360">
            <v>343</v>
          </cell>
          <cell r="C360" t="str">
            <v>Platina 4'' x 1/4" de 6m</v>
          </cell>
          <cell r="D360" t="str">
            <v>Ea</v>
          </cell>
          <cell r="E360">
            <v>111359.99999999999</v>
          </cell>
        </row>
        <row r="361">
          <cell r="B361">
            <v>344</v>
          </cell>
          <cell r="C361" t="str">
            <v>Platina 2'' x 1/4" de 6m</v>
          </cell>
          <cell r="D361" t="str">
            <v>Ea</v>
          </cell>
          <cell r="E361">
            <v>57767.999999999993</v>
          </cell>
        </row>
        <row r="362">
          <cell r="B362">
            <v>345</v>
          </cell>
          <cell r="C362" t="str">
            <v>Platina 240mmx240mm 1/2" espesor</v>
          </cell>
          <cell r="D362" t="str">
            <v>Ea</v>
          </cell>
          <cell r="E362">
            <v>46400</v>
          </cell>
        </row>
        <row r="363">
          <cell r="B363">
            <v>346</v>
          </cell>
          <cell r="C363" t="str">
            <v>Luminaria de 400 W, sodio alta presión</v>
          </cell>
          <cell r="D363" t="str">
            <v>Ea</v>
          </cell>
          <cell r="E363">
            <v>638000</v>
          </cell>
        </row>
        <row r="364">
          <cell r="B364">
            <v>347</v>
          </cell>
          <cell r="C364" t="str">
            <v>Bombilla de 400W , sodio</v>
          </cell>
          <cell r="D364" t="str">
            <v>Ea</v>
          </cell>
          <cell r="E364">
            <v>40600</v>
          </cell>
        </row>
        <row r="365">
          <cell r="B365">
            <v>348</v>
          </cell>
          <cell r="C365" t="str">
            <v>Brazo de luminaria</v>
          </cell>
          <cell r="D365" t="str">
            <v>Ea</v>
          </cell>
          <cell r="E365">
            <v>63799.999999999993</v>
          </cell>
        </row>
        <row r="366">
          <cell r="B366">
            <v>349</v>
          </cell>
          <cell r="C366" t="str">
            <v>Platina 400mmx270mm 1/2" espesor</v>
          </cell>
          <cell r="D366" t="str">
            <v>Ea</v>
          </cell>
          <cell r="E366">
            <v>46400</v>
          </cell>
        </row>
        <row r="367">
          <cell r="B367">
            <v>350</v>
          </cell>
          <cell r="C367" t="str">
            <v>Perno de Anclaje 3/4"</v>
          </cell>
          <cell r="D367" t="str">
            <v>Ea</v>
          </cell>
          <cell r="E367">
            <v>17400</v>
          </cell>
        </row>
        <row r="368">
          <cell r="B368">
            <v>351</v>
          </cell>
          <cell r="C368" t="str">
            <v>Angulo 2''x2''x1/4''</v>
          </cell>
          <cell r="D368" t="str">
            <v>Ml</v>
          </cell>
          <cell r="E368">
            <v>8000</v>
          </cell>
        </row>
        <row r="369">
          <cell r="B369">
            <v>352</v>
          </cell>
          <cell r="C369" t="str">
            <v>Estacon para cerco 6''x6''x2.5 m</v>
          </cell>
          <cell r="D369" t="str">
            <v>Ea</v>
          </cell>
          <cell r="E369">
            <v>8119.9999999999991</v>
          </cell>
        </row>
        <row r="370">
          <cell r="B370">
            <v>353</v>
          </cell>
          <cell r="C370" t="str">
            <v>Tabla burra 2''x 0.30cm x 3 m</v>
          </cell>
          <cell r="D370" t="str">
            <v>Ea</v>
          </cell>
          <cell r="E370">
            <v>9280</v>
          </cell>
        </row>
        <row r="371">
          <cell r="B371">
            <v>354</v>
          </cell>
          <cell r="C371" t="str">
            <v>Triturado</v>
          </cell>
          <cell r="D371" t="str">
            <v>m3</v>
          </cell>
          <cell r="E371">
            <v>104400</v>
          </cell>
        </row>
        <row r="372">
          <cell r="B372">
            <v>355</v>
          </cell>
          <cell r="C372" t="str">
            <v>Arena de rio o peña</v>
          </cell>
          <cell r="D372" t="str">
            <v>m3</v>
          </cell>
          <cell r="E372">
            <v>37155.96</v>
          </cell>
        </row>
        <row r="373">
          <cell r="B373">
            <v>356</v>
          </cell>
          <cell r="C373" t="str">
            <v xml:space="preserve">Cemento </v>
          </cell>
          <cell r="D373" t="str">
            <v>Bulto</v>
          </cell>
          <cell r="E373">
            <v>34800</v>
          </cell>
        </row>
        <row r="374">
          <cell r="B374">
            <v>357</v>
          </cell>
          <cell r="C374" t="str">
            <v xml:space="preserve">Round Up </v>
          </cell>
          <cell r="D374" t="str">
            <v>1/4 Galón</v>
          </cell>
          <cell r="E374">
            <v>38860</v>
          </cell>
        </row>
        <row r="375">
          <cell r="B375">
            <v>358</v>
          </cell>
          <cell r="C375" t="str">
            <v>Goal</v>
          </cell>
          <cell r="D375" t="str">
            <v>1/4 Galón</v>
          </cell>
          <cell r="E375">
            <v>38860</v>
          </cell>
        </row>
        <row r="376">
          <cell r="B376">
            <v>359</v>
          </cell>
          <cell r="E376">
            <v>0</v>
          </cell>
        </row>
        <row r="377">
          <cell r="B377">
            <v>360</v>
          </cell>
          <cell r="E377">
            <v>0</v>
          </cell>
        </row>
        <row r="378">
          <cell r="B378">
            <v>361</v>
          </cell>
          <cell r="E378">
            <v>0</v>
          </cell>
        </row>
        <row r="379">
          <cell r="B379">
            <v>362</v>
          </cell>
          <cell r="E379">
            <v>0</v>
          </cell>
        </row>
        <row r="380">
          <cell r="B380">
            <v>363</v>
          </cell>
          <cell r="E380">
            <v>0</v>
          </cell>
        </row>
        <row r="381">
          <cell r="B381">
            <v>364</v>
          </cell>
          <cell r="E381">
            <v>0</v>
          </cell>
        </row>
        <row r="382">
          <cell r="B382">
            <v>365</v>
          </cell>
          <cell r="E382">
            <v>0</v>
          </cell>
        </row>
        <row r="383">
          <cell r="B383">
            <v>366</v>
          </cell>
          <cell r="E383">
            <v>0</v>
          </cell>
        </row>
        <row r="384">
          <cell r="B384">
            <v>367</v>
          </cell>
          <cell r="E384">
            <v>0</v>
          </cell>
        </row>
        <row r="385">
          <cell r="B385">
            <v>368</v>
          </cell>
          <cell r="E385">
            <v>0</v>
          </cell>
        </row>
        <row r="386">
          <cell r="B386">
            <v>369</v>
          </cell>
          <cell r="E386">
            <v>0</v>
          </cell>
        </row>
        <row r="387">
          <cell r="B387">
            <v>370</v>
          </cell>
          <cell r="E387">
            <v>0</v>
          </cell>
        </row>
        <row r="388">
          <cell r="B388">
            <v>371</v>
          </cell>
          <cell r="E388">
            <v>0</v>
          </cell>
        </row>
        <row r="389">
          <cell r="B389">
            <v>372</v>
          </cell>
          <cell r="E389">
            <v>0</v>
          </cell>
        </row>
        <row r="390">
          <cell r="B390">
            <v>373</v>
          </cell>
          <cell r="E390">
            <v>0</v>
          </cell>
        </row>
        <row r="391">
          <cell r="B391">
            <v>374</v>
          </cell>
          <cell r="E391">
            <v>0</v>
          </cell>
        </row>
        <row r="392">
          <cell r="B392">
            <v>375</v>
          </cell>
          <cell r="E392">
            <v>0</v>
          </cell>
        </row>
        <row r="393">
          <cell r="B393">
            <v>376</v>
          </cell>
          <cell r="E393">
            <v>0</v>
          </cell>
        </row>
        <row r="394">
          <cell r="B394">
            <v>377</v>
          </cell>
          <cell r="E394">
            <v>0</v>
          </cell>
        </row>
        <row r="395">
          <cell r="B395">
            <v>378</v>
          </cell>
          <cell r="E395">
            <v>0</v>
          </cell>
        </row>
        <row r="396">
          <cell r="B396">
            <v>379</v>
          </cell>
          <cell r="E396">
            <v>0</v>
          </cell>
        </row>
        <row r="397">
          <cell r="B397">
            <v>380</v>
          </cell>
          <cell r="E397">
            <v>0</v>
          </cell>
        </row>
        <row r="398">
          <cell r="B398">
            <v>381</v>
          </cell>
          <cell r="E398">
            <v>0</v>
          </cell>
        </row>
        <row r="399">
          <cell r="B399">
            <v>382</v>
          </cell>
          <cell r="E399">
            <v>0</v>
          </cell>
        </row>
        <row r="400">
          <cell r="B400">
            <v>383</v>
          </cell>
          <cell r="E400">
            <v>0</v>
          </cell>
        </row>
        <row r="401">
          <cell r="B401">
            <v>384</v>
          </cell>
          <cell r="E401">
            <v>0</v>
          </cell>
        </row>
        <row r="402">
          <cell r="B402">
            <v>385</v>
          </cell>
          <cell r="E402">
            <v>0</v>
          </cell>
        </row>
        <row r="403">
          <cell r="B403">
            <v>386</v>
          </cell>
          <cell r="E403">
            <v>0</v>
          </cell>
        </row>
        <row r="404">
          <cell r="B404">
            <v>387</v>
          </cell>
          <cell r="E404">
            <v>0</v>
          </cell>
        </row>
        <row r="405">
          <cell r="B405">
            <v>388</v>
          </cell>
          <cell r="E405">
            <v>0</v>
          </cell>
        </row>
        <row r="406">
          <cell r="B406">
            <v>389</v>
          </cell>
          <cell r="E406">
            <v>0</v>
          </cell>
        </row>
        <row r="407">
          <cell r="B407">
            <v>390</v>
          </cell>
          <cell r="E407">
            <v>0</v>
          </cell>
        </row>
        <row r="408">
          <cell r="B408">
            <v>391</v>
          </cell>
          <cell r="E408">
            <v>0</v>
          </cell>
        </row>
        <row r="409">
          <cell r="B409">
            <v>392</v>
          </cell>
          <cell r="E409">
            <v>0</v>
          </cell>
        </row>
        <row r="410">
          <cell r="B410">
            <v>393</v>
          </cell>
          <cell r="E410">
            <v>0</v>
          </cell>
        </row>
        <row r="411">
          <cell r="B411">
            <v>394</v>
          </cell>
          <cell r="E411">
            <v>0</v>
          </cell>
        </row>
        <row r="412">
          <cell r="B412">
            <v>395</v>
          </cell>
          <cell r="E412">
            <v>0</v>
          </cell>
        </row>
        <row r="413">
          <cell r="B413">
            <v>396</v>
          </cell>
          <cell r="E413">
            <v>0</v>
          </cell>
        </row>
        <row r="414">
          <cell r="B414">
            <v>397</v>
          </cell>
          <cell r="E414">
            <v>0</v>
          </cell>
        </row>
        <row r="415">
          <cell r="B415">
            <v>398</v>
          </cell>
          <cell r="E415">
            <v>0</v>
          </cell>
        </row>
        <row r="416">
          <cell r="B416">
            <v>399</v>
          </cell>
          <cell r="E416">
            <v>0</v>
          </cell>
        </row>
        <row r="417">
          <cell r="B417">
            <v>400</v>
          </cell>
          <cell r="C417" t="str">
            <v>Consumibles</v>
          </cell>
          <cell r="D417" t="str">
            <v>Gl</v>
          </cell>
          <cell r="E417">
            <v>100000</v>
          </cell>
        </row>
        <row r="418">
          <cell r="B418">
            <v>401</v>
          </cell>
          <cell r="C418" t="str">
            <v>Tubería PVC tipo DB 6" Ǿ</v>
          </cell>
          <cell r="D418" t="str">
            <v>ml</v>
          </cell>
          <cell r="E418">
            <v>35960</v>
          </cell>
        </row>
        <row r="419">
          <cell r="B419">
            <v>402</v>
          </cell>
          <cell r="C419" t="str">
            <v>Tubería PVC tipo DB 3" Ǿ</v>
          </cell>
          <cell r="D419" t="str">
            <v>ml</v>
          </cell>
          <cell r="E419">
            <v>17400</v>
          </cell>
        </row>
        <row r="420">
          <cell r="B420">
            <v>403</v>
          </cell>
          <cell r="C420" t="str">
            <v>Tubería PVC tipo DB 2" Ǿ</v>
          </cell>
          <cell r="D420" t="str">
            <v>ml</v>
          </cell>
          <cell r="E420">
            <v>11600</v>
          </cell>
        </row>
        <row r="421">
          <cell r="B421">
            <v>404</v>
          </cell>
          <cell r="C421" t="str">
            <v>Piedra Bola</v>
          </cell>
          <cell r="D421" t="str">
            <v>m3</v>
          </cell>
          <cell r="E421">
            <v>92800</v>
          </cell>
        </row>
        <row r="422">
          <cell r="B422">
            <v>405</v>
          </cell>
          <cell r="E422">
            <v>0</v>
          </cell>
        </row>
        <row r="423">
          <cell r="B423">
            <v>406</v>
          </cell>
          <cell r="E423">
            <v>0</v>
          </cell>
        </row>
        <row r="424">
          <cell r="B424">
            <v>407</v>
          </cell>
          <cell r="E424">
            <v>0</v>
          </cell>
        </row>
        <row r="425">
          <cell r="B425">
            <v>408</v>
          </cell>
          <cell r="E425">
            <v>0</v>
          </cell>
        </row>
        <row r="426">
          <cell r="B426">
            <v>409</v>
          </cell>
          <cell r="E426">
            <v>0</v>
          </cell>
        </row>
        <row r="427">
          <cell r="B427">
            <v>410</v>
          </cell>
          <cell r="E427">
            <v>0</v>
          </cell>
        </row>
        <row r="428">
          <cell r="B428">
            <v>411</v>
          </cell>
          <cell r="E428">
            <v>0</v>
          </cell>
        </row>
        <row r="429">
          <cell r="B429">
            <v>412</v>
          </cell>
          <cell r="E429">
            <v>0</v>
          </cell>
        </row>
        <row r="430">
          <cell r="B430">
            <v>413</v>
          </cell>
          <cell r="E430">
            <v>0</v>
          </cell>
        </row>
        <row r="431">
          <cell r="B431">
            <v>414</v>
          </cell>
          <cell r="E431">
            <v>0</v>
          </cell>
        </row>
        <row r="432">
          <cell r="B432">
            <v>415</v>
          </cell>
          <cell r="E432">
            <v>0</v>
          </cell>
        </row>
        <row r="433">
          <cell r="B433">
            <v>416</v>
          </cell>
          <cell r="E433">
            <v>0</v>
          </cell>
        </row>
        <row r="434">
          <cell r="B434">
            <v>417</v>
          </cell>
          <cell r="E434">
            <v>0</v>
          </cell>
        </row>
        <row r="435">
          <cell r="B435">
            <v>418</v>
          </cell>
          <cell r="E435">
            <v>0</v>
          </cell>
        </row>
        <row r="436">
          <cell r="B436">
            <v>419</v>
          </cell>
          <cell r="E436">
            <v>0</v>
          </cell>
        </row>
        <row r="437">
          <cell r="B437">
            <v>420</v>
          </cell>
          <cell r="E437">
            <v>0</v>
          </cell>
        </row>
        <row r="438">
          <cell r="B438">
            <v>421</v>
          </cell>
          <cell r="E438">
            <v>0</v>
          </cell>
        </row>
        <row r="439">
          <cell r="B439">
            <v>422</v>
          </cell>
          <cell r="E439">
            <v>0</v>
          </cell>
        </row>
        <row r="440">
          <cell r="B440">
            <v>423</v>
          </cell>
          <cell r="E440">
            <v>0</v>
          </cell>
        </row>
        <row r="441">
          <cell r="B441">
            <v>424</v>
          </cell>
          <cell r="E441">
            <v>0</v>
          </cell>
        </row>
        <row r="442">
          <cell r="B442">
            <v>425</v>
          </cell>
          <cell r="E442">
            <v>0</v>
          </cell>
        </row>
        <row r="443">
          <cell r="B443">
            <v>426</v>
          </cell>
          <cell r="E443">
            <v>0</v>
          </cell>
        </row>
        <row r="444">
          <cell r="B444">
            <v>427</v>
          </cell>
          <cell r="E444">
            <v>0</v>
          </cell>
        </row>
        <row r="445">
          <cell r="B445">
            <v>428</v>
          </cell>
          <cell r="E445">
            <v>0</v>
          </cell>
        </row>
        <row r="446">
          <cell r="B446">
            <v>429</v>
          </cell>
          <cell r="E446">
            <v>0</v>
          </cell>
        </row>
        <row r="447">
          <cell r="B447">
            <v>430</v>
          </cell>
          <cell r="E447">
            <v>0</v>
          </cell>
        </row>
        <row r="448">
          <cell r="B448">
            <v>431</v>
          </cell>
          <cell r="E448">
            <v>0</v>
          </cell>
        </row>
        <row r="449">
          <cell r="B449">
            <v>432</v>
          </cell>
          <cell r="E449">
            <v>0</v>
          </cell>
        </row>
        <row r="450">
          <cell r="B450">
            <v>433</v>
          </cell>
          <cell r="E450">
            <v>0</v>
          </cell>
        </row>
        <row r="451">
          <cell r="B451">
            <v>434</v>
          </cell>
          <cell r="E451">
            <v>0</v>
          </cell>
        </row>
        <row r="452">
          <cell r="B452">
            <v>435</v>
          </cell>
          <cell r="E452">
            <v>0</v>
          </cell>
        </row>
        <row r="453">
          <cell r="B453">
            <v>436</v>
          </cell>
          <cell r="E453">
            <v>0</v>
          </cell>
        </row>
        <row r="454">
          <cell r="B454">
            <v>437</v>
          </cell>
          <cell r="E454">
            <v>0</v>
          </cell>
        </row>
        <row r="455">
          <cell r="B455">
            <v>438</v>
          </cell>
          <cell r="E455">
            <v>0</v>
          </cell>
        </row>
        <row r="456">
          <cell r="B456">
            <v>439</v>
          </cell>
          <cell r="E456">
            <v>0</v>
          </cell>
        </row>
        <row r="457">
          <cell r="B457">
            <v>440</v>
          </cell>
          <cell r="E457">
            <v>0</v>
          </cell>
        </row>
        <row r="458">
          <cell r="B458">
            <v>441</v>
          </cell>
          <cell r="E458">
            <v>0</v>
          </cell>
        </row>
        <row r="459">
          <cell r="B459">
            <v>442</v>
          </cell>
          <cell r="E459">
            <v>0</v>
          </cell>
        </row>
        <row r="460">
          <cell r="B460">
            <v>443</v>
          </cell>
          <cell r="E460">
            <v>0</v>
          </cell>
        </row>
        <row r="461">
          <cell r="B461">
            <v>444</v>
          </cell>
          <cell r="E461">
            <v>0</v>
          </cell>
        </row>
        <row r="462">
          <cell r="B462">
            <v>445</v>
          </cell>
          <cell r="E462">
            <v>0</v>
          </cell>
        </row>
        <row r="463">
          <cell r="B463">
            <v>446</v>
          </cell>
          <cell r="E463">
            <v>0</v>
          </cell>
        </row>
        <row r="464">
          <cell r="B464">
            <v>447</v>
          </cell>
          <cell r="E464">
            <v>0</v>
          </cell>
        </row>
        <row r="465">
          <cell r="B465">
            <v>448</v>
          </cell>
          <cell r="E465">
            <v>0</v>
          </cell>
        </row>
        <row r="466">
          <cell r="B466">
            <v>449</v>
          </cell>
          <cell r="E466">
            <v>0</v>
          </cell>
        </row>
        <row r="467">
          <cell r="B467">
            <v>450</v>
          </cell>
          <cell r="E467">
            <v>0</v>
          </cell>
        </row>
        <row r="468">
          <cell r="B468">
            <v>451</v>
          </cell>
          <cell r="E468">
            <v>0</v>
          </cell>
        </row>
        <row r="469">
          <cell r="B469">
            <v>452</v>
          </cell>
          <cell r="E469">
            <v>0</v>
          </cell>
        </row>
        <row r="470">
          <cell r="B470">
            <v>453</v>
          </cell>
          <cell r="E470">
            <v>0</v>
          </cell>
        </row>
        <row r="471">
          <cell r="B471">
            <v>454</v>
          </cell>
          <cell r="E471">
            <v>0</v>
          </cell>
        </row>
        <row r="472">
          <cell r="B472">
            <v>455</v>
          </cell>
          <cell r="E472">
            <v>0</v>
          </cell>
        </row>
        <row r="473">
          <cell r="B473">
            <v>456</v>
          </cell>
          <cell r="E473">
            <v>0</v>
          </cell>
        </row>
        <row r="474">
          <cell r="B474">
            <v>457</v>
          </cell>
          <cell r="E474">
            <v>0</v>
          </cell>
        </row>
        <row r="475">
          <cell r="B475">
            <v>458</v>
          </cell>
          <cell r="E475">
            <v>0</v>
          </cell>
        </row>
        <row r="476">
          <cell r="B476">
            <v>459</v>
          </cell>
          <cell r="E476">
            <v>0</v>
          </cell>
        </row>
        <row r="477">
          <cell r="B477">
            <v>460</v>
          </cell>
          <cell r="E477">
            <v>0</v>
          </cell>
        </row>
        <row r="478">
          <cell r="B478">
            <v>461</v>
          </cell>
          <cell r="E478">
            <v>0</v>
          </cell>
        </row>
        <row r="479">
          <cell r="B479">
            <v>462</v>
          </cell>
          <cell r="E479">
            <v>0</v>
          </cell>
        </row>
        <row r="480">
          <cell r="B480">
            <v>463</v>
          </cell>
          <cell r="E480">
            <v>0</v>
          </cell>
        </row>
        <row r="481">
          <cell r="B481">
            <v>464</v>
          </cell>
          <cell r="E481">
            <v>0</v>
          </cell>
        </row>
        <row r="482">
          <cell r="B482">
            <v>465</v>
          </cell>
          <cell r="E482">
            <v>0</v>
          </cell>
        </row>
        <row r="483">
          <cell r="B483">
            <v>466</v>
          </cell>
          <cell r="E483">
            <v>0</v>
          </cell>
        </row>
        <row r="484">
          <cell r="B484">
            <v>467</v>
          </cell>
          <cell r="E484">
            <v>0</v>
          </cell>
        </row>
        <row r="485">
          <cell r="B485">
            <v>468</v>
          </cell>
          <cell r="E485">
            <v>0</v>
          </cell>
        </row>
        <row r="486">
          <cell r="B486">
            <v>469</v>
          </cell>
          <cell r="E486">
            <v>0</v>
          </cell>
        </row>
        <row r="487">
          <cell r="B487">
            <v>470</v>
          </cell>
          <cell r="E487">
            <v>0</v>
          </cell>
        </row>
        <row r="488">
          <cell r="B488">
            <v>471</v>
          </cell>
          <cell r="E488">
            <v>0</v>
          </cell>
        </row>
        <row r="489">
          <cell r="B489">
            <v>472</v>
          </cell>
          <cell r="E489">
            <v>0</v>
          </cell>
        </row>
        <row r="490">
          <cell r="B490">
            <v>473</v>
          </cell>
          <cell r="E490">
            <v>0</v>
          </cell>
        </row>
        <row r="491">
          <cell r="B491">
            <v>474</v>
          </cell>
          <cell r="E491">
            <v>0</v>
          </cell>
        </row>
        <row r="492">
          <cell r="B492">
            <v>475</v>
          </cell>
          <cell r="E492">
            <v>0</v>
          </cell>
        </row>
        <row r="493">
          <cell r="B493">
            <v>476</v>
          </cell>
          <cell r="E493">
            <v>0</v>
          </cell>
        </row>
        <row r="494">
          <cell r="B494">
            <v>477</v>
          </cell>
          <cell r="E494">
            <v>0</v>
          </cell>
        </row>
        <row r="495">
          <cell r="B495">
            <v>478</v>
          </cell>
          <cell r="E495">
            <v>0</v>
          </cell>
        </row>
        <row r="496">
          <cell r="B496">
            <v>479</v>
          </cell>
          <cell r="E496">
            <v>0</v>
          </cell>
        </row>
        <row r="497">
          <cell r="B497">
            <v>480</v>
          </cell>
          <cell r="E497">
            <v>0</v>
          </cell>
        </row>
        <row r="498">
          <cell r="B498">
            <v>481</v>
          </cell>
          <cell r="E498">
            <v>0</v>
          </cell>
        </row>
        <row r="499">
          <cell r="B499">
            <v>482</v>
          </cell>
          <cell r="E499">
            <v>0</v>
          </cell>
        </row>
        <row r="500">
          <cell r="B500">
            <v>483</v>
          </cell>
          <cell r="E500">
            <v>0</v>
          </cell>
        </row>
        <row r="501">
          <cell r="B501">
            <v>484</v>
          </cell>
          <cell r="E501">
            <v>0</v>
          </cell>
        </row>
        <row r="502">
          <cell r="B502">
            <v>485</v>
          </cell>
          <cell r="E502">
            <v>0</v>
          </cell>
        </row>
        <row r="503">
          <cell r="B503">
            <v>486</v>
          </cell>
          <cell r="E503">
            <v>0</v>
          </cell>
        </row>
        <row r="504">
          <cell r="B504">
            <v>487</v>
          </cell>
          <cell r="E504">
            <v>0</v>
          </cell>
        </row>
        <row r="505">
          <cell r="B505">
            <v>488</v>
          </cell>
          <cell r="E505">
            <v>0</v>
          </cell>
        </row>
        <row r="506">
          <cell r="B506">
            <v>489</v>
          </cell>
          <cell r="E506">
            <v>0</v>
          </cell>
        </row>
        <row r="507">
          <cell r="B507">
            <v>490</v>
          </cell>
          <cell r="E507">
            <v>0</v>
          </cell>
        </row>
        <row r="508">
          <cell r="B508">
            <v>491</v>
          </cell>
          <cell r="E508">
            <v>0</v>
          </cell>
        </row>
        <row r="509">
          <cell r="B509">
            <v>492</v>
          </cell>
          <cell r="E509">
            <v>0</v>
          </cell>
        </row>
        <row r="510">
          <cell r="B510">
            <v>493</v>
          </cell>
          <cell r="E510">
            <v>0</v>
          </cell>
        </row>
        <row r="511">
          <cell r="B511">
            <v>494</v>
          </cell>
          <cell r="E511">
            <v>0</v>
          </cell>
        </row>
        <row r="512">
          <cell r="B512">
            <v>495</v>
          </cell>
          <cell r="E512">
            <v>0</v>
          </cell>
        </row>
        <row r="513">
          <cell r="B513">
            <v>496</v>
          </cell>
          <cell r="E513">
            <v>0</v>
          </cell>
        </row>
        <row r="514">
          <cell r="B514">
            <v>497</v>
          </cell>
          <cell r="E514">
            <v>0</v>
          </cell>
        </row>
        <row r="515">
          <cell r="B515">
            <v>498</v>
          </cell>
          <cell r="E515">
            <v>0</v>
          </cell>
        </row>
        <row r="516">
          <cell r="B516">
            <v>499</v>
          </cell>
          <cell r="E516">
            <v>0</v>
          </cell>
        </row>
        <row r="517">
          <cell r="B517">
            <v>500</v>
          </cell>
          <cell r="E517">
            <v>0</v>
          </cell>
        </row>
        <row r="518">
          <cell r="B518">
            <v>501</v>
          </cell>
          <cell r="E518">
            <v>0</v>
          </cell>
        </row>
        <row r="519">
          <cell r="B519">
            <v>502</v>
          </cell>
          <cell r="E519">
            <v>0</v>
          </cell>
        </row>
        <row r="520">
          <cell r="B520">
            <v>503</v>
          </cell>
          <cell r="E520">
            <v>0</v>
          </cell>
        </row>
        <row r="521">
          <cell r="B521">
            <v>504</v>
          </cell>
          <cell r="E521">
            <v>0</v>
          </cell>
        </row>
        <row r="522">
          <cell r="B522">
            <v>505</v>
          </cell>
          <cell r="E522">
            <v>0</v>
          </cell>
        </row>
        <row r="523">
          <cell r="B523">
            <v>506</v>
          </cell>
          <cell r="E523">
            <v>0</v>
          </cell>
        </row>
        <row r="524">
          <cell r="B524">
            <v>507</v>
          </cell>
          <cell r="E524">
            <v>0</v>
          </cell>
        </row>
        <row r="525">
          <cell r="B525">
            <v>508</v>
          </cell>
          <cell r="E525">
            <v>0</v>
          </cell>
        </row>
        <row r="526">
          <cell r="B526">
            <v>509</v>
          </cell>
          <cell r="E526">
            <v>0</v>
          </cell>
        </row>
        <row r="527">
          <cell r="B527">
            <v>510</v>
          </cell>
          <cell r="E527">
            <v>0</v>
          </cell>
        </row>
        <row r="528">
          <cell r="B528">
            <v>511</v>
          </cell>
          <cell r="E528">
            <v>0</v>
          </cell>
        </row>
        <row r="529">
          <cell r="B529">
            <v>512</v>
          </cell>
          <cell r="E529">
            <v>0</v>
          </cell>
        </row>
        <row r="530">
          <cell r="B530">
            <v>513</v>
          </cell>
          <cell r="E530">
            <v>0</v>
          </cell>
        </row>
        <row r="531">
          <cell r="B531">
            <v>514</v>
          </cell>
          <cell r="E531">
            <v>0</v>
          </cell>
        </row>
        <row r="532">
          <cell r="B532">
            <v>515</v>
          </cell>
          <cell r="E532">
            <v>0</v>
          </cell>
        </row>
        <row r="533">
          <cell r="B533">
            <v>516</v>
          </cell>
          <cell r="E533">
            <v>0</v>
          </cell>
        </row>
        <row r="534">
          <cell r="B534">
            <v>517</v>
          </cell>
          <cell r="E534">
            <v>0</v>
          </cell>
        </row>
        <row r="535">
          <cell r="B535">
            <v>518</v>
          </cell>
          <cell r="E535">
            <v>0</v>
          </cell>
        </row>
        <row r="536">
          <cell r="B536">
            <v>519</v>
          </cell>
          <cell r="E536">
            <v>0</v>
          </cell>
        </row>
        <row r="537">
          <cell r="B537">
            <v>520</v>
          </cell>
          <cell r="E537">
            <v>0</v>
          </cell>
        </row>
        <row r="538">
          <cell r="B538">
            <v>521</v>
          </cell>
          <cell r="E538">
            <v>0</v>
          </cell>
        </row>
        <row r="539">
          <cell r="B539">
            <v>522</v>
          </cell>
          <cell r="E539">
            <v>0</v>
          </cell>
        </row>
        <row r="540">
          <cell r="B540">
            <v>523</v>
          </cell>
          <cell r="E540">
            <v>0</v>
          </cell>
        </row>
        <row r="541">
          <cell r="B541">
            <v>524</v>
          </cell>
          <cell r="E541">
            <v>0</v>
          </cell>
        </row>
        <row r="542">
          <cell r="B542">
            <v>525</v>
          </cell>
          <cell r="E542">
            <v>0</v>
          </cell>
        </row>
        <row r="543">
          <cell r="B543">
            <v>526</v>
          </cell>
          <cell r="E543">
            <v>0</v>
          </cell>
        </row>
        <row r="544">
          <cell r="B544">
            <v>527</v>
          </cell>
          <cell r="E544">
            <v>0</v>
          </cell>
        </row>
        <row r="545">
          <cell r="B545">
            <v>528</v>
          </cell>
          <cell r="E545">
            <v>0</v>
          </cell>
        </row>
        <row r="546">
          <cell r="B546">
            <v>529</v>
          </cell>
          <cell r="E546">
            <v>0</v>
          </cell>
        </row>
        <row r="547">
          <cell r="B547">
            <v>530</v>
          </cell>
          <cell r="E547">
            <v>0</v>
          </cell>
        </row>
        <row r="548">
          <cell r="B548">
            <v>531</v>
          </cell>
          <cell r="E548">
            <v>0</v>
          </cell>
        </row>
        <row r="549">
          <cell r="B549">
            <v>532</v>
          </cell>
          <cell r="E549">
            <v>0</v>
          </cell>
        </row>
        <row r="550">
          <cell r="B550">
            <v>533</v>
          </cell>
          <cell r="E550">
            <v>0</v>
          </cell>
        </row>
        <row r="551">
          <cell r="B551">
            <v>534</v>
          </cell>
          <cell r="E551">
            <v>0</v>
          </cell>
        </row>
        <row r="552">
          <cell r="B552">
            <v>535</v>
          </cell>
          <cell r="E552">
            <v>0</v>
          </cell>
        </row>
        <row r="553">
          <cell r="B553">
            <v>536</v>
          </cell>
          <cell r="E553">
            <v>0</v>
          </cell>
        </row>
        <row r="554">
          <cell r="B554">
            <v>537</v>
          </cell>
          <cell r="E554">
            <v>0</v>
          </cell>
        </row>
        <row r="555">
          <cell r="B555">
            <v>538</v>
          </cell>
          <cell r="E555">
            <v>0</v>
          </cell>
        </row>
        <row r="556">
          <cell r="B556">
            <v>539</v>
          </cell>
          <cell r="E556">
            <v>0</v>
          </cell>
        </row>
        <row r="557">
          <cell r="B557">
            <v>540</v>
          </cell>
          <cell r="E557">
            <v>0</v>
          </cell>
        </row>
        <row r="558">
          <cell r="B558">
            <v>541</v>
          </cell>
          <cell r="E558">
            <v>0</v>
          </cell>
        </row>
        <row r="559">
          <cell r="B559">
            <v>542</v>
          </cell>
          <cell r="E559">
            <v>0</v>
          </cell>
        </row>
        <row r="560">
          <cell r="B560">
            <v>543</v>
          </cell>
          <cell r="E560">
            <v>0</v>
          </cell>
        </row>
        <row r="561">
          <cell r="B561">
            <v>544</v>
          </cell>
          <cell r="E561">
            <v>0</v>
          </cell>
        </row>
        <row r="562">
          <cell r="B562">
            <v>545</v>
          </cell>
          <cell r="E562">
            <v>0</v>
          </cell>
        </row>
        <row r="563">
          <cell r="B563">
            <v>546</v>
          </cell>
          <cell r="E563">
            <v>0</v>
          </cell>
        </row>
        <row r="564">
          <cell r="B564">
            <v>547</v>
          </cell>
          <cell r="E564">
            <v>0</v>
          </cell>
        </row>
        <row r="565">
          <cell r="B565">
            <v>548</v>
          </cell>
          <cell r="E565">
            <v>0</v>
          </cell>
        </row>
        <row r="566">
          <cell r="B566">
            <v>549</v>
          </cell>
          <cell r="E566">
            <v>0</v>
          </cell>
        </row>
        <row r="567">
          <cell r="B567">
            <v>550</v>
          </cell>
          <cell r="E567">
            <v>0</v>
          </cell>
        </row>
        <row r="568">
          <cell r="B568">
            <v>551</v>
          </cell>
          <cell r="E568">
            <v>0</v>
          </cell>
        </row>
        <row r="569">
          <cell r="B569">
            <v>552</v>
          </cell>
          <cell r="E569">
            <v>0</v>
          </cell>
        </row>
        <row r="570">
          <cell r="B570">
            <v>553</v>
          </cell>
          <cell r="E570">
            <v>0</v>
          </cell>
        </row>
        <row r="571">
          <cell r="B571">
            <v>554</v>
          </cell>
          <cell r="E571">
            <v>0</v>
          </cell>
        </row>
        <row r="572">
          <cell r="B572">
            <v>555</v>
          </cell>
          <cell r="E572">
            <v>0</v>
          </cell>
        </row>
        <row r="573">
          <cell r="B573">
            <v>556</v>
          </cell>
          <cell r="E573">
            <v>0</v>
          </cell>
        </row>
        <row r="574">
          <cell r="B574">
            <v>557</v>
          </cell>
          <cell r="E574">
            <v>0</v>
          </cell>
        </row>
        <row r="575">
          <cell r="B575">
            <v>558</v>
          </cell>
          <cell r="E575">
            <v>0</v>
          </cell>
        </row>
        <row r="576">
          <cell r="B576">
            <v>559</v>
          </cell>
          <cell r="E576">
            <v>0</v>
          </cell>
        </row>
        <row r="577">
          <cell r="B577">
            <v>560</v>
          </cell>
          <cell r="E577">
            <v>0</v>
          </cell>
        </row>
        <row r="578">
          <cell r="B578">
            <v>561</v>
          </cell>
          <cell r="E578">
            <v>0</v>
          </cell>
        </row>
        <row r="579">
          <cell r="B579">
            <v>562</v>
          </cell>
          <cell r="E579">
            <v>0</v>
          </cell>
        </row>
        <row r="580">
          <cell r="B580">
            <v>563</v>
          </cell>
          <cell r="E580">
            <v>0</v>
          </cell>
        </row>
        <row r="581">
          <cell r="B581">
            <v>564</v>
          </cell>
          <cell r="E581">
            <v>0</v>
          </cell>
        </row>
        <row r="582">
          <cell r="B582">
            <v>565</v>
          </cell>
          <cell r="E582">
            <v>0</v>
          </cell>
        </row>
        <row r="583">
          <cell r="B583">
            <v>566</v>
          </cell>
          <cell r="E583">
            <v>0</v>
          </cell>
        </row>
        <row r="584">
          <cell r="B584">
            <v>567</v>
          </cell>
          <cell r="E584">
            <v>0</v>
          </cell>
        </row>
        <row r="585">
          <cell r="B585">
            <v>568</v>
          </cell>
          <cell r="E585">
            <v>0</v>
          </cell>
        </row>
        <row r="586">
          <cell r="B586">
            <v>569</v>
          </cell>
          <cell r="E586">
            <v>0</v>
          </cell>
        </row>
        <row r="587">
          <cell r="B587">
            <v>570</v>
          </cell>
          <cell r="E587">
            <v>0</v>
          </cell>
        </row>
        <row r="588">
          <cell r="B588">
            <v>571</v>
          </cell>
          <cell r="E588">
            <v>0</v>
          </cell>
        </row>
        <row r="589">
          <cell r="B589">
            <v>572</v>
          </cell>
          <cell r="E589">
            <v>0</v>
          </cell>
        </row>
        <row r="590">
          <cell r="B590">
            <v>573</v>
          </cell>
          <cell r="E590">
            <v>0</v>
          </cell>
        </row>
        <row r="591">
          <cell r="B591">
            <v>574</v>
          </cell>
          <cell r="E591">
            <v>0</v>
          </cell>
        </row>
        <row r="592">
          <cell r="B592">
            <v>575</v>
          </cell>
          <cell r="E592">
            <v>0</v>
          </cell>
        </row>
        <row r="593">
          <cell r="B593">
            <v>576</v>
          </cell>
          <cell r="E593">
            <v>0</v>
          </cell>
        </row>
        <row r="594">
          <cell r="B594">
            <v>577</v>
          </cell>
          <cell r="E594">
            <v>0</v>
          </cell>
        </row>
        <row r="595">
          <cell r="B595">
            <v>578</v>
          </cell>
          <cell r="E595">
            <v>0</v>
          </cell>
        </row>
        <row r="596">
          <cell r="B596">
            <v>579</v>
          </cell>
          <cell r="E596">
            <v>0</v>
          </cell>
        </row>
        <row r="597">
          <cell r="B597">
            <v>580</v>
          </cell>
          <cell r="E597">
            <v>0</v>
          </cell>
        </row>
        <row r="598">
          <cell r="B598">
            <v>581</v>
          </cell>
          <cell r="E598">
            <v>0</v>
          </cell>
        </row>
        <row r="599">
          <cell r="B599">
            <v>582</v>
          </cell>
          <cell r="E599">
            <v>0</v>
          </cell>
        </row>
        <row r="600">
          <cell r="B600">
            <v>583</v>
          </cell>
          <cell r="E600">
            <v>0</v>
          </cell>
        </row>
        <row r="601">
          <cell r="B601">
            <v>584</v>
          </cell>
          <cell r="E601">
            <v>0</v>
          </cell>
        </row>
        <row r="602">
          <cell r="B602">
            <v>585</v>
          </cell>
          <cell r="E602">
            <v>0</v>
          </cell>
        </row>
        <row r="603">
          <cell r="B603">
            <v>586</v>
          </cell>
          <cell r="E603">
            <v>0</v>
          </cell>
        </row>
        <row r="604">
          <cell r="B604">
            <v>587</v>
          </cell>
          <cell r="E604">
            <v>0</v>
          </cell>
        </row>
        <row r="605">
          <cell r="B605">
            <v>588</v>
          </cell>
          <cell r="E605">
            <v>0</v>
          </cell>
        </row>
        <row r="606">
          <cell r="B606">
            <v>589</v>
          </cell>
          <cell r="E606">
            <v>0</v>
          </cell>
        </row>
        <row r="607">
          <cell r="B607">
            <v>590</v>
          </cell>
          <cell r="E607">
            <v>0</v>
          </cell>
        </row>
        <row r="608">
          <cell r="B608">
            <v>591</v>
          </cell>
          <cell r="E608">
            <v>0</v>
          </cell>
        </row>
        <row r="609">
          <cell r="B609">
            <v>592</v>
          </cell>
          <cell r="E609">
            <v>0</v>
          </cell>
        </row>
        <row r="610">
          <cell r="B610">
            <v>593</v>
          </cell>
          <cell r="E610">
            <v>0</v>
          </cell>
        </row>
        <row r="611">
          <cell r="B611">
            <v>594</v>
          </cell>
          <cell r="E611">
            <v>0</v>
          </cell>
        </row>
        <row r="612">
          <cell r="B612">
            <v>595</v>
          </cell>
          <cell r="E612">
            <v>0</v>
          </cell>
        </row>
        <row r="613">
          <cell r="B613">
            <v>596</v>
          </cell>
          <cell r="E613">
            <v>0</v>
          </cell>
        </row>
        <row r="614">
          <cell r="B614">
            <v>597</v>
          </cell>
          <cell r="E614">
            <v>0</v>
          </cell>
        </row>
        <row r="615">
          <cell r="B615">
            <v>598</v>
          </cell>
          <cell r="E615">
            <v>0</v>
          </cell>
        </row>
        <row r="616">
          <cell r="B616">
            <v>599</v>
          </cell>
          <cell r="E616">
            <v>0</v>
          </cell>
        </row>
        <row r="617">
          <cell r="B617">
            <v>600</v>
          </cell>
          <cell r="E617">
            <v>0</v>
          </cell>
        </row>
        <row r="618">
          <cell r="B618">
            <v>601</v>
          </cell>
          <cell r="E618">
            <v>0</v>
          </cell>
        </row>
        <row r="619">
          <cell r="B619">
            <v>602</v>
          </cell>
          <cell r="E619">
            <v>0</v>
          </cell>
        </row>
        <row r="620">
          <cell r="B620">
            <v>603</v>
          </cell>
          <cell r="E620">
            <v>0</v>
          </cell>
        </row>
        <row r="621">
          <cell r="B621">
            <v>604</v>
          </cell>
          <cell r="E621">
            <v>0</v>
          </cell>
        </row>
        <row r="622">
          <cell r="B622">
            <v>605</v>
          </cell>
          <cell r="E622">
            <v>0</v>
          </cell>
        </row>
        <row r="623">
          <cell r="B623">
            <v>606</v>
          </cell>
          <cell r="E623">
            <v>0</v>
          </cell>
        </row>
        <row r="624">
          <cell r="B624">
            <v>607</v>
          </cell>
          <cell r="E624">
            <v>0</v>
          </cell>
        </row>
        <row r="625">
          <cell r="B625">
            <v>608</v>
          </cell>
          <cell r="E625">
            <v>0</v>
          </cell>
        </row>
        <row r="626">
          <cell r="B626">
            <v>609</v>
          </cell>
          <cell r="E626">
            <v>0</v>
          </cell>
        </row>
        <row r="627">
          <cell r="B627">
            <v>610</v>
          </cell>
          <cell r="E627">
            <v>0</v>
          </cell>
        </row>
        <row r="628">
          <cell r="B628">
            <v>611</v>
          </cell>
          <cell r="E628">
            <v>0</v>
          </cell>
        </row>
        <row r="629">
          <cell r="B629">
            <v>612</v>
          </cell>
          <cell r="E629">
            <v>0</v>
          </cell>
        </row>
        <row r="630">
          <cell r="B630">
            <v>613</v>
          </cell>
          <cell r="E630">
            <v>0</v>
          </cell>
        </row>
        <row r="631">
          <cell r="B631">
            <v>614</v>
          </cell>
          <cell r="E631">
            <v>0</v>
          </cell>
        </row>
        <row r="632">
          <cell r="B632">
            <v>615</v>
          </cell>
          <cell r="E632">
            <v>0</v>
          </cell>
        </row>
        <row r="633">
          <cell r="B633">
            <v>616</v>
          </cell>
          <cell r="E633">
            <v>0</v>
          </cell>
        </row>
        <row r="634">
          <cell r="B634">
            <v>617</v>
          </cell>
          <cell r="E634">
            <v>0</v>
          </cell>
        </row>
        <row r="635">
          <cell r="B635">
            <v>618</v>
          </cell>
          <cell r="E635">
            <v>0</v>
          </cell>
        </row>
        <row r="636">
          <cell r="B636">
            <v>619</v>
          </cell>
          <cell r="E636">
            <v>0</v>
          </cell>
        </row>
        <row r="637">
          <cell r="B637">
            <v>620</v>
          </cell>
          <cell r="E637">
            <v>0</v>
          </cell>
        </row>
        <row r="638">
          <cell r="B638">
            <v>621</v>
          </cell>
          <cell r="E638">
            <v>0</v>
          </cell>
        </row>
        <row r="639">
          <cell r="B639">
            <v>622</v>
          </cell>
          <cell r="E639">
            <v>0</v>
          </cell>
        </row>
        <row r="640">
          <cell r="B640">
            <v>623</v>
          </cell>
          <cell r="E640">
            <v>0</v>
          </cell>
        </row>
        <row r="641">
          <cell r="B641">
            <v>624</v>
          </cell>
          <cell r="E641">
            <v>0</v>
          </cell>
        </row>
        <row r="642">
          <cell r="B642">
            <v>625</v>
          </cell>
          <cell r="E642">
            <v>0</v>
          </cell>
        </row>
        <row r="643">
          <cell r="B643">
            <v>626</v>
          </cell>
          <cell r="E643">
            <v>0</v>
          </cell>
        </row>
        <row r="644">
          <cell r="B644">
            <v>627</v>
          </cell>
          <cell r="E644">
            <v>0</v>
          </cell>
        </row>
        <row r="645">
          <cell r="B645">
            <v>628</v>
          </cell>
          <cell r="E645">
            <v>0</v>
          </cell>
        </row>
        <row r="646">
          <cell r="B646">
            <v>629</v>
          </cell>
          <cell r="E646">
            <v>0</v>
          </cell>
        </row>
        <row r="647">
          <cell r="B647">
            <v>630</v>
          </cell>
          <cell r="E647">
            <v>0</v>
          </cell>
        </row>
        <row r="648">
          <cell r="B648">
            <v>631</v>
          </cell>
          <cell r="E648">
            <v>0</v>
          </cell>
        </row>
        <row r="649">
          <cell r="B649">
            <v>632</v>
          </cell>
          <cell r="E649">
            <v>0</v>
          </cell>
        </row>
        <row r="650">
          <cell r="B650">
            <v>633</v>
          </cell>
          <cell r="E650">
            <v>0</v>
          </cell>
        </row>
        <row r="651">
          <cell r="B651">
            <v>634</v>
          </cell>
          <cell r="E651">
            <v>0</v>
          </cell>
        </row>
        <row r="652">
          <cell r="B652">
            <v>635</v>
          </cell>
          <cell r="E652">
            <v>0</v>
          </cell>
        </row>
        <row r="653">
          <cell r="B653">
            <v>636</v>
          </cell>
          <cell r="E653">
            <v>0</v>
          </cell>
        </row>
        <row r="654">
          <cell r="B654">
            <v>637</v>
          </cell>
          <cell r="E654">
            <v>0</v>
          </cell>
        </row>
        <row r="655">
          <cell r="B655">
            <v>638</v>
          </cell>
          <cell r="E655">
            <v>0</v>
          </cell>
        </row>
        <row r="656">
          <cell r="B656">
            <v>639</v>
          </cell>
          <cell r="E656">
            <v>0</v>
          </cell>
        </row>
        <row r="657">
          <cell r="B657">
            <v>640</v>
          </cell>
          <cell r="E657">
            <v>0</v>
          </cell>
        </row>
        <row r="658">
          <cell r="B658">
            <v>641</v>
          </cell>
          <cell r="E658">
            <v>0</v>
          </cell>
        </row>
        <row r="659">
          <cell r="B659">
            <v>642</v>
          </cell>
          <cell r="E659">
            <v>0</v>
          </cell>
        </row>
        <row r="660">
          <cell r="B660">
            <v>643</v>
          </cell>
          <cell r="E660">
            <v>0</v>
          </cell>
        </row>
        <row r="661">
          <cell r="B661">
            <v>644</v>
          </cell>
          <cell r="E661">
            <v>0</v>
          </cell>
        </row>
        <row r="662">
          <cell r="B662">
            <v>645</v>
          </cell>
          <cell r="E662">
            <v>0</v>
          </cell>
        </row>
        <row r="663">
          <cell r="B663">
            <v>646</v>
          </cell>
          <cell r="E663">
            <v>0</v>
          </cell>
        </row>
        <row r="664">
          <cell r="B664">
            <v>647</v>
          </cell>
          <cell r="E664">
            <v>0</v>
          </cell>
        </row>
        <row r="665">
          <cell r="B665">
            <v>648</v>
          </cell>
          <cell r="E665">
            <v>0</v>
          </cell>
        </row>
        <row r="666">
          <cell r="B666">
            <v>649</v>
          </cell>
          <cell r="E666">
            <v>0</v>
          </cell>
        </row>
        <row r="667">
          <cell r="B667">
            <v>650</v>
          </cell>
          <cell r="E667">
            <v>0</v>
          </cell>
        </row>
        <row r="668">
          <cell r="B668">
            <v>651</v>
          </cell>
          <cell r="E668">
            <v>0</v>
          </cell>
        </row>
        <row r="669">
          <cell r="B669">
            <v>652</v>
          </cell>
          <cell r="E669">
            <v>0</v>
          </cell>
        </row>
        <row r="670">
          <cell r="B670">
            <v>653</v>
          </cell>
          <cell r="E670">
            <v>0</v>
          </cell>
        </row>
        <row r="671">
          <cell r="B671">
            <v>654</v>
          </cell>
          <cell r="E671">
            <v>0</v>
          </cell>
        </row>
        <row r="672">
          <cell r="B672">
            <v>655</v>
          </cell>
          <cell r="E672">
            <v>0</v>
          </cell>
        </row>
        <row r="673">
          <cell r="B673">
            <v>656</v>
          </cell>
          <cell r="E673">
            <v>0</v>
          </cell>
        </row>
        <row r="674">
          <cell r="B674">
            <v>657</v>
          </cell>
          <cell r="E674">
            <v>0</v>
          </cell>
        </row>
        <row r="675">
          <cell r="B675">
            <v>658</v>
          </cell>
          <cell r="E675">
            <v>0</v>
          </cell>
        </row>
        <row r="676">
          <cell r="B676">
            <v>659</v>
          </cell>
          <cell r="E676">
            <v>0</v>
          </cell>
        </row>
        <row r="677">
          <cell r="B677">
            <v>660</v>
          </cell>
          <cell r="E677">
            <v>0</v>
          </cell>
        </row>
        <row r="678">
          <cell r="B678">
            <v>661</v>
          </cell>
          <cell r="E678">
            <v>0</v>
          </cell>
        </row>
        <row r="679">
          <cell r="B679">
            <v>662</v>
          </cell>
          <cell r="E679">
            <v>0</v>
          </cell>
        </row>
        <row r="680">
          <cell r="B680">
            <v>663</v>
          </cell>
          <cell r="E680">
            <v>0</v>
          </cell>
        </row>
        <row r="681">
          <cell r="B681">
            <v>664</v>
          </cell>
          <cell r="E681">
            <v>0</v>
          </cell>
        </row>
        <row r="682">
          <cell r="B682">
            <v>665</v>
          </cell>
          <cell r="E682">
            <v>0</v>
          </cell>
        </row>
        <row r="683">
          <cell r="B683">
            <v>666</v>
          </cell>
          <cell r="E683">
            <v>0</v>
          </cell>
        </row>
        <row r="684">
          <cell r="B684">
            <v>667</v>
          </cell>
          <cell r="E684">
            <v>0</v>
          </cell>
        </row>
        <row r="685">
          <cell r="B685">
            <v>668</v>
          </cell>
          <cell r="E685">
            <v>0</v>
          </cell>
        </row>
        <row r="686">
          <cell r="B686">
            <v>669</v>
          </cell>
          <cell r="E686">
            <v>0</v>
          </cell>
        </row>
        <row r="687">
          <cell r="B687">
            <v>670</v>
          </cell>
          <cell r="E687">
            <v>0</v>
          </cell>
        </row>
        <row r="688">
          <cell r="B688">
            <v>671</v>
          </cell>
          <cell r="E688">
            <v>0</v>
          </cell>
        </row>
        <row r="689">
          <cell r="B689">
            <v>672</v>
          </cell>
          <cell r="E689">
            <v>0</v>
          </cell>
        </row>
        <row r="690">
          <cell r="B690">
            <v>673</v>
          </cell>
          <cell r="E690">
            <v>0</v>
          </cell>
        </row>
        <row r="691">
          <cell r="B691">
            <v>674</v>
          </cell>
          <cell r="E691">
            <v>0</v>
          </cell>
        </row>
        <row r="692">
          <cell r="B692">
            <v>675</v>
          </cell>
          <cell r="E692">
            <v>0</v>
          </cell>
        </row>
        <row r="693">
          <cell r="B693">
            <v>676</v>
          </cell>
          <cell r="E693">
            <v>0</v>
          </cell>
        </row>
        <row r="694">
          <cell r="B694">
            <v>677</v>
          </cell>
          <cell r="E694">
            <v>0</v>
          </cell>
        </row>
        <row r="695">
          <cell r="B695">
            <v>678</v>
          </cell>
          <cell r="E695">
            <v>0</v>
          </cell>
        </row>
        <row r="696">
          <cell r="B696">
            <v>679</v>
          </cell>
          <cell r="E696">
            <v>0</v>
          </cell>
        </row>
        <row r="697">
          <cell r="B697">
            <v>680</v>
          </cell>
          <cell r="E697">
            <v>0</v>
          </cell>
        </row>
        <row r="698">
          <cell r="B698">
            <v>681</v>
          </cell>
          <cell r="E698">
            <v>0</v>
          </cell>
        </row>
        <row r="699">
          <cell r="B699">
            <v>682</v>
          </cell>
          <cell r="E699">
            <v>0</v>
          </cell>
        </row>
        <row r="700">
          <cell r="B700">
            <v>683</v>
          </cell>
          <cell r="E700">
            <v>0</v>
          </cell>
        </row>
        <row r="701">
          <cell r="B701">
            <v>684</v>
          </cell>
          <cell r="E701">
            <v>0</v>
          </cell>
        </row>
        <row r="702">
          <cell r="B702">
            <v>685</v>
          </cell>
          <cell r="E702">
            <v>0</v>
          </cell>
        </row>
        <row r="703">
          <cell r="B703">
            <v>686</v>
          </cell>
          <cell r="E703">
            <v>0</v>
          </cell>
        </row>
        <row r="704">
          <cell r="B704">
            <v>687</v>
          </cell>
          <cell r="E704">
            <v>0</v>
          </cell>
        </row>
        <row r="705">
          <cell r="B705">
            <v>688</v>
          </cell>
          <cell r="E705">
            <v>0</v>
          </cell>
        </row>
        <row r="706">
          <cell r="B706">
            <v>689</v>
          </cell>
          <cell r="E706">
            <v>0</v>
          </cell>
        </row>
        <row r="707">
          <cell r="B707">
            <v>690</v>
          </cell>
          <cell r="E707">
            <v>0</v>
          </cell>
        </row>
        <row r="708">
          <cell r="B708">
            <v>691</v>
          </cell>
          <cell r="E708">
            <v>0</v>
          </cell>
        </row>
        <row r="709">
          <cell r="B709">
            <v>692</v>
          </cell>
          <cell r="E709">
            <v>0</v>
          </cell>
        </row>
        <row r="710">
          <cell r="B710">
            <v>693</v>
          </cell>
          <cell r="E710">
            <v>0</v>
          </cell>
        </row>
        <row r="711">
          <cell r="B711">
            <v>694</v>
          </cell>
          <cell r="E711">
            <v>0</v>
          </cell>
        </row>
        <row r="712">
          <cell r="B712">
            <v>695</v>
          </cell>
          <cell r="E712">
            <v>0</v>
          </cell>
        </row>
        <row r="713">
          <cell r="B713">
            <v>696</v>
          </cell>
          <cell r="E713">
            <v>0</v>
          </cell>
        </row>
        <row r="714">
          <cell r="B714">
            <v>697</v>
          </cell>
          <cell r="E714">
            <v>0</v>
          </cell>
        </row>
        <row r="715">
          <cell r="B715">
            <v>698</v>
          </cell>
          <cell r="E715">
            <v>0</v>
          </cell>
        </row>
        <row r="716">
          <cell r="B716">
            <v>699</v>
          </cell>
          <cell r="E716">
            <v>0</v>
          </cell>
        </row>
        <row r="717">
          <cell r="B717">
            <v>700</v>
          </cell>
          <cell r="E717">
            <v>0</v>
          </cell>
        </row>
        <row r="718">
          <cell r="B718">
            <v>701</v>
          </cell>
          <cell r="E718">
            <v>0</v>
          </cell>
        </row>
        <row r="719">
          <cell r="B719">
            <v>704</v>
          </cell>
          <cell r="E719">
            <v>0</v>
          </cell>
        </row>
        <row r="720">
          <cell r="B720">
            <v>705</v>
          </cell>
          <cell r="E720">
            <v>0</v>
          </cell>
        </row>
        <row r="721">
          <cell r="B721">
            <v>706</v>
          </cell>
          <cell r="E721">
            <v>0</v>
          </cell>
        </row>
        <row r="722">
          <cell r="B722">
            <v>707</v>
          </cell>
          <cell r="E722">
            <v>0</v>
          </cell>
        </row>
        <row r="723">
          <cell r="B723">
            <v>708</v>
          </cell>
          <cell r="E723">
            <v>0</v>
          </cell>
        </row>
        <row r="724">
          <cell r="B724">
            <v>709</v>
          </cell>
          <cell r="E724">
            <v>0</v>
          </cell>
        </row>
        <row r="725">
          <cell r="B725">
            <v>710</v>
          </cell>
          <cell r="E725">
            <v>0</v>
          </cell>
        </row>
        <row r="726">
          <cell r="B726">
            <v>711</v>
          </cell>
          <cell r="E726">
            <v>0</v>
          </cell>
        </row>
        <row r="727">
          <cell r="B727">
            <v>712</v>
          </cell>
          <cell r="E727">
            <v>0</v>
          </cell>
        </row>
        <row r="728">
          <cell r="B728">
            <v>713</v>
          </cell>
          <cell r="E728">
            <v>0</v>
          </cell>
        </row>
        <row r="729">
          <cell r="B729">
            <v>714</v>
          </cell>
          <cell r="E729">
            <v>0</v>
          </cell>
        </row>
        <row r="730">
          <cell r="B730">
            <v>715</v>
          </cell>
          <cell r="E730">
            <v>0</v>
          </cell>
        </row>
        <row r="731">
          <cell r="B731">
            <v>716</v>
          </cell>
          <cell r="E731">
            <v>0</v>
          </cell>
        </row>
        <row r="732">
          <cell r="B732">
            <v>717</v>
          </cell>
          <cell r="E732">
            <v>0</v>
          </cell>
        </row>
        <row r="733">
          <cell r="B733">
            <v>718</v>
          </cell>
          <cell r="E733">
            <v>0</v>
          </cell>
        </row>
        <row r="734">
          <cell r="B734">
            <v>719</v>
          </cell>
          <cell r="E734">
            <v>0</v>
          </cell>
        </row>
        <row r="735">
          <cell r="B735">
            <v>720</v>
          </cell>
          <cell r="E735">
            <v>0</v>
          </cell>
        </row>
        <row r="736">
          <cell r="B736">
            <v>721</v>
          </cell>
          <cell r="E736">
            <v>0</v>
          </cell>
        </row>
        <row r="737">
          <cell r="B737">
            <v>722</v>
          </cell>
          <cell r="E737">
            <v>0</v>
          </cell>
        </row>
        <row r="738">
          <cell r="B738">
            <v>723</v>
          </cell>
          <cell r="E738">
            <v>0</v>
          </cell>
        </row>
        <row r="739">
          <cell r="B739">
            <v>724</v>
          </cell>
          <cell r="E739">
            <v>0</v>
          </cell>
        </row>
        <row r="740">
          <cell r="B740">
            <v>725</v>
          </cell>
          <cell r="E740">
            <v>0</v>
          </cell>
        </row>
        <row r="741">
          <cell r="B741">
            <v>726</v>
          </cell>
          <cell r="E741">
            <v>0</v>
          </cell>
        </row>
        <row r="742">
          <cell r="B742">
            <v>727</v>
          </cell>
          <cell r="E742">
            <v>0</v>
          </cell>
        </row>
        <row r="743">
          <cell r="B743">
            <v>728</v>
          </cell>
          <cell r="E743">
            <v>0</v>
          </cell>
        </row>
        <row r="744">
          <cell r="B744">
            <v>729</v>
          </cell>
          <cell r="E744">
            <v>0</v>
          </cell>
        </row>
        <row r="745">
          <cell r="B745">
            <v>730</v>
          </cell>
          <cell r="E745">
            <v>0</v>
          </cell>
        </row>
        <row r="746">
          <cell r="B746">
            <v>731</v>
          </cell>
          <cell r="E746">
            <v>0</v>
          </cell>
        </row>
        <row r="747">
          <cell r="B747">
            <v>732</v>
          </cell>
          <cell r="E747">
            <v>0</v>
          </cell>
        </row>
        <row r="748">
          <cell r="B748">
            <v>733</v>
          </cell>
          <cell r="E748">
            <v>0</v>
          </cell>
        </row>
        <row r="749">
          <cell r="B749">
            <v>734</v>
          </cell>
          <cell r="E749">
            <v>0</v>
          </cell>
        </row>
        <row r="750">
          <cell r="B750">
            <v>735</v>
          </cell>
          <cell r="E750">
            <v>0</v>
          </cell>
        </row>
        <row r="751">
          <cell r="B751">
            <v>736</v>
          </cell>
          <cell r="E751">
            <v>0</v>
          </cell>
        </row>
        <row r="752">
          <cell r="B752">
            <v>737</v>
          </cell>
          <cell r="E752">
            <v>0</v>
          </cell>
        </row>
        <row r="753">
          <cell r="B753">
            <v>738</v>
          </cell>
          <cell r="E753">
            <v>0</v>
          </cell>
        </row>
        <row r="754">
          <cell r="B754">
            <v>739</v>
          </cell>
          <cell r="E754">
            <v>0</v>
          </cell>
        </row>
        <row r="755">
          <cell r="B755">
            <v>740</v>
          </cell>
          <cell r="E755">
            <v>0</v>
          </cell>
        </row>
        <row r="756">
          <cell r="B756">
            <v>741</v>
          </cell>
          <cell r="E756">
            <v>0</v>
          </cell>
        </row>
        <row r="757">
          <cell r="B757">
            <v>742</v>
          </cell>
          <cell r="E757">
            <v>0</v>
          </cell>
        </row>
        <row r="758">
          <cell r="B758">
            <v>743</v>
          </cell>
          <cell r="E758">
            <v>0</v>
          </cell>
        </row>
        <row r="759">
          <cell r="B759">
            <v>744</v>
          </cell>
          <cell r="E759">
            <v>0</v>
          </cell>
        </row>
        <row r="760">
          <cell r="B760">
            <v>745</v>
          </cell>
          <cell r="E760">
            <v>0</v>
          </cell>
        </row>
        <row r="761">
          <cell r="B761">
            <v>746</v>
          </cell>
          <cell r="E761">
            <v>0</v>
          </cell>
        </row>
        <row r="762">
          <cell r="B762">
            <v>747</v>
          </cell>
          <cell r="E762">
            <v>0</v>
          </cell>
        </row>
        <row r="763">
          <cell r="B763">
            <v>748</v>
          </cell>
          <cell r="E763">
            <v>0</v>
          </cell>
        </row>
        <row r="764">
          <cell r="B764">
            <v>749</v>
          </cell>
          <cell r="E764">
            <v>0</v>
          </cell>
        </row>
        <row r="765">
          <cell r="B765">
            <v>750</v>
          </cell>
          <cell r="E765">
            <v>0</v>
          </cell>
        </row>
        <row r="766">
          <cell r="B766">
            <v>751</v>
          </cell>
          <cell r="E766">
            <v>0</v>
          </cell>
        </row>
        <row r="767">
          <cell r="B767">
            <v>752</v>
          </cell>
          <cell r="E767">
            <v>0</v>
          </cell>
        </row>
        <row r="768">
          <cell r="B768">
            <v>753</v>
          </cell>
          <cell r="E768">
            <v>0</v>
          </cell>
        </row>
        <row r="769">
          <cell r="B769">
            <v>754</v>
          </cell>
          <cell r="E769">
            <v>0</v>
          </cell>
        </row>
        <row r="770">
          <cell r="B770">
            <v>755</v>
          </cell>
          <cell r="E770">
            <v>0</v>
          </cell>
        </row>
        <row r="771">
          <cell r="B771">
            <v>756</v>
          </cell>
          <cell r="E771">
            <v>0</v>
          </cell>
        </row>
        <row r="772">
          <cell r="B772">
            <v>757</v>
          </cell>
          <cell r="E772">
            <v>0</v>
          </cell>
        </row>
        <row r="773">
          <cell r="B773">
            <v>758</v>
          </cell>
          <cell r="E773">
            <v>0</v>
          </cell>
        </row>
        <row r="774">
          <cell r="B774">
            <v>759</v>
          </cell>
          <cell r="E774">
            <v>0</v>
          </cell>
        </row>
        <row r="775">
          <cell r="B775">
            <v>760</v>
          </cell>
          <cell r="E775">
            <v>0</v>
          </cell>
        </row>
        <row r="776">
          <cell r="B776">
            <v>761</v>
          </cell>
          <cell r="E776">
            <v>0</v>
          </cell>
        </row>
        <row r="777">
          <cell r="B777">
            <v>762</v>
          </cell>
          <cell r="E777">
            <v>0</v>
          </cell>
        </row>
        <row r="778">
          <cell r="B778">
            <v>763</v>
          </cell>
          <cell r="E778">
            <v>0</v>
          </cell>
        </row>
        <row r="779">
          <cell r="B779">
            <v>764</v>
          </cell>
          <cell r="E779">
            <v>0</v>
          </cell>
        </row>
        <row r="780">
          <cell r="B780">
            <v>765</v>
          </cell>
          <cell r="E780">
            <v>0</v>
          </cell>
        </row>
        <row r="781">
          <cell r="B781">
            <v>766</v>
          </cell>
          <cell r="E781">
            <v>0</v>
          </cell>
        </row>
        <row r="782">
          <cell r="B782">
            <v>767</v>
          </cell>
          <cell r="E782">
            <v>0</v>
          </cell>
        </row>
        <row r="783">
          <cell r="B783">
            <v>768</v>
          </cell>
          <cell r="E783">
            <v>0</v>
          </cell>
        </row>
        <row r="784">
          <cell r="B784">
            <v>769</v>
          </cell>
          <cell r="E784">
            <v>0</v>
          </cell>
        </row>
        <row r="785">
          <cell r="B785">
            <v>770</v>
          </cell>
          <cell r="E785">
            <v>0</v>
          </cell>
        </row>
        <row r="786">
          <cell r="B786">
            <v>771</v>
          </cell>
          <cell r="E786">
            <v>0</v>
          </cell>
        </row>
        <row r="787">
          <cell r="B787">
            <v>772</v>
          </cell>
          <cell r="E787">
            <v>0</v>
          </cell>
        </row>
        <row r="788">
          <cell r="B788">
            <v>773</v>
          </cell>
          <cell r="E788">
            <v>0</v>
          </cell>
        </row>
        <row r="789">
          <cell r="B789">
            <v>774</v>
          </cell>
          <cell r="E789">
            <v>0</v>
          </cell>
        </row>
        <row r="790">
          <cell r="B790">
            <v>775</v>
          </cell>
          <cell r="E790">
            <v>0</v>
          </cell>
        </row>
        <row r="791">
          <cell r="B791">
            <v>776</v>
          </cell>
          <cell r="E791">
            <v>0</v>
          </cell>
        </row>
        <row r="792">
          <cell r="B792">
            <v>777</v>
          </cell>
          <cell r="E792">
            <v>0</v>
          </cell>
        </row>
        <row r="793">
          <cell r="B793">
            <v>778</v>
          </cell>
          <cell r="E793">
            <v>0</v>
          </cell>
        </row>
        <row r="794">
          <cell r="B794">
            <v>779</v>
          </cell>
          <cell r="E794">
            <v>0</v>
          </cell>
        </row>
        <row r="795">
          <cell r="B795">
            <v>780</v>
          </cell>
          <cell r="E795">
            <v>0</v>
          </cell>
        </row>
        <row r="796">
          <cell r="B796">
            <v>781</v>
          </cell>
          <cell r="E796">
            <v>0</v>
          </cell>
        </row>
        <row r="797">
          <cell r="B797">
            <v>782</v>
          </cell>
          <cell r="E797">
            <v>0</v>
          </cell>
        </row>
        <row r="798">
          <cell r="B798">
            <v>783</v>
          </cell>
          <cell r="E798">
            <v>0</v>
          </cell>
        </row>
        <row r="799">
          <cell r="B799">
            <v>784</v>
          </cell>
          <cell r="E799">
            <v>0</v>
          </cell>
        </row>
        <row r="800">
          <cell r="B800">
            <v>785</v>
          </cell>
          <cell r="E800">
            <v>0</v>
          </cell>
        </row>
        <row r="801">
          <cell r="B801">
            <v>786</v>
          </cell>
          <cell r="E801">
            <v>0</v>
          </cell>
        </row>
        <row r="802">
          <cell r="B802">
            <v>787</v>
          </cell>
          <cell r="E802">
            <v>0</v>
          </cell>
        </row>
        <row r="803">
          <cell r="B803">
            <v>788</v>
          </cell>
          <cell r="E803">
            <v>0</v>
          </cell>
        </row>
        <row r="804">
          <cell r="B804">
            <v>789</v>
          </cell>
          <cell r="E804">
            <v>0</v>
          </cell>
        </row>
        <row r="805">
          <cell r="B805">
            <v>790</v>
          </cell>
          <cell r="E805">
            <v>0</v>
          </cell>
        </row>
        <row r="806">
          <cell r="B806">
            <v>791</v>
          </cell>
          <cell r="E806">
            <v>0</v>
          </cell>
        </row>
        <row r="807">
          <cell r="B807">
            <v>792</v>
          </cell>
          <cell r="E807">
            <v>0</v>
          </cell>
        </row>
        <row r="808">
          <cell r="B808">
            <v>793</v>
          </cell>
          <cell r="E808">
            <v>0</v>
          </cell>
        </row>
        <row r="809">
          <cell r="B809">
            <v>794</v>
          </cell>
          <cell r="E809">
            <v>0</v>
          </cell>
        </row>
        <row r="810">
          <cell r="B810">
            <v>795</v>
          </cell>
          <cell r="E810">
            <v>0</v>
          </cell>
        </row>
        <row r="811">
          <cell r="B811">
            <v>796</v>
          </cell>
          <cell r="E811">
            <v>0</v>
          </cell>
        </row>
        <row r="812">
          <cell r="B812">
            <v>797</v>
          </cell>
          <cell r="E812">
            <v>0</v>
          </cell>
        </row>
        <row r="813">
          <cell r="B813">
            <v>798</v>
          </cell>
          <cell r="E813">
            <v>0</v>
          </cell>
        </row>
        <row r="814">
          <cell r="B814">
            <v>799</v>
          </cell>
          <cell r="E814">
            <v>0</v>
          </cell>
        </row>
        <row r="815">
          <cell r="B815">
            <v>800</v>
          </cell>
          <cell r="E815">
            <v>0</v>
          </cell>
        </row>
        <row r="816">
          <cell r="B816">
            <v>801</v>
          </cell>
          <cell r="E816">
            <v>0</v>
          </cell>
        </row>
        <row r="817">
          <cell r="B817">
            <v>802</v>
          </cell>
          <cell r="E817">
            <v>0</v>
          </cell>
        </row>
        <row r="818">
          <cell r="B818">
            <v>803</v>
          </cell>
          <cell r="E818">
            <v>0</v>
          </cell>
        </row>
        <row r="819">
          <cell r="B819">
            <v>804</v>
          </cell>
          <cell r="E819">
            <v>0</v>
          </cell>
        </row>
        <row r="820">
          <cell r="B820">
            <v>805</v>
          </cell>
          <cell r="E820">
            <v>0</v>
          </cell>
        </row>
        <row r="821">
          <cell r="B821">
            <v>806</v>
          </cell>
          <cell r="E821">
            <v>0</v>
          </cell>
        </row>
        <row r="822">
          <cell r="B822">
            <v>807</v>
          </cell>
          <cell r="E822">
            <v>0</v>
          </cell>
        </row>
        <row r="823">
          <cell r="B823">
            <v>808</v>
          </cell>
          <cell r="E823">
            <v>0</v>
          </cell>
        </row>
        <row r="824">
          <cell r="B824">
            <v>809</v>
          </cell>
          <cell r="E824">
            <v>0</v>
          </cell>
        </row>
        <row r="825">
          <cell r="B825">
            <v>810</v>
          </cell>
          <cell r="E825">
            <v>0</v>
          </cell>
        </row>
        <row r="826">
          <cell r="B826">
            <v>811</v>
          </cell>
          <cell r="E826">
            <v>0</v>
          </cell>
        </row>
        <row r="827">
          <cell r="B827">
            <v>812</v>
          </cell>
          <cell r="E827">
            <v>0</v>
          </cell>
        </row>
        <row r="828">
          <cell r="B828">
            <v>813</v>
          </cell>
          <cell r="E828">
            <v>0</v>
          </cell>
        </row>
        <row r="829">
          <cell r="B829">
            <v>814</v>
          </cell>
          <cell r="E829">
            <v>0</v>
          </cell>
        </row>
        <row r="830">
          <cell r="B830">
            <v>815</v>
          </cell>
          <cell r="E830">
            <v>0</v>
          </cell>
        </row>
        <row r="831">
          <cell r="B831">
            <v>816</v>
          </cell>
          <cell r="E831">
            <v>0</v>
          </cell>
        </row>
        <row r="832">
          <cell r="B832">
            <v>817</v>
          </cell>
          <cell r="E832">
            <v>0</v>
          </cell>
        </row>
        <row r="833">
          <cell r="B833">
            <v>818</v>
          </cell>
          <cell r="E833">
            <v>0</v>
          </cell>
        </row>
        <row r="834">
          <cell r="B834">
            <v>819</v>
          </cell>
          <cell r="E834">
            <v>0</v>
          </cell>
        </row>
        <row r="835">
          <cell r="B835">
            <v>820</v>
          </cell>
          <cell r="E835">
            <v>0</v>
          </cell>
        </row>
        <row r="836">
          <cell r="B836">
            <v>821</v>
          </cell>
          <cell r="E836">
            <v>0</v>
          </cell>
        </row>
        <row r="837">
          <cell r="B837">
            <v>822</v>
          </cell>
          <cell r="E837">
            <v>0</v>
          </cell>
        </row>
        <row r="838">
          <cell r="B838">
            <v>823</v>
          </cell>
          <cell r="E838">
            <v>0</v>
          </cell>
        </row>
        <row r="839">
          <cell r="B839">
            <v>824</v>
          </cell>
          <cell r="E839">
            <v>0</v>
          </cell>
        </row>
        <row r="840">
          <cell r="B840">
            <v>825</v>
          </cell>
          <cell r="E840">
            <v>0</v>
          </cell>
        </row>
        <row r="841">
          <cell r="B841">
            <v>826</v>
          </cell>
          <cell r="E841">
            <v>0</v>
          </cell>
        </row>
        <row r="842">
          <cell r="B842">
            <v>827</v>
          </cell>
          <cell r="E842">
            <v>0</v>
          </cell>
        </row>
        <row r="843">
          <cell r="B843">
            <v>828</v>
          </cell>
          <cell r="E843">
            <v>0</v>
          </cell>
        </row>
        <row r="844">
          <cell r="B844">
            <v>829</v>
          </cell>
          <cell r="E844">
            <v>0</v>
          </cell>
        </row>
        <row r="845">
          <cell r="B845">
            <v>830</v>
          </cell>
          <cell r="E845">
            <v>0</v>
          </cell>
        </row>
        <row r="846">
          <cell r="B846">
            <v>831</v>
          </cell>
          <cell r="E846">
            <v>0</v>
          </cell>
        </row>
        <row r="847">
          <cell r="B847">
            <v>832</v>
          </cell>
          <cell r="E847">
            <v>0</v>
          </cell>
        </row>
        <row r="848">
          <cell r="B848">
            <v>833</v>
          </cell>
          <cell r="E848">
            <v>0</v>
          </cell>
        </row>
        <row r="849">
          <cell r="B849">
            <v>834</v>
          </cell>
          <cell r="E849">
            <v>0</v>
          </cell>
        </row>
        <row r="850">
          <cell r="B850">
            <v>835</v>
          </cell>
          <cell r="E850">
            <v>0</v>
          </cell>
        </row>
        <row r="851">
          <cell r="B851">
            <v>836</v>
          </cell>
          <cell r="E851">
            <v>0</v>
          </cell>
        </row>
        <row r="852">
          <cell r="B852">
            <v>837</v>
          </cell>
          <cell r="E852">
            <v>0</v>
          </cell>
        </row>
        <row r="853">
          <cell r="B853">
            <v>838</v>
          </cell>
          <cell r="E853">
            <v>0</v>
          </cell>
        </row>
        <row r="854">
          <cell r="B854">
            <v>839</v>
          </cell>
          <cell r="E854">
            <v>0</v>
          </cell>
        </row>
        <row r="855">
          <cell r="B855">
            <v>840</v>
          </cell>
          <cell r="E855">
            <v>0</v>
          </cell>
        </row>
        <row r="856">
          <cell r="B856">
            <v>841</v>
          </cell>
          <cell r="E856">
            <v>0</v>
          </cell>
        </row>
        <row r="857">
          <cell r="B857">
            <v>842</v>
          </cell>
          <cell r="E857">
            <v>0</v>
          </cell>
        </row>
        <row r="858">
          <cell r="B858">
            <v>843</v>
          </cell>
          <cell r="E858">
            <v>0</v>
          </cell>
        </row>
        <row r="859">
          <cell r="B859">
            <v>844</v>
          </cell>
          <cell r="E859">
            <v>0</v>
          </cell>
        </row>
        <row r="860">
          <cell r="B860">
            <v>845</v>
          </cell>
          <cell r="E860">
            <v>0</v>
          </cell>
        </row>
        <row r="861">
          <cell r="B861">
            <v>846</v>
          </cell>
          <cell r="E861">
            <v>0</v>
          </cell>
        </row>
        <row r="862">
          <cell r="B862">
            <v>847</v>
          </cell>
          <cell r="E862">
            <v>0</v>
          </cell>
        </row>
        <row r="863">
          <cell r="B863">
            <v>848</v>
          </cell>
          <cell r="E863">
            <v>0</v>
          </cell>
        </row>
        <row r="864">
          <cell r="B864">
            <v>849</v>
          </cell>
          <cell r="E864">
            <v>0</v>
          </cell>
        </row>
        <row r="865">
          <cell r="B865">
            <v>850</v>
          </cell>
          <cell r="E865">
            <v>0</v>
          </cell>
        </row>
        <row r="866">
          <cell r="B866">
            <v>851</v>
          </cell>
          <cell r="E866">
            <v>0</v>
          </cell>
        </row>
        <row r="867">
          <cell r="B867">
            <v>852</v>
          </cell>
          <cell r="E867">
            <v>0</v>
          </cell>
        </row>
        <row r="868">
          <cell r="B868">
            <v>853</v>
          </cell>
          <cell r="E868">
            <v>0</v>
          </cell>
        </row>
        <row r="869">
          <cell r="B869">
            <v>854</v>
          </cell>
          <cell r="E869">
            <v>0</v>
          </cell>
        </row>
        <row r="870">
          <cell r="B870">
            <v>855</v>
          </cell>
          <cell r="E870">
            <v>0</v>
          </cell>
        </row>
        <row r="871">
          <cell r="B871">
            <v>856</v>
          </cell>
          <cell r="E871">
            <v>0</v>
          </cell>
        </row>
        <row r="872">
          <cell r="B872">
            <v>857</v>
          </cell>
          <cell r="E872">
            <v>0</v>
          </cell>
        </row>
        <row r="873">
          <cell r="B873">
            <v>858</v>
          </cell>
          <cell r="E873">
            <v>0</v>
          </cell>
        </row>
        <row r="874">
          <cell r="B874">
            <v>859</v>
          </cell>
          <cell r="E874">
            <v>0</v>
          </cell>
        </row>
        <row r="875">
          <cell r="B875">
            <v>860</v>
          </cell>
          <cell r="E875">
            <v>0</v>
          </cell>
        </row>
        <row r="876">
          <cell r="B876">
            <v>861</v>
          </cell>
          <cell r="E876">
            <v>0</v>
          </cell>
        </row>
        <row r="877">
          <cell r="B877">
            <v>862</v>
          </cell>
          <cell r="E877">
            <v>0</v>
          </cell>
        </row>
        <row r="878">
          <cell r="B878">
            <v>863</v>
          </cell>
          <cell r="E878">
            <v>0</v>
          </cell>
        </row>
        <row r="879">
          <cell r="B879">
            <v>864</v>
          </cell>
          <cell r="E879">
            <v>0</v>
          </cell>
        </row>
        <row r="880">
          <cell r="B880">
            <v>865</v>
          </cell>
          <cell r="E880">
            <v>0</v>
          </cell>
        </row>
        <row r="881">
          <cell r="B881">
            <v>866</v>
          </cell>
          <cell r="E881">
            <v>0</v>
          </cell>
        </row>
        <row r="882">
          <cell r="B882">
            <v>867</v>
          </cell>
          <cell r="E882">
            <v>0</v>
          </cell>
        </row>
        <row r="883">
          <cell r="B883">
            <v>868</v>
          </cell>
          <cell r="E883">
            <v>0</v>
          </cell>
        </row>
        <row r="884">
          <cell r="B884">
            <v>869</v>
          </cell>
          <cell r="E884">
            <v>0</v>
          </cell>
        </row>
        <row r="885">
          <cell r="B885">
            <v>870</v>
          </cell>
          <cell r="E885">
            <v>0</v>
          </cell>
        </row>
        <row r="886">
          <cell r="B886">
            <v>871</v>
          </cell>
          <cell r="E886">
            <v>0</v>
          </cell>
        </row>
        <row r="887">
          <cell r="B887">
            <v>872</v>
          </cell>
          <cell r="E887">
            <v>0</v>
          </cell>
        </row>
        <row r="888">
          <cell r="B888">
            <v>873</v>
          </cell>
          <cell r="E888">
            <v>0</v>
          </cell>
        </row>
        <row r="889">
          <cell r="B889">
            <v>874</v>
          </cell>
          <cell r="E889">
            <v>0</v>
          </cell>
        </row>
        <row r="890">
          <cell r="B890">
            <v>875</v>
          </cell>
          <cell r="E890">
            <v>0</v>
          </cell>
        </row>
        <row r="891">
          <cell r="B891">
            <v>876</v>
          </cell>
          <cell r="E891">
            <v>0</v>
          </cell>
        </row>
        <row r="892">
          <cell r="B892">
            <v>877</v>
          </cell>
          <cell r="E892">
            <v>0</v>
          </cell>
        </row>
        <row r="893">
          <cell r="B893">
            <v>878</v>
          </cell>
          <cell r="E893">
            <v>0</v>
          </cell>
        </row>
        <row r="894">
          <cell r="B894">
            <v>879</v>
          </cell>
          <cell r="E894">
            <v>0</v>
          </cell>
        </row>
        <row r="895">
          <cell r="B895">
            <v>880</v>
          </cell>
          <cell r="E895">
            <v>0</v>
          </cell>
        </row>
        <row r="896">
          <cell r="B896">
            <v>881</v>
          </cell>
          <cell r="E896">
            <v>0</v>
          </cell>
        </row>
        <row r="897">
          <cell r="B897">
            <v>882</v>
          </cell>
          <cell r="E897">
            <v>0</v>
          </cell>
        </row>
        <row r="898">
          <cell r="B898">
            <v>883</v>
          </cell>
          <cell r="E898">
            <v>0</v>
          </cell>
        </row>
        <row r="899">
          <cell r="B899">
            <v>884</v>
          </cell>
          <cell r="E899">
            <v>0</v>
          </cell>
        </row>
        <row r="900">
          <cell r="B900">
            <v>885</v>
          </cell>
          <cell r="E900">
            <v>0</v>
          </cell>
        </row>
        <row r="901">
          <cell r="B901">
            <v>886</v>
          </cell>
          <cell r="E901">
            <v>0</v>
          </cell>
        </row>
        <row r="902">
          <cell r="B902">
            <v>887</v>
          </cell>
          <cell r="E902">
            <v>0</v>
          </cell>
        </row>
        <row r="903">
          <cell r="B903">
            <v>888</v>
          </cell>
          <cell r="E903">
            <v>0</v>
          </cell>
        </row>
        <row r="904">
          <cell r="B904">
            <v>889</v>
          </cell>
          <cell r="E904">
            <v>0</v>
          </cell>
        </row>
        <row r="905">
          <cell r="B905">
            <v>890</v>
          </cell>
          <cell r="E905">
            <v>0</v>
          </cell>
        </row>
        <row r="906">
          <cell r="B906">
            <v>891</v>
          </cell>
          <cell r="E906">
            <v>0</v>
          </cell>
        </row>
        <row r="907">
          <cell r="B907">
            <v>892</v>
          </cell>
          <cell r="E907">
            <v>0</v>
          </cell>
        </row>
        <row r="908">
          <cell r="B908">
            <v>893</v>
          </cell>
          <cell r="E908">
            <v>0</v>
          </cell>
        </row>
        <row r="909">
          <cell r="B909">
            <v>894</v>
          </cell>
          <cell r="E909">
            <v>0</v>
          </cell>
        </row>
        <row r="910">
          <cell r="B910">
            <v>895</v>
          </cell>
          <cell r="E910">
            <v>0</v>
          </cell>
        </row>
        <row r="911">
          <cell r="B911">
            <v>896</v>
          </cell>
          <cell r="E911">
            <v>0</v>
          </cell>
        </row>
        <row r="912">
          <cell r="B912">
            <v>897</v>
          </cell>
          <cell r="E912">
            <v>0</v>
          </cell>
        </row>
        <row r="913">
          <cell r="B913">
            <v>898</v>
          </cell>
          <cell r="E913">
            <v>0</v>
          </cell>
        </row>
        <row r="914">
          <cell r="B914">
            <v>899</v>
          </cell>
          <cell r="E914">
            <v>0</v>
          </cell>
        </row>
        <row r="915">
          <cell r="B915">
            <v>900</v>
          </cell>
          <cell r="E915">
            <v>0</v>
          </cell>
        </row>
        <row r="916">
          <cell r="B916">
            <v>901</v>
          </cell>
          <cell r="E916">
            <v>0</v>
          </cell>
        </row>
        <row r="917">
          <cell r="B917">
            <v>902</v>
          </cell>
          <cell r="E917">
            <v>0</v>
          </cell>
        </row>
        <row r="918">
          <cell r="B918">
            <v>903</v>
          </cell>
          <cell r="E918">
            <v>0</v>
          </cell>
        </row>
        <row r="919">
          <cell r="B919">
            <v>904</v>
          </cell>
          <cell r="E919">
            <v>0</v>
          </cell>
        </row>
        <row r="920">
          <cell r="B920">
            <v>905</v>
          </cell>
          <cell r="E920">
            <v>0</v>
          </cell>
        </row>
        <row r="921">
          <cell r="B921">
            <v>906</v>
          </cell>
          <cell r="E921">
            <v>0</v>
          </cell>
        </row>
        <row r="922">
          <cell r="B922">
            <v>907</v>
          </cell>
          <cell r="E922">
            <v>0</v>
          </cell>
        </row>
        <row r="923">
          <cell r="B923">
            <v>908</v>
          </cell>
          <cell r="E923">
            <v>0</v>
          </cell>
        </row>
        <row r="924">
          <cell r="B924">
            <v>909</v>
          </cell>
          <cell r="E924">
            <v>0</v>
          </cell>
        </row>
        <row r="925">
          <cell r="B925">
            <v>910</v>
          </cell>
          <cell r="E925">
            <v>0</v>
          </cell>
        </row>
        <row r="926">
          <cell r="B926">
            <v>911</v>
          </cell>
          <cell r="E926">
            <v>0</v>
          </cell>
        </row>
        <row r="927">
          <cell r="B927">
            <v>912</v>
          </cell>
          <cell r="E927">
            <v>0</v>
          </cell>
        </row>
        <row r="928">
          <cell r="B928">
            <v>913</v>
          </cell>
          <cell r="E928">
            <v>0</v>
          </cell>
        </row>
        <row r="929">
          <cell r="B929">
            <v>914</v>
          </cell>
          <cell r="E929">
            <v>0</v>
          </cell>
        </row>
        <row r="930">
          <cell r="B930">
            <v>915</v>
          </cell>
          <cell r="E930">
            <v>0</v>
          </cell>
        </row>
        <row r="931">
          <cell r="B931">
            <v>916</v>
          </cell>
          <cell r="E931">
            <v>0</v>
          </cell>
        </row>
        <row r="932">
          <cell r="B932">
            <v>917</v>
          </cell>
          <cell r="E932">
            <v>0</v>
          </cell>
        </row>
        <row r="933">
          <cell r="B933">
            <v>918</v>
          </cell>
          <cell r="E933">
            <v>0</v>
          </cell>
        </row>
        <row r="934">
          <cell r="B934">
            <v>919</v>
          </cell>
          <cell r="E934">
            <v>0</v>
          </cell>
        </row>
        <row r="935">
          <cell r="B935">
            <v>920</v>
          </cell>
          <cell r="E935">
            <v>0</v>
          </cell>
        </row>
        <row r="936">
          <cell r="B936">
            <v>921</v>
          </cell>
          <cell r="E936">
            <v>0</v>
          </cell>
        </row>
        <row r="937">
          <cell r="B937">
            <v>922</v>
          </cell>
          <cell r="E937">
            <v>0</v>
          </cell>
        </row>
        <row r="938">
          <cell r="B938">
            <v>923</v>
          </cell>
          <cell r="E938">
            <v>0</v>
          </cell>
        </row>
        <row r="939">
          <cell r="B939">
            <v>924</v>
          </cell>
          <cell r="E939">
            <v>0</v>
          </cell>
        </row>
        <row r="940">
          <cell r="B940">
            <v>925</v>
          </cell>
          <cell r="E940">
            <v>0</v>
          </cell>
        </row>
        <row r="941">
          <cell r="B941">
            <v>926</v>
          </cell>
          <cell r="E941">
            <v>0</v>
          </cell>
        </row>
        <row r="942">
          <cell r="B942">
            <v>927</v>
          </cell>
          <cell r="E942">
            <v>0</v>
          </cell>
        </row>
        <row r="943">
          <cell r="B943">
            <v>928</v>
          </cell>
          <cell r="E943">
            <v>0</v>
          </cell>
        </row>
        <row r="944">
          <cell r="B944">
            <v>929</v>
          </cell>
          <cell r="E944">
            <v>0</v>
          </cell>
        </row>
        <row r="945">
          <cell r="B945">
            <v>930</v>
          </cell>
          <cell r="E945">
            <v>0</v>
          </cell>
        </row>
        <row r="946">
          <cell r="B946">
            <v>931</v>
          </cell>
          <cell r="E946">
            <v>0</v>
          </cell>
        </row>
        <row r="947">
          <cell r="B947">
            <v>932</v>
          </cell>
          <cell r="E947">
            <v>0</v>
          </cell>
        </row>
        <row r="948">
          <cell r="B948">
            <v>933</v>
          </cell>
          <cell r="E948">
            <v>0</v>
          </cell>
        </row>
        <row r="949">
          <cell r="B949">
            <v>934</v>
          </cell>
          <cell r="E949">
            <v>0</v>
          </cell>
        </row>
        <row r="950">
          <cell r="B950">
            <v>935</v>
          </cell>
          <cell r="E950">
            <v>0</v>
          </cell>
        </row>
        <row r="951">
          <cell r="B951">
            <v>936</v>
          </cell>
          <cell r="E951">
            <v>0</v>
          </cell>
        </row>
        <row r="952">
          <cell r="B952">
            <v>937</v>
          </cell>
          <cell r="E952">
            <v>0</v>
          </cell>
        </row>
        <row r="953">
          <cell r="B953">
            <v>938</v>
          </cell>
          <cell r="E953">
            <v>0</v>
          </cell>
        </row>
        <row r="954">
          <cell r="B954">
            <v>939</v>
          </cell>
          <cell r="E954">
            <v>0</v>
          </cell>
        </row>
        <row r="955">
          <cell r="B955">
            <v>940</v>
          </cell>
          <cell r="E955">
            <v>0</v>
          </cell>
        </row>
        <row r="956">
          <cell r="B956">
            <v>941</v>
          </cell>
          <cell r="E956">
            <v>0</v>
          </cell>
        </row>
        <row r="957">
          <cell r="B957">
            <v>942</v>
          </cell>
          <cell r="E957">
            <v>0</v>
          </cell>
        </row>
        <row r="958">
          <cell r="B958">
            <v>943</v>
          </cell>
          <cell r="E958">
            <v>0</v>
          </cell>
        </row>
        <row r="959">
          <cell r="B959">
            <v>944</v>
          </cell>
          <cell r="E959">
            <v>0</v>
          </cell>
        </row>
        <row r="960">
          <cell r="B960">
            <v>945</v>
          </cell>
          <cell r="E960">
            <v>0</v>
          </cell>
        </row>
        <row r="961">
          <cell r="B961">
            <v>946</v>
          </cell>
          <cell r="E961">
            <v>0</v>
          </cell>
        </row>
        <row r="962">
          <cell r="B962">
            <v>947</v>
          </cell>
          <cell r="E962">
            <v>0</v>
          </cell>
        </row>
        <row r="963">
          <cell r="B963">
            <v>948</v>
          </cell>
          <cell r="E963">
            <v>0</v>
          </cell>
        </row>
        <row r="964">
          <cell r="B964">
            <v>949</v>
          </cell>
          <cell r="E964">
            <v>0</v>
          </cell>
        </row>
        <row r="965">
          <cell r="B965">
            <v>950</v>
          </cell>
          <cell r="E965">
            <v>0</v>
          </cell>
        </row>
        <row r="966">
          <cell r="E966">
            <v>0</v>
          </cell>
        </row>
      </sheetData>
      <sheetData sheetId="5" refreshError="1">
        <row r="17">
          <cell r="B17">
            <v>1</v>
          </cell>
          <cell r="C17" t="str">
            <v>MECANICO IV</v>
          </cell>
          <cell r="D17">
            <v>213845.76519813272</v>
          </cell>
          <cell r="E17">
            <v>27104.962500000001</v>
          </cell>
          <cell r="F17">
            <v>1</v>
          </cell>
          <cell r="G17">
            <v>213845.76519813272</v>
          </cell>
          <cell r="H17">
            <v>3</v>
          </cell>
        </row>
        <row r="18">
          <cell r="B18">
            <v>2</v>
          </cell>
          <cell r="C18" t="str">
            <v xml:space="preserve">AYUDANTE  </v>
          </cell>
          <cell r="D18">
            <v>241623.86494848778</v>
          </cell>
          <cell r="E18">
            <v>27104.962500000001</v>
          </cell>
          <cell r="G18">
            <v>241623.86494848778</v>
          </cell>
        </row>
        <row r="19">
          <cell r="B19">
            <v>3</v>
          </cell>
          <cell r="C19" t="str">
            <v>ALBAÑIL</v>
          </cell>
          <cell r="D19">
            <v>258026.88217624626</v>
          </cell>
          <cell r="E19">
            <v>32033.137500000001</v>
          </cell>
          <cell r="G19">
            <v>258026.88217624626</v>
          </cell>
        </row>
        <row r="20">
          <cell r="B20">
            <v>4</v>
          </cell>
          <cell r="C20" t="str">
            <v xml:space="preserve">MAESTRO </v>
          </cell>
          <cell r="D20">
            <v>276746.87235861871</v>
          </cell>
          <cell r="E20">
            <v>73922.625</v>
          </cell>
          <cell r="G20">
            <v>276746.87235861871</v>
          </cell>
        </row>
        <row r="21">
          <cell r="B21">
            <v>5</v>
          </cell>
          <cell r="C21" t="str">
            <v>CAPATAZ</v>
          </cell>
          <cell r="D21">
            <v>299585.60576838587</v>
          </cell>
          <cell r="E21">
            <v>73922.625</v>
          </cell>
          <cell r="G21">
            <v>299585.60576838587</v>
          </cell>
        </row>
        <row r="22">
          <cell r="B22">
            <v>6</v>
          </cell>
          <cell r="C22" t="str">
            <v>AYUDANTE ELÉCTRICO</v>
          </cell>
          <cell r="D22">
            <v>241623.86494848778</v>
          </cell>
          <cell r="G22">
            <v>241623.86494848778</v>
          </cell>
        </row>
        <row r="23">
          <cell r="B23">
            <v>7</v>
          </cell>
          <cell r="C23" t="str">
            <v>ELECTRICISTA 4</v>
          </cell>
          <cell r="D23">
            <v>242616.85335760814</v>
          </cell>
          <cell r="G23">
            <v>242616.85335760814</v>
          </cell>
        </row>
        <row r="24">
          <cell r="B24">
            <v>8</v>
          </cell>
          <cell r="C24" t="str">
            <v>ELECTRICISTA 3</v>
          </cell>
          <cell r="D24">
            <v>259284.66749446531</v>
          </cell>
          <cell r="G24">
            <v>259284.66749446531</v>
          </cell>
        </row>
        <row r="25">
          <cell r="B25">
            <v>9</v>
          </cell>
          <cell r="C25" t="str">
            <v>ELECTRICISTA 2</v>
          </cell>
          <cell r="D25">
            <v>278675.28463140316</v>
          </cell>
          <cell r="G25">
            <v>278675.28463140316</v>
          </cell>
        </row>
        <row r="26">
          <cell r="B26">
            <v>10</v>
          </cell>
          <cell r="C26" t="str">
            <v xml:space="preserve">ELECTRICISTA 1  </v>
          </cell>
          <cell r="D26">
            <v>300837.63463205937</v>
          </cell>
          <cell r="G26">
            <v>300837.63463205937</v>
          </cell>
        </row>
        <row r="27">
          <cell r="B27">
            <v>11</v>
          </cell>
          <cell r="C27" t="str">
            <v>TOPOGRAFO</v>
          </cell>
          <cell r="D27" t="e">
            <v>#N/A</v>
          </cell>
          <cell r="G27" t="e">
            <v>#N/A</v>
          </cell>
        </row>
        <row r="28">
          <cell r="B28">
            <v>12</v>
          </cell>
          <cell r="D28" t="e">
            <v>#N/A</v>
          </cell>
          <cell r="G28" t="e">
            <v>#N/A</v>
          </cell>
        </row>
        <row r="29">
          <cell r="B29">
            <v>13</v>
          </cell>
          <cell r="C29" t="str">
            <v>SOLDADOR B NO CONVENCIONAL</v>
          </cell>
          <cell r="D29">
            <v>146731.8683219424</v>
          </cell>
          <cell r="G29">
            <v>146731.8683219424</v>
          </cell>
        </row>
        <row r="30">
          <cell r="B30">
            <v>14</v>
          </cell>
          <cell r="C30" t="str">
            <v>AYUDANTE SOLDADURA NO CONVENIONAL</v>
          </cell>
          <cell r="D30">
            <v>131414.51968110685</v>
          </cell>
          <cell r="G30">
            <v>131414.51968110685</v>
          </cell>
        </row>
        <row r="31">
          <cell r="B31">
            <v>15</v>
          </cell>
          <cell r="C31" t="str">
            <v>AYUDANTE EQ. PESADO</v>
          </cell>
          <cell r="D31">
            <v>203440.55845785531</v>
          </cell>
          <cell r="G31">
            <v>203440.55845785531</v>
          </cell>
        </row>
        <row r="32">
          <cell r="B32">
            <v>16</v>
          </cell>
          <cell r="C32" t="str">
            <v>AYDANTE SOLDADURA</v>
          </cell>
          <cell r="D32">
            <v>216408.15075320046</v>
          </cell>
          <cell r="G32">
            <v>216408.15075320046</v>
          </cell>
        </row>
        <row r="33">
          <cell r="B33">
            <v>17</v>
          </cell>
          <cell r="C33" t="str">
            <v>OPERADOR EQ PESADO</v>
          </cell>
          <cell r="D33">
            <v>246486.72796026297</v>
          </cell>
          <cell r="G33">
            <v>246486.72796026297</v>
          </cell>
        </row>
        <row r="34">
          <cell r="B34">
            <v>18</v>
          </cell>
          <cell r="C34" t="str">
            <v>OBRERO AYUDANTE</v>
          </cell>
          <cell r="D34">
            <v>203440.55845785528</v>
          </cell>
          <cell r="G34">
            <v>203440.55845785528</v>
          </cell>
        </row>
        <row r="35">
          <cell r="B35">
            <v>19</v>
          </cell>
          <cell r="C35" t="str">
            <v>CHOFER</v>
          </cell>
          <cell r="D35">
            <v>229190.714477117</v>
          </cell>
          <cell r="G35">
            <v>229190.714477117</v>
          </cell>
        </row>
        <row r="36">
          <cell r="B36">
            <v>20</v>
          </cell>
          <cell r="C36" t="str">
            <v>SOLDADOR CALIFICADO</v>
          </cell>
          <cell r="D36">
            <v>300937.10227807995</v>
          </cell>
          <cell r="G36">
            <v>300937.10227807995</v>
          </cell>
        </row>
        <row r="37">
          <cell r="B37">
            <v>21</v>
          </cell>
          <cell r="C37" t="str">
            <v>SOLDADOR B</v>
          </cell>
          <cell r="D37">
            <v>249393.13181259044</v>
          </cell>
          <cell r="G37">
            <v>249393.13181259044</v>
          </cell>
        </row>
        <row r="38">
          <cell r="B38">
            <v>22</v>
          </cell>
          <cell r="C38" t="str">
            <v>TUBERO I</v>
          </cell>
          <cell r="D38">
            <v>249393.13181259044</v>
          </cell>
          <cell r="G38">
            <v>249393.13181259044</v>
          </cell>
        </row>
        <row r="39">
          <cell r="B39">
            <v>23</v>
          </cell>
          <cell r="C39" t="str">
            <v>TUBERO II</v>
          </cell>
          <cell r="D39">
            <v>232083.60500681191</v>
          </cell>
          <cell r="G39">
            <v>232083.60500681191</v>
          </cell>
        </row>
        <row r="40">
          <cell r="B40">
            <v>24</v>
          </cell>
          <cell r="C40" t="str">
            <v>SUPERVISOR SOLDADURA</v>
          </cell>
          <cell r="D40">
            <v>353886.74466325023</v>
          </cell>
          <cell r="G40">
            <v>353886.74466325023</v>
          </cell>
        </row>
        <row r="41">
          <cell r="B41">
            <v>25</v>
          </cell>
          <cell r="C41" t="str">
            <v>PINTOR I</v>
          </cell>
          <cell r="D41">
            <v>249393.13181259044</v>
          </cell>
          <cell r="G41">
            <v>249393.13181259044</v>
          </cell>
        </row>
        <row r="42">
          <cell r="B42">
            <v>26</v>
          </cell>
          <cell r="D42" t="e">
            <v>#N/A</v>
          </cell>
          <cell r="G42" t="e">
            <v>#N/A</v>
          </cell>
        </row>
        <row r="43">
          <cell r="B43">
            <v>27</v>
          </cell>
          <cell r="D43" t="e">
            <v>#N/A</v>
          </cell>
          <cell r="G43" t="e">
            <v>#N/A</v>
          </cell>
        </row>
        <row r="44">
          <cell r="B44">
            <v>28</v>
          </cell>
          <cell r="D44">
            <v>0</v>
          </cell>
        </row>
        <row r="45">
          <cell r="B45">
            <v>29</v>
          </cell>
          <cell r="D45">
            <v>0</v>
          </cell>
        </row>
        <row r="46">
          <cell r="B46">
            <v>30</v>
          </cell>
          <cell r="D46">
            <v>0</v>
          </cell>
        </row>
        <row r="47">
          <cell r="B47">
            <v>31</v>
          </cell>
          <cell r="D47">
            <v>0</v>
          </cell>
        </row>
        <row r="48">
          <cell r="B48">
            <v>32</v>
          </cell>
          <cell r="D48">
            <v>0</v>
          </cell>
        </row>
        <row r="49">
          <cell r="B49">
            <v>33</v>
          </cell>
          <cell r="D49">
            <v>0</v>
          </cell>
        </row>
        <row r="50">
          <cell r="B50">
            <v>34</v>
          </cell>
          <cell r="D50">
            <v>0</v>
          </cell>
        </row>
        <row r="51">
          <cell r="B51">
            <v>35</v>
          </cell>
          <cell r="D51">
            <v>0</v>
          </cell>
        </row>
        <row r="52">
          <cell r="B52">
            <v>36</v>
          </cell>
          <cell r="D52">
            <v>0</v>
          </cell>
        </row>
        <row r="53">
          <cell r="B53">
            <v>37</v>
          </cell>
          <cell r="D53">
            <v>0</v>
          </cell>
        </row>
        <row r="54">
          <cell r="B54">
            <v>38</v>
          </cell>
          <cell r="D54">
            <v>0</v>
          </cell>
        </row>
        <row r="55">
          <cell r="B55">
            <v>39</v>
          </cell>
          <cell r="D55">
            <v>0</v>
          </cell>
        </row>
        <row r="56">
          <cell r="B56">
            <v>40</v>
          </cell>
          <cell r="D56">
            <v>0</v>
          </cell>
        </row>
        <row r="57">
          <cell r="B57">
            <v>41</v>
          </cell>
          <cell r="D57">
            <v>0</v>
          </cell>
        </row>
        <row r="58">
          <cell r="B58">
            <v>42</v>
          </cell>
          <cell r="D58">
            <v>0</v>
          </cell>
        </row>
        <row r="59">
          <cell r="B59">
            <v>43</v>
          </cell>
          <cell r="D59">
            <v>0</v>
          </cell>
        </row>
        <row r="60">
          <cell r="B60">
            <v>44</v>
          </cell>
          <cell r="D60">
            <v>0</v>
          </cell>
        </row>
        <row r="61">
          <cell r="B61">
            <v>45</v>
          </cell>
          <cell r="D61">
            <v>0</v>
          </cell>
        </row>
        <row r="62">
          <cell r="B62">
            <v>46</v>
          </cell>
          <cell r="D62">
            <v>0</v>
          </cell>
        </row>
        <row r="63">
          <cell r="B63">
            <v>47</v>
          </cell>
          <cell r="D63">
            <v>0</v>
          </cell>
        </row>
        <row r="64">
          <cell r="B64">
            <v>48</v>
          </cell>
          <cell r="D64">
            <v>0</v>
          </cell>
        </row>
        <row r="65">
          <cell r="B65">
            <v>49</v>
          </cell>
          <cell r="D65">
            <v>0</v>
          </cell>
        </row>
        <row r="66">
          <cell r="B66">
            <v>50</v>
          </cell>
          <cell r="D66">
            <v>0</v>
          </cell>
        </row>
        <row r="67">
          <cell r="B67">
            <v>51</v>
          </cell>
          <cell r="D67">
            <v>0</v>
          </cell>
        </row>
        <row r="68">
          <cell r="B68">
            <v>52</v>
          </cell>
          <cell r="D68">
            <v>0</v>
          </cell>
        </row>
      </sheetData>
      <sheetData sheetId="6" refreshError="1">
        <row r="30">
          <cell r="A30">
            <v>0.25</v>
          </cell>
        </row>
      </sheetData>
      <sheetData sheetId="7" refreshError="1">
        <row r="19">
          <cell r="B19">
            <v>1</v>
          </cell>
          <cell r="C19" t="str">
            <v>Motobomba 4x4</v>
          </cell>
          <cell r="D19" t="str">
            <v>8 HP</v>
          </cell>
          <cell r="E19">
            <v>35000</v>
          </cell>
          <cell r="F19">
            <v>35000</v>
          </cell>
          <cell r="H19">
            <v>35000</v>
          </cell>
          <cell r="J19" t="str">
            <v>E</v>
          </cell>
        </row>
        <row r="20">
          <cell r="B20">
            <v>2</v>
          </cell>
          <cell r="C20" t="str">
            <v>Bomba de Agua Alta Presion</v>
          </cell>
          <cell r="D20" t="str">
            <v>P.H.</v>
          </cell>
          <cell r="E20">
            <v>0</v>
          </cell>
          <cell r="F20">
            <v>240000</v>
          </cell>
          <cell r="J20" t="str">
            <v>E</v>
          </cell>
        </row>
        <row r="21">
          <cell r="B21">
            <v>3</v>
          </cell>
          <cell r="C21" t="str">
            <v>Bulldozer     1992 *</v>
          </cell>
          <cell r="D21" t="str">
            <v>D-5 H</v>
          </cell>
          <cell r="E21">
            <v>0</v>
          </cell>
          <cell r="F21">
            <v>1600000</v>
          </cell>
          <cell r="J21" t="str">
            <v>E</v>
          </cell>
        </row>
        <row r="22">
          <cell r="B22">
            <v>4</v>
          </cell>
          <cell r="C22" t="str">
            <v xml:space="preserve">Bulldozer  </v>
          </cell>
          <cell r="D22" t="str">
            <v>D-8 H</v>
          </cell>
          <cell r="E22">
            <v>0</v>
          </cell>
          <cell r="F22">
            <v>1400000</v>
          </cell>
          <cell r="J22" t="str">
            <v>E</v>
          </cell>
        </row>
        <row r="23">
          <cell r="B23">
            <v>5</v>
          </cell>
          <cell r="C23" t="str">
            <v>Caja de Herramientas</v>
          </cell>
          <cell r="D23" t="str">
            <v>-</v>
          </cell>
          <cell r="E23">
            <v>0</v>
          </cell>
          <cell r="F23">
            <v>0</v>
          </cell>
          <cell r="J23" t="str">
            <v>E</v>
          </cell>
        </row>
        <row r="24">
          <cell r="B24">
            <v>6</v>
          </cell>
          <cell r="C24" t="str">
            <v>Cama alta</v>
          </cell>
          <cell r="D24" t="str">
            <v>-</v>
          </cell>
          <cell r="E24">
            <v>0</v>
          </cell>
          <cell r="F24">
            <v>400000</v>
          </cell>
          <cell r="J24" t="str">
            <v>E</v>
          </cell>
        </row>
        <row r="25">
          <cell r="B25">
            <v>7</v>
          </cell>
          <cell r="C25" t="str">
            <v>Cama baja</v>
          </cell>
          <cell r="D25" t="str">
            <v>-</v>
          </cell>
          <cell r="E25">
            <v>140456</v>
          </cell>
          <cell r="F25">
            <v>400000</v>
          </cell>
          <cell r="H25">
            <v>140456</v>
          </cell>
          <cell r="J25" t="str">
            <v>E</v>
          </cell>
        </row>
        <row r="26">
          <cell r="B26">
            <v>8</v>
          </cell>
          <cell r="C26" t="str">
            <v>Camión 350</v>
          </cell>
          <cell r="E26">
            <v>90000</v>
          </cell>
          <cell r="F26">
            <v>90000</v>
          </cell>
          <cell r="H26">
            <v>90000</v>
          </cell>
          <cell r="J26" t="str">
            <v>E</v>
          </cell>
        </row>
        <row r="27">
          <cell r="B27">
            <v>9</v>
          </cell>
          <cell r="C27" t="str">
            <v xml:space="preserve">Camionetas </v>
          </cell>
          <cell r="E27">
            <v>123567</v>
          </cell>
          <cell r="F27">
            <v>80000</v>
          </cell>
          <cell r="H27">
            <v>123567</v>
          </cell>
          <cell r="J27" t="str">
            <v>E</v>
          </cell>
        </row>
        <row r="28">
          <cell r="B28">
            <v>10</v>
          </cell>
          <cell r="C28" t="str">
            <v>CANGURO</v>
          </cell>
          <cell r="E28">
            <v>73600</v>
          </cell>
          <cell r="F28">
            <v>73600</v>
          </cell>
          <cell r="H28">
            <v>73600</v>
          </cell>
          <cell r="J28" t="str">
            <v>E</v>
          </cell>
        </row>
        <row r="29">
          <cell r="B29">
            <v>11</v>
          </cell>
          <cell r="C29" t="str">
            <v>Bob Cat excavadora</v>
          </cell>
          <cell r="D29" t="str">
            <v>Bobcat</v>
          </cell>
          <cell r="E29">
            <v>250000</v>
          </cell>
          <cell r="F29">
            <v>100000</v>
          </cell>
          <cell r="H29">
            <v>250000</v>
          </cell>
          <cell r="J29" t="str">
            <v>E</v>
          </cell>
        </row>
        <row r="30">
          <cell r="B30">
            <v>12</v>
          </cell>
          <cell r="C30" t="str">
            <v xml:space="preserve">Cargadora  </v>
          </cell>
          <cell r="D30" t="str">
            <v>950F</v>
          </cell>
          <cell r="E30">
            <v>0</v>
          </cell>
          <cell r="F30">
            <v>240000</v>
          </cell>
          <cell r="J30" t="str">
            <v>E</v>
          </cell>
        </row>
        <row r="31">
          <cell r="B31">
            <v>13</v>
          </cell>
          <cell r="C31" t="str">
            <v>carro tanque</v>
          </cell>
          <cell r="E31">
            <v>0</v>
          </cell>
          <cell r="F31">
            <v>133333.33333333334</v>
          </cell>
          <cell r="J31" t="str">
            <v>E</v>
          </cell>
        </row>
        <row r="32">
          <cell r="B32">
            <v>14</v>
          </cell>
          <cell r="C32" t="str">
            <v>Compactador manual</v>
          </cell>
          <cell r="D32" t="str">
            <v>-</v>
          </cell>
          <cell r="E32">
            <v>0</v>
          </cell>
          <cell r="F32">
            <v>96000</v>
          </cell>
          <cell r="J32" t="str">
            <v>E</v>
          </cell>
        </row>
        <row r="33">
          <cell r="B33">
            <v>15</v>
          </cell>
          <cell r="C33" t="str">
            <v>Compresor</v>
          </cell>
          <cell r="D33" t="str">
            <v>-</v>
          </cell>
          <cell r="E33">
            <v>465905.44549961388</v>
          </cell>
          <cell r="F33">
            <v>250000</v>
          </cell>
          <cell r="H33">
            <v>465905.44549961388</v>
          </cell>
          <cell r="I33">
            <v>0</v>
          </cell>
          <cell r="J33" t="str">
            <v>H</v>
          </cell>
        </row>
        <row r="34">
          <cell r="B34">
            <v>16</v>
          </cell>
          <cell r="C34" t="str">
            <v>Containers</v>
          </cell>
          <cell r="D34" t="str">
            <v>-</v>
          </cell>
          <cell r="E34">
            <v>0</v>
          </cell>
          <cell r="F34">
            <v>240000</v>
          </cell>
        </row>
        <row r="35">
          <cell r="B35">
            <v>17</v>
          </cell>
          <cell r="C35" t="str">
            <v>Entibado</v>
          </cell>
          <cell r="D35" t="str">
            <v>Global</v>
          </cell>
          <cell r="E35">
            <v>10000</v>
          </cell>
          <cell r="F35">
            <v>10000</v>
          </cell>
          <cell r="H35">
            <v>10000</v>
          </cell>
          <cell r="J35" t="str">
            <v>E</v>
          </cell>
        </row>
        <row r="36">
          <cell r="B36">
            <v>18</v>
          </cell>
          <cell r="C36" t="str">
            <v>Equipo Topografia</v>
          </cell>
          <cell r="D36" t="str">
            <v>-</v>
          </cell>
          <cell r="E36">
            <v>0</v>
          </cell>
          <cell r="F36">
            <v>100000</v>
          </cell>
          <cell r="J36" t="str">
            <v>E</v>
          </cell>
        </row>
        <row r="37">
          <cell r="B37">
            <v>19</v>
          </cell>
          <cell r="C37" t="str">
            <v>FORMALETA</v>
          </cell>
          <cell r="D37" t="str">
            <v>M2</v>
          </cell>
          <cell r="E37">
            <v>0</v>
          </cell>
          <cell r="F37">
            <v>6500</v>
          </cell>
          <cell r="J37" t="str">
            <v>E</v>
          </cell>
        </row>
        <row r="38">
          <cell r="B38">
            <v>20</v>
          </cell>
          <cell r="C38" t="str">
            <v>Generador</v>
          </cell>
          <cell r="D38" t="str">
            <v>5.6kw</v>
          </cell>
          <cell r="E38">
            <v>50000</v>
          </cell>
          <cell r="F38">
            <v>50000</v>
          </cell>
          <cell r="H38">
            <v>50000</v>
          </cell>
          <cell r="J38" t="str">
            <v>E</v>
          </cell>
        </row>
        <row r="39">
          <cell r="B39">
            <v>21</v>
          </cell>
          <cell r="C39" t="str">
            <v>Grua Hidraulica</v>
          </cell>
          <cell r="D39" t="str">
            <v>18 Ton</v>
          </cell>
          <cell r="E39">
            <v>0</v>
          </cell>
          <cell r="F39">
            <v>240000</v>
          </cell>
          <cell r="J39" t="str">
            <v>E</v>
          </cell>
        </row>
        <row r="40">
          <cell r="B40">
            <v>22</v>
          </cell>
          <cell r="C40" t="str">
            <v>Grua Hidraulica</v>
          </cell>
          <cell r="D40" t="str">
            <v>30 ton</v>
          </cell>
          <cell r="E40">
            <v>0</v>
          </cell>
          <cell r="F40">
            <v>320000</v>
          </cell>
          <cell r="J40" t="str">
            <v>E</v>
          </cell>
        </row>
        <row r="41">
          <cell r="B41">
            <v>23</v>
          </cell>
          <cell r="C41" t="str">
            <v>Grua Hidraulica</v>
          </cell>
          <cell r="D41" t="str">
            <v>40 Ton</v>
          </cell>
          <cell r="E41">
            <v>0</v>
          </cell>
          <cell r="F41">
            <v>0</v>
          </cell>
          <cell r="J41" t="str">
            <v>E</v>
          </cell>
        </row>
        <row r="42">
          <cell r="B42">
            <v>24</v>
          </cell>
          <cell r="C42" t="str">
            <v>Herramienta menor</v>
          </cell>
          <cell r="D42" t="str">
            <v>Global</v>
          </cell>
          <cell r="E42">
            <v>25000</v>
          </cell>
          <cell r="F42">
            <v>25000</v>
          </cell>
          <cell r="H42">
            <v>25000</v>
          </cell>
          <cell r="J42" t="str">
            <v>H</v>
          </cell>
        </row>
        <row r="43">
          <cell r="B43">
            <v>25</v>
          </cell>
          <cell r="C43" t="str">
            <v>HOLYDAY DETECTOR</v>
          </cell>
          <cell r="E43">
            <v>0</v>
          </cell>
          <cell r="J43" t="str">
            <v>E</v>
          </cell>
        </row>
        <row r="44">
          <cell r="B44">
            <v>26</v>
          </cell>
          <cell r="C44" t="str">
            <v>Mezcladora</v>
          </cell>
          <cell r="D44" t="str">
            <v>2 Sacos</v>
          </cell>
          <cell r="E44">
            <v>57836.417142857143</v>
          </cell>
          <cell r="F44">
            <v>90000</v>
          </cell>
          <cell r="H44">
            <v>57836.417142857143</v>
          </cell>
          <cell r="J44" t="str">
            <v>E</v>
          </cell>
        </row>
        <row r="45">
          <cell r="B45">
            <v>27</v>
          </cell>
          <cell r="C45" t="str">
            <v>minicargador</v>
          </cell>
          <cell r="E45">
            <v>0</v>
          </cell>
          <cell r="F45">
            <v>320000</v>
          </cell>
          <cell r="J45" t="str">
            <v>E</v>
          </cell>
        </row>
        <row r="46">
          <cell r="B46">
            <v>28</v>
          </cell>
          <cell r="C46" t="str">
            <v xml:space="preserve">Motoniveladora     </v>
          </cell>
          <cell r="D46" t="str">
            <v>120 G</v>
          </cell>
          <cell r="E46">
            <v>752983.94160857645</v>
          </cell>
          <cell r="F46">
            <v>600000</v>
          </cell>
          <cell r="H46">
            <v>752983.94160857645</v>
          </cell>
          <cell r="I46">
            <v>1280000</v>
          </cell>
          <cell r="J46" t="str">
            <v>E</v>
          </cell>
        </row>
        <row r="47">
          <cell r="B47">
            <v>29</v>
          </cell>
          <cell r="C47" t="str">
            <v>Retroexcavadora    PEQUEÑA</v>
          </cell>
          <cell r="E47">
            <v>0</v>
          </cell>
          <cell r="F47">
            <v>218181.81818181818</v>
          </cell>
          <cell r="J47" t="str">
            <v>E</v>
          </cell>
        </row>
        <row r="48">
          <cell r="B48">
            <v>30</v>
          </cell>
          <cell r="C48" t="str">
            <v xml:space="preserve">Retroexcavadora   </v>
          </cell>
          <cell r="D48">
            <v>320</v>
          </cell>
          <cell r="E48">
            <v>684731.62893429107</v>
          </cell>
          <cell r="F48">
            <v>540000</v>
          </cell>
          <cell r="H48">
            <v>684731.62893429107</v>
          </cell>
          <cell r="I48">
            <v>1120000</v>
          </cell>
          <cell r="J48" t="str">
            <v>E</v>
          </cell>
        </row>
        <row r="49">
          <cell r="B49">
            <v>31</v>
          </cell>
          <cell r="C49" t="str">
            <v>Retroexcavadora  Hitachi</v>
          </cell>
          <cell r="D49" t="str">
            <v>EX 200B</v>
          </cell>
          <cell r="E49">
            <v>1138343.575894291</v>
          </cell>
          <cell r="F49">
            <v>360000</v>
          </cell>
          <cell r="H49">
            <v>1138343.575894291</v>
          </cell>
          <cell r="I49">
            <v>1120000</v>
          </cell>
          <cell r="J49" t="str">
            <v>E</v>
          </cell>
        </row>
        <row r="50">
          <cell r="B50">
            <v>32</v>
          </cell>
          <cell r="C50" t="str">
            <v xml:space="preserve">Rodillo Vibratorio    </v>
          </cell>
          <cell r="D50" t="str">
            <v>CA 15</v>
          </cell>
          <cell r="E50">
            <v>522098.53671190911</v>
          </cell>
          <cell r="F50">
            <v>499910</v>
          </cell>
          <cell r="H50">
            <v>522098.53671190911</v>
          </cell>
          <cell r="I50">
            <v>0</v>
          </cell>
          <cell r="J50" t="str">
            <v>E</v>
          </cell>
        </row>
        <row r="51">
          <cell r="B51">
            <v>33</v>
          </cell>
          <cell r="C51" t="str">
            <v>Side Boom  1980 *</v>
          </cell>
          <cell r="D51">
            <v>572</v>
          </cell>
          <cell r="E51">
            <v>0</v>
          </cell>
          <cell r="F51">
            <v>649884</v>
          </cell>
          <cell r="J51" t="str">
            <v>E</v>
          </cell>
        </row>
        <row r="52">
          <cell r="B52">
            <v>34</v>
          </cell>
          <cell r="C52" t="str">
            <v>Side Boom  571</v>
          </cell>
          <cell r="D52">
            <v>571</v>
          </cell>
          <cell r="E52">
            <v>0</v>
          </cell>
          <cell r="F52">
            <v>714872</v>
          </cell>
          <cell r="J52" t="str">
            <v>E</v>
          </cell>
        </row>
        <row r="53">
          <cell r="B53">
            <v>35</v>
          </cell>
          <cell r="C53" t="str">
            <v>Torres de iluminación</v>
          </cell>
          <cell r="E53">
            <v>0</v>
          </cell>
          <cell r="F53">
            <v>8333.3333333333339</v>
          </cell>
          <cell r="J53" t="str">
            <v>E</v>
          </cell>
        </row>
        <row r="54">
          <cell r="B54">
            <v>36</v>
          </cell>
          <cell r="C54" t="str">
            <v>TRANSPORTE DE MATERIAL</v>
          </cell>
          <cell r="D54" t="str">
            <v>VIAJE</v>
          </cell>
          <cell r="E54">
            <v>0</v>
          </cell>
          <cell r="F54">
            <v>45000</v>
          </cell>
          <cell r="J54" t="str">
            <v>E</v>
          </cell>
        </row>
        <row r="55">
          <cell r="B55">
            <v>37</v>
          </cell>
          <cell r="C55" t="str">
            <v>TRANSPORTE PESO TON /KM</v>
          </cell>
          <cell r="D55" t="str">
            <v>TON/KM</v>
          </cell>
          <cell r="E55">
            <v>1481.4814814814815</v>
          </cell>
          <cell r="F55">
            <v>1200</v>
          </cell>
          <cell r="H55">
            <v>1481.4814814814815</v>
          </cell>
          <cell r="J55" t="str">
            <v>E</v>
          </cell>
        </row>
        <row r="56">
          <cell r="B56">
            <v>38</v>
          </cell>
          <cell r="C56" t="str">
            <v>TRANSPORTE VOLUMEN M3/KM</v>
          </cell>
          <cell r="D56" t="str">
            <v>M3/KM</v>
          </cell>
          <cell r="E56">
            <v>700</v>
          </cell>
          <cell r="F56">
            <v>304</v>
          </cell>
          <cell r="H56">
            <v>700</v>
          </cell>
          <cell r="J56" t="str">
            <v>E</v>
          </cell>
        </row>
        <row r="57">
          <cell r="B57">
            <v>39</v>
          </cell>
          <cell r="C57" t="str">
            <v>Vibrador</v>
          </cell>
          <cell r="D57" t="str">
            <v>-</v>
          </cell>
          <cell r="E57">
            <v>29509.600000000006</v>
          </cell>
          <cell r="F57">
            <v>18240</v>
          </cell>
          <cell r="H57">
            <v>29509.600000000006</v>
          </cell>
          <cell r="I57">
            <v>0</v>
          </cell>
          <cell r="J57" t="str">
            <v>E</v>
          </cell>
        </row>
        <row r="58">
          <cell r="B58">
            <v>40</v>
          </cell>
          <cell r="C58" t="str">
            <v xml:space="preserve">Volquetas  </v>
          </cell>
          <cell r="E58">
            <v>607904.60479557095</v>
          </cell>
          <cell r="F58">
            <v>250000</v>
          </cell>
          <cell r="H58">
            <v>705169.34156286228</v>
          </cell>
          <cell r="I58">
            <v>960000</v>
          </cell>
          <cell r="J58" t="str">
            <v>E</v>
          </cell>
        </row>
        <row r="59">
          <cell r="B59">
            <v>41</v>
          </cell>
          <cell r="C59" t="str">
            <v>EQUIPO DE BOMBEO</v>
          </cell>
          <cell r="D59" t="str">
            <v>M3</v>
          </cell>
          <cell r="E59">
            <v>0</v>
          </cell>
          <cell r="F59">
            <v>18000</v>
          </cell>
          <cell r="J59" t="str">
            <v>E</v>
          </cell>
        </row>
        <row r="60">
          <cell r="B60">
            <v>42</v>
          </cell>
          <cell r="C60" t="str">
            <v>Cortadora</v>
          </cell>
          <cell r="E60">
            <v>407317.05671190913</v>
          </cell>
          <cell r="F60">
            <v>60000</v>
          </cell>
          <cell r="H60">
            <v>407317.05671190913</v>
          </cell>
          <cell r="I60">
            <v>0</v>
          </cell>
        </row>
        <row r="61">
          <cell r="B61">
            <v>43</v>
          </cell>
          <cell r="C61" t="str">
            <v>Volqueta 7 m3</v>
          </cell>
          <cell r="E61">
            <v>688000</v>
          </cell>
          <cell r="H61">
            <v>688000</v>
          </cell>
          <cell r="J61" t="str">
            <v>E</v>
          </cell>
        </row>
        <row r="62">
          <cell r="B62">
            <v>44</v>
          </cell>
          <cell r="C62" t="str">
            <v>Equipo Soldadura</v>
          </cell>
          <cell r="E62">
            <v>35000</v>
          </cell>
          <cell r="H62">
            <v>35000</v>
          </cell>
          <cell r="J62" t="str">
            <v>E</v>
          </cell>
        </row>
        <row r="63">
          <cell r="B63">
            <v>45</v>
          </cell>
          <cell r="C63" t="str">
            <v>Equipo Oxicorte</v>
          </cell>
          <cell r="E63">
            <v>2500</v>
          </cell>
          <cell r="H63">
            <v>2500</v>
          </cell>
          <cell r="J63" t="str">
            <v>E</v>
          </cell>
        </row>
        <row r="64">
          <cell r="B64">
            <v>46</v>
          </cell>
          <cell r="C64" t="str">
            <v>Platina de 2"X3/16" *6 mts.</v>
          </cell>
          <cell r="E64">
            <v>3111.12</v>
          </cell>
          <cell r="H64">
            <v>3111.12</v>
          </cell>
          <cell r="J64" t="str">
            <v>E</v>
          </cell>
        </row>
        <row r="65">
          <cell r="B65">
            <v>47</v>
          </cell>
          <cell r="C65" t="str">
            <v>Doblatubo</v>
          </cell>
          <cell r="E65">
            <v>1100000</v>
          </cell>
          <cell r="H65">
            <v>1100000</v>
          </cell>
          <cell r="J65" t="str">
            <v>H</v>
          </cell>
        </row>
        <row r="66">
          <cell r="B66">
            <v>48</v>
          </cell>
          <cell r="C66" t="str">
            <v>Camión con grúa de  1,5 toneladas</v>
          </cell>
          <cell r="E66">
            <v>392000</v>
          </cell>
          <cell r="H66">
            <v>392000</v>
          </cell>
          <cell r="J66" t="str">
            <v>E</v>
          </cell>
        </row>
        <row r="67">
          <cell r="B67">
            <v>49</v>
          </cell>
          <cell r="C67" t="str">
            <v>Maquina de soldar diesel sobre llantas, 350 Amp</v>
          </cell>
          <cell r="E67">
            <v>33096</v>
          </cell>
          <cell r="H67">
            <v>33096</v>
          </cell>
          <cell r="J67">
            <v>0</v>
          </cell>
        </row>
        <row r="68">
          <cell r="B68">
            <v>50</v>
          </cell>
          <cell r="C68" t="str">
            <v>Campero 4x4 modelo 2001 o posterior</v>
          </cell>
          <cell r="E68">
            <v>66480</v>
          </cell>
          <cell r="H68">
            <v>66480</v>
          </cell>
          <cell r="J68">
            <v>0</v>
          </cell>
        </row>
        <row r="69">
          <cell r="B69">
            <v>51</v>
          </cell>
          <cell r="C69" t="str">
            <v>Herramienta menor mecánica</v>
          </cell>
          <cell r="E69">
            <v>19800</v>
          </cell>
          <cell r="H69">
            <v>19800</v>
          </cell>
          <cell r="J69">
            <v>0</v>
          </cell>
        </row>
        <row r="70">
          <cell r="B70">
            <v>52</v>
          </cell>
          <cell r="C70" t="str">
            <v>Pulidora eléctrica</v>
          </cell>
          <cell r="E70">
            <v>17656</v>
          </cell>
          <cell r="H70">
            <v>17656</v>
          </cell>
          <cell r="J70">
            <v>0</v>
          </cell>
        </row>
        <row r="71">
          <cell r="B71">
            <v>53</v>
          </cell>
          <cell r="C71" t="str">
            <v>Retroexcavadora 124 a 140 HP</v>
          </cell>
          <cell r="D71" t="str">
            <v>X-200</v>
          </cell>
          <cell r="E71">
            <v>165968</v>
          </cell>
          <cell r="H71">
            <v>165968</v>
          </cell>
          <cell r="J71">
            <v>0</v>
          </cell>
        </row>
        <row r="72">
          <cell r="B72">
            <v>54</v>
          </cell>
          <cell r="C72" t="str">
            <v>Camión doble transmisión, con grua pescante</v>
          </cell>
          <cell r="D72" t="str">
            <v>6 ton</v>
          </cell>
          <cell r="E72">
            <v>108208</v>
          </cell>
          <cell r="H72">
            <v>108208</v>
          </cell>
          <cell r="J72">
            <v>0</v>
          </cell>
        </row>
        <row r="73">
          <cell r="B73">
            <v>55</v>
          </cell>
          <cell r="C73" t="str">
            <v>Compresor de aire diesel y 60 metros de manguera</v>
          </cell>
          <cell r="E73">
            <v>92112</v>
          </cell>
          <cell r="H73">
            <v>92112</v>
          </cell>
          <cell r="J73">
            <v>0</v>
          </cell>
        </row>
        <row r="74">
          <cell r="B74">
            <v>56</v>
          </cell>
          <cell r="C74" t="str">
            <v>Dobladora de tubos</v>
          </cell>
          <cell r="E74">
            <v>144488</v>
          </cell>
          <cell r="H74">
            <v>144488</v>
          </cell>
          <cell r="J74">
            <v>0</v>
          </cell>
        </row>
        <row r="75">
          <cell r="B75">
            <v>57</v>
          </cell>
          <cell r="C75" t="str">
            <v>Equipo de oxicorte completo</v>
          </cell>
          <cell r="E75">
            <v>61992</v>
          </cell>
          <cell r="H75">
            <v>61992</v>
          </cell>
          <cell r="J75">
            <v>0</v>
          </cell>
        </row>
        <row r="76">
          <cell r="B76">
            <v>58</v>
          </cell>
          <cell r="C76" t="str">
            <v>Tractor sobre oruga con winche 135 a 150 HP</v>
          </cell>
          <cell r="E76">
            <v>114000</v>
          </cell>
          <cell r="H76">
            <v>114000</v>
          </cell>
          <cell r="J76">
            <v>0</v>
          </cell>
        </row>
        <row r="77">
          <cell r="B77">
            <v>59</v>
          </cell>
          <cell r="C77" t="str">
            <v>Motobomba Diesel de 3'' 9HP y 250GPM</v>
          </cell>
          <cell r="E77">
            <v>4544</v>
          </cell>
          <cell r="H77">
            <v>4544</v>
          </cell>
        </row>
        <row r="78">
          <cell r="B78">
            <v>60</v>
          </cell>
          <cell r="C78" t="str">
            <v>Instrumentos de medicion</v>
          </cell>
          <cell r="E78">
            <v>57888</v>
          </cell>
          <cell r="H78">
            <v>57888</v>
          </cell>
        </row>
        <row r="79">
          <cell r="B79">
            <v>61</v>
          </cell>
          <cell r="C79" t="str">
            <v>Herramienta menor electricista</v>
          </cell>
          <cell r="E79">
            <v>41680</v>
          </cell>
          <cell r="H79">
            <v>41680</v>
          </cell>
        </row>
        <row r="80">
          <cell r="B80">
            <v>62</v>
          </cell>
          <cell r="C80" t="str">
            <v>Mezcladora de concreto 6 pies cubicos</v>
          </cell>
          <cell r="E80">
            <v>28528</v>
          </cell>
          <cell r="H80">
            <v>28528</v>
          </cell>
        </row>
        <row r="81">
          <cell r="B81">
            <v>63</v>
          </cell>
          <cell r="C81" t="str">
            <v>Herramienta menor Geotecnia-civ</v>
          </cell>
          <cell r="E81">
            <v>46312</v>
          </cell>
          <cell r="H81">
            <v>46312</v>
          </cell>
        </row>
        <row r="82">
          <cell r="B82">
            <v>64</v>
          </cell>
          <cell r="C82" t="str">
            <v>Canoa con motor fuera de borda</v>
          </cell>
          <cell r="E82">
            <v>120000</v>
          </cell>
          <cell r="H82">
            <v>120000</v>
          </cell>
        </row>
        <row r="83">
          <cell r="B83">
            <v>65</v>
          </cell>
          <cell r="C83" t="str">
            <v>Guadañadora (Incluye hilo, cuchillas y combustible)</v>
          </cell>
          <cell r="E83">
            <v>6700</v>
          </cell>
          <cell r="H83">
            <v>6700</v>
          </cell>
          <cell r="J83" t="str">
            <v>E</v>
          </cell>
        </row>
        <row r="84">
          <cell r="B84">
            <v>66</v>
          </cell>
          <cell r="C84" t="str">
            <v>Fumigadora con tanque de espalda (Incluye combustible y herbicida)</v>
          </cell>
          <cell r="E84">
            <v>4000</v>
          </cell>
          <cell r="H84">
            <v>4000</v>
          </cell>
          <cell r="J84" t="str">
            <v>E</v>
          </cell>
        </row>
        <row r="85">
          <cell r="B85">
            <v>67</v>
          </cell>
          <cell r="E85">
            <v>0</v>
          </cell>
        </row>
        <row r="86">
          <cell r="B86">
            <v>68</v>
          </cell>
          <cell r="E86">
            <v>0</v>
          </cell>
        </row>
        <row r="87">
          <cell r="B87">
            <v>69</v>
          </cell>
          <cell r="E87">
            <v>0</v>
          </cell>
        </row>
        <row r="88">
          <cell r="B88">
            <v>70</v>
          </cell>
          <cell r="E88">
            <v>0</v>
          </cell>
        </row>
        <row r="89">
          <cell r="B89">
            <v>71</v>
          </cell>
          <cell r="E89">
            <v>0</v>
          </cell>
        </row>
        <row r="90">
          <cell r="B90">
            <v>72</v>
          </cell>
          <cell r="E90">
            <v>0</v>
          </cell>
        </row>
        <row r="91">
          <cell r="B91">
            <v>73</v>
          </cell>
          <cell r="E91">
            <v>0</v>
          </cell>
        </row>
        <row r="92">
          <cell r="B92">
            <v>74</v>
          </cell>
          <cell r="E92">
            <v>0</v>
          </cell>
        </row>
        <row r="93">
          <cell r="B93">
            <v>76</v>
          </cell>
          <cell r="E93">
            <v>0</v>
          </cell>
        </row>
        <row r="94">
          <cell r="B94">
            <v>77</v>
          </cell>
          <cell r="E94">
            <v>0</v>
          </cell>
        </row>
        <row r="95">
          <cell r="B95">
            <v>78</v>
          </cell>
          <cell r="E95">
            <v>0</v>
          </cell>
        </row>
        <row r="96">
          <cell r="B96">
            <v>79</v>
          </cell>
          <cell r="E96">
            <v>0</v>
          </cell>
        </row>
        <row r="97">
          <cell r="B97">
            <v>81</v>
          </cell>
          <cell r="E97">
            <v>0</v>
          </cell>
        </row>
        <row r="98">
          <cell r="B98">
            <v>82</v>
          </cell>
          <cell r="E98">
            <v>0</v>
          </cell>
        </row>
        <row r="99">
          <cell r="B99">
            <v>83</v>
          </cell>
          <cell r="E99">
            <v>0</v>
          </cell>
        </row>
        <row r="100">
          <cell r="B100">
            <v>84</v>
          </cell>
          <cell r="E100">
            <v>0</v>
          </cell>
        </row>
        <row r="101">
          <cell r="B101">
            <v>85</v>
          </cell>
          <cell r="E101">
            <v>0</v>
          </cell>
        </row>
        <row r="102">
          <cell r="B102">
            <v>86</v>
          </cell>
          <cell r="E102">
            <v>0</v>
          </cell>
        </row>
        <row r="103">
          <cell r="B103">
            <v>87</v>
          </cell>
          <cell r="E103">
            <v>0</v>
          </cell>
        </row>
        <row r="104">
          <cell r="B104">
            <v>88</v>
          </cell>
          <cell r="E104">
            <v>0</v>
          </cell>
        </row>
        <row r="105">
          <cell r="B105">
            <v>89</v>
          </cell>
          <cell r="E105">
            <v>0</v>
          </cell>
        </row>
        <row r="106">
          <cell r="B106">
            <v>90</v>
          </cell>
          <cell r="E106">
            <v>0</v>
          </cell>
        </row>
        <row r="107">
          <cell r="B107">
            <v>91</v>
          </cell>
          <cell r="E107">
            <v>0</v>
          </cell>
        </row>
        <row r="108">
          <cell r="B108">
            <v>92</v>
          </cell>
          <cell r="E108">
            <v>0</v>
          </cell>
        </row>
        <row r="109">
          <cell r="B109">
            <v>93</v>
          </cell>
          <cell r="E109">
            <v>0</v>
          </cell>
        </row>
        <row r="110">
          <cell r="B110">
            <v>94</v>
          </cell>
          <cell r="E110">
            <v>0</v>
          </cell>
        </row>
        <row r="111">
          <cell r="B111">
            <v>95</v>
          </cell>
          <cell r="E111">
            <v>0</v>
          </cell>
        </row>
        <row r="112">
          <cell r="B112">
            <v>96</v>
          </cell>
          <cell r="E112">
            <v>0</v>
          </cell>
        </row>
        <row r="113">
          <cell r="B113">
            <v>97</v>
          </cell>
          <cell r="E113">
            <v>0</v>
          </cell>
        </row>
        <row r="114">
          <cell r="B114">
            <v>98</v>
          </cell>
          <cell r="E114">
            <v>0</v>
          </cell>
        </row>
        <row r="115">
          <cell r="B115">
            <v>99</v>
          </cell>
          <cell r="E115">
            <v>0</v>
          </cell>
        </row>
        <row r="116">
          <cell r="B116">
            <v>100</v>
          </cell>
          <cell r="E116">
            <v>0</v>
          </cell>
        </row>
        <row r="117">
          <cell r="B117">
            <v>101</v>
          </cell>
          <cell r="E117">
            <v>0</v>
          </cell>
        </row>
        <row r="118">
          <cell r="B118">
            <v>102</v>
          </cell>
          <cell r="E118">
            <v>0</v>
          </cell>
        </row>
        <row r="119">
          <cell r="B119">
            <v>103</v>
          </cell>
          <cell r="E119">
            <v>0</v>
          </cell>
        </row>
        <row r="120">
          <cell r="B120">
            <v>104</v>
          </cell>
          <cell r="E120">
            <v>0</v>
          </cell>
        </row>
        <row r="121">
          <cell r="B121">
            <v>105</v>
          </cell>
          <cell r="E121">
            <v>0</v>
          </cell>
        </row>
        <row r="122">
          <cell r="B122">
            <v>106</v>
          </cell>
          <cell r="E122">
            <v>0</v>
          </cell>
        </row>
        <row r="123">
          <cell r="B123">
            <v>107</v>
          </cell>
          <cell r="E123">
            <v>0</v>
          </cell>
        </row>
        <row r="124">
          <cell r="B124">
            <v>108</v>
          </cell>
          <cell r="E124">
            <v>0</v>
          </cell>
        </row>
        <row r="125">
          <cell r="B125">
            <v>109</v>
          </cell>
          <cell r="E125">
            <v>0</v>
          </cell>
        </row>
        <row r="126">
          <cell r="B126">
            <v>110</v>
          </cell>
          <cell r="E126">
            <v>0</v>
          </cell>
        </row>
        <row r="127">
          <cell r="B127">
            <v>111</v>
          </cell>
          <cell r="E127">
            <v>0</v>
          </cell>
        </row>
        <row r="128">
          <cell r="B128">
            <v>112</v>
          </cell>
          <cell r="E128">
            <v>0</v>
          </cell>
        </row>
        <row r="129">
          <cell r="B129">
            <v>113</v>
          </cell>
          <cell r="E129">
            <v>0</v>
          </cell>
        </row>
        <row r="130">
          <cell r="B130">
            <v>114</v>
          </cell>
          <cell r="E130">
            <v>0</v>
          </cell>
        </row>
        <row r="131">
          <cell r="B131">
            <v>115</v>
          </cell>
          <cell r="E131">
            <v>0</v>
          </cell>
        </row>
        <row r="132">
          <cell r="B132">
            <v>116</v>
          </cell>
          <cell r="E132">
            <v>0</v>
          </cell>
        </row>
        <row r="133">
          <cell r="B133">
            <v>117</v>
          </cell>
          <cell r="E133">
            <v>0</v>
          </cell>
        </row>
        <row r="134">
          <cell r="B134">
            <v>118</v>
          </cell>
          <cell r="E134">
            <v>0</v>
          </cell>
        </row>
        <row r="135">
          <cell r="B135">
            <v>119</v>
          </cell>
          <cell r="E135">
            <v>0</v>
          </cell>
        </row>
        <row r="136">
          <cell r="B136">
            <v>120</v>
          </cell>
          <cell r="E136">
            <v>0</v>
          </cell>
        </row>
        <row r="137">
          <cell r="B137">
            <v>121</v>
          </cell>
          <cell r="E137">
            <v>0</v>
          </cell>
        </row>
        <row r="138">
          <cell r="B138">
            <v>122</v>
          </cell>
          <cell r="E138">
            <v>0</v>
          </cell>
        </row>
        <row r="139">
          <cell r="B139">
            <v>123</v>
          </cell>
          <cell r="E139">
            <v>0</v>
          </cell>
        </row>
        <row r="140">
          <cell r="B140">
            <v>124</v>
          </cell>
          <cell r="E140">
            <v>0</v>
          </cell>
        </row>
        <row r="141">
          <cell r="B141">
            <v>125</v>
          </cell>
          <cell r="E141">
            <v>0</v>
          </cell>
        </row>
        <row r="142">
          <cell r="B142">
            <v>126</v>
          </cell>
          <cell r="E142">
            <v>0</v>
          </cell>
        </row>
        <row r="143">
          <cell r="B143">
            <v>127</v>
          </cell>
          <cell r="E143">
            <v>0</v>
          </cell>
        </row>
        <row r="144">
          <cell r="B144">
            <v>128</v>
          </cell>
          <cell r="E144">
            <v>0</v>
          </cell>
        </row>
        <row r="145">
          <cell r="B145">
            <v>129</v>
          </cell>
          <cell r="E145">
            <v>0</v>
          </cell>
        </row>
        <row r="146">
          <cell r="B146">
            <v>130</v>
          </cell>
          <cell r="E146">
            <v>0</v>
          </cell>
        </row>
        <row r="147">
          <cell r="B147">
            <v>131</v>
          </cell>
          <cell r="E147">
            <v>0</v>
          </cell>
        </row>
        <row r="148">
          <cell r="B148">
            <v>132</v>
          </cell>
          <cell r="E148">
            <v>0</v>
          </cell>
        </row>
        <row r="149">
          <cell r="B149">
            <v>133</v>
          </cell>
          <cell r="E149">
            <v>0</v>
          </cell>
        </row>
        <row r="150">
          <cell r="B150">
            <v>134</v>
          </cell>
          <cell r="E150">
            <v>0</v>
          </cell>
        </row>
        <row r="151">
          <cell r="B151">
            <v>135</v>
          </cell>
          <cell r="E151">
            <v>0</v>
          </cell>
          <cell r="J151" t="str">
            <v>E</v>
          </cell>
        </row>
        <row r="152">
          <cell r="B152">
            <v>136</v>
          </cell>
          <cell r="E152">
            <v>0</v>
          </cell>
        </row>
        <row r="153">
          <cell r="B153">
            <v>137</v>
          </cell>
          <cell r="E153">
            <v>0</v>
          </cell>
        </row>
        <row r="154">
          <cell r="B154">
            <v>138</v>
          </cell>
          <cell r="E154">
            <v>0</v>
          </cell>
        </row>
        <row r="155">
          <cell r="B155">
            <v>139</v>
          </cell>
          <cell r="E155">
            <v>0</v>
          </cell>
        </row>
        <row r="156">
          <cell r="B156">
            <v>140</v>
          </cell>
          <cell r="E156">
            <v>0</v>
          </cell>
        </row>
        <row r="157">
          <cell r="B157">
            <v>141</v>
          </cell>
          <cell r="E157">
            <v>0</v>
          </cell>
        </row>
        <row r="158">
          <cell r="B158">
            <v>142</v>
          </cell>
          <cell r="E158">
            <v>0</v>
          </cell>
        </row>
        <row r="159">
          <cell r="B159">
            <v>143</v>
          </cell>
          <cell r="E159">
            <v>0</v>
          </cell>
        </row>
        <row r="160">
          <cell r="B160">
            <v>144</v>
          </cell>
          <cell r="E160">
            <v>0</v>
          </cell>
        </row>
        <row r="161">
          <cell r="B161">
            <v>145</v>
          </cell>
          <cell r="E161">
            <v>0</v>
          </cell>
        </row>
        <row r="162">
          <cell r="B162">
            <v>146</v>
          </cell>
          <cell r="E162">
            <v>0</v>
          </cell>
        </row>
        <row r="163">
          <cell r="B163">
            <v>147</v>
          </cell>
          <cell r="E163">
            <v>0</v>
          </cell>
        </row>
        <row r="164">
          <cell r="B164">
            <v>148</v>
          </cell>
          <cell r="E164">
            <v>0</v>
          </cell>
        </row>
        <row r="165">
          <cell r="B165">
            <v>149</v>
          </cell>
          <cell r="E165">
            <v>0</v>
          </cell>
        </row>
        <row r="166">
          <cell r="B166">
            <v>150</v>
          </cell>
          <cell r="E166">
            <v>0</v>
          </cell>
        </row>
        <row r="167">
          <cell r="B167">
            <v>151</v>
          </cell>
          <cell r="E167">
            <v>0</v>
          </cell>
        </row>
        <row r="168">
          <cell r="B168">
            <v>152</v>
          </cell>
          <cell r="E168">
            <v>0</v>
          </cell>
        </row>
        <row r="169">
          <cell r="B169">
            <v>153</v>
          </cell>
          <cell r="E169">
            <v>0</v>
          </cell>
        </row>
        <row r="170">
          <cell r="B170">
            <v>154</v>
          </cell>
          <cell r="E170">
            <v>0</v>
          </cell>
        </row>
        <row r="171">
          <cell r="B171">
            <v>155</v>
          </cell>
          <cell r="E171">
            <v>0</v>
          </cell>
        </row>
        <row r="172">
          <cell r="B172">
            <v>156</v>
          </cell>
          <cell r="E172">
            <v>0</v>
          </cell>
        </row>
        <row r="173">
          <cell r="B173">
            <v>157</v>
          </cell>
          <cell r="E173">
            <v>0</v>
          </cell>
        </row>
        <row r="174">
          <cell r="B174">
            <v>158</v>
          </cell>
          <cell r="E174">
            <v>0</v>
          </cell>
        </row>
        <row r="175">
          <cell r="B175">
            <v>159</v>
          </cell>
          <cell r="E175">
            <v>0</v>
          </cell>
        </row>
        <row r="176">
          <cell r="B176">
            <v>160</v>
          </cell>
          <cell r="E176">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row r="2">
          <cell r="C2" t="str">
            <v>DATOS DEL PAIS Y GENERALES</v>
          </cell>
        </row>
        <row r="3">
          <cell r="B3">
            <v>1</v>
          </cell>
          <cell r="C3" t="str">
            <v>Factor Prestacional</v>
          </cell>
          <cell r="D3">
            <v>0.5645</v>
          </cell>
        </row>
        <row r="4">
          <cell r="B4">
            <v>2</v>
          </cell>
          <cell r="C4" t="str">
            <v>Seguro</v>
          </cell>
          <cell r="D4">
            <v>2.1000000000000001E-2</v>
          </cell>
        </row>
        <row r="5">
          <cell r="B5">
            <v>3</v>
          </cell>
          <cell r="C5" t="str">
            <v>interes efectivo anual</v>
          </cell>
          <cell r="D5">
            <v>0.28000000000000003</v>
          </cell>
        </row>
        <row r="6">
          <cell r="B6">
            <v>4</v>
          </cell>
          <cell r="C6" t="str">
            <v>Bodegaje</v>
          </cell>
          <cell r="D6">
            <v>1.2999999999999999E-2</v>
          </cell>
        </row>
        <row r="7">
          <cell r="B7">
            <v>5</v>
          </cell>
          <cell r="C7" t="str">
            <v>Valor Gasolina</v>
          </cell>
          <cell r="D7">
            <v>6034</v>
          </cell>
          <cell r="E7" t="str">
            <v>gl</v>
          </cell>
        </row>
        <row r="8">
          <cell r="B8">
            <v>6</v>
          </cell>
          <cell r="C8" t="str">
            <v>Valor ACPM</v>
          </cell>
          <cell r="D8">
            <v>4425</v>
          </cell>
          <cell r="E8" t="str">
            <v>gl</v>
          </cell>
        </row>
        <row r="9">
          <cell r="B9">
            <v>7</v>
          </cell>
          <cell r="C9" t="str">
            <v>Valor Aceite</v>
          </cell>
          <cell r="D9">
            <v>7800</v>
          </cell>
          <cell r="E9" t="str">
            <v>gl</v>
          </cell>
        </row>
        <row r="10">
          <cell r="B10">
            <v>8</v>
          </cell>
          <cell r="C10" t="str">
            <v>Grasa</v>
          </cell>
          <cell r="D10">
            <v>4223.8</v>
          </cell>
          <cell r="E10" t="str">
            <v>lb</v>
          </cell>
        </row>
        <row r="11">
          <cell r="B11">
            <v>9</v>
          </cell>
          <cell r="C11" t="str">
            <v>jornal HORA</v>
          </cell>
          <cell r="D11">
            <v>30202.983118560973</v>
          </cell>
          <cell r="E11" t="str">
            <v>HORA</v>
          </cell>
          <cell r="G11">
            <v>2150</v>
          </cell>
        </row>
        <row r="12">
          <cell r="B12">
            <v>10</v>
          </cell>
          <cell r="C12" t="str">
            <v>Valor de Aceite de transmisión</v>
          </cell>
          <cell r="D12">
            <v>42238</v>
          </cell>
          <cell r="E12" t="str">
            <v>gl</v>
          </cell>
        </row>
        <row r="15">
          <cell r="C15" t="str">
            <v>DATOS EQUIPOS</v>
          </cell>
        </row>
        <row r="17">
          <cell r="B17" t="str">
            <v xml:space="preserve">No </v>
          </cell>
          <cell r="C17" t="str">
            <v>Descripción</v>
          </cell>
          <cell r="D17" t="str">
            <v>Valor de la máquina Bogotá residual</v>
          </cell>
          <cell r="E17" t="str">
            <v>Valor de cada llanta</v>
          </cell>
          <cell r="F17" t="str">
            <v>No de llantas</v>
          </cell>
          <cell r="G17" t="str">
            <v>Valor de salvamento en %</v>
          </cell>
          <cell r="H17" t="str">
            <v>Vida util de la maquinaria en años actual</v>
          </cell>
          <cell r="I17" t="str">
            <v>Horas  útil de las llantas en Horas</v>
          </cell>
          <cell r="J17" t="str">
            <v>Cant horas  año</v>
          </cell>
          <cell r="K17" t="str">
            <v>filtro tanque lubricación</v>
          </cell>
          <cell r="L17" t="str">
            <v>TARIFA DIA (HORARIA*8)</v>
          </cell>
          <cell r="M17" t="str">
            <v>ACPM</v>
          </cell>
          <cell r="N17" t="str">
            <v>GASOLINA</v>
          </cell>
          <cell r="O17" t="str">
            <v>Rendimiento hora Gasolina hora</v>
          </cell>
          <cell r="P17" t="str">
            <v>Rendimiento hora DIESEL</v>
          </cell>
          <cell r="Q17" t="str">
            <v xml:space="preserve">VALOR DE ALQUILER CAÑO LIMON </v>
          </cell>
          <cell r="R17" t="str">
            <v>% De Diferencia</v>
          </cell>
          <cell r="S17" t="str">
            <v>MODELO</v>
          </cell>
          <cell r="T17" t="str">
            <v>fecha actual</v>
          </cell>
          <cell r="U17" t="str">
            <v>cant de años en uso</v>
          </cell>
          <cell r="V17" t="str">
            <v>Valor de la máquina Bogotá</v>
          </cell>
          <cell r="W17" t="str">
            <v xml:space="preserve">Vida util de la maquinaria en años </v>
          </cell>
        </row>
        <row r="18">
          <cell r="B18" t="str">
            <v>E1</v>
          </cell>
          <cell r="C18" t="str">
            <v>Compresor de 2 martillos 185PCM</v>
          </cell>
          <cell r="D18">
            <v>38953800</v>
          </cell>
          <cell r="E18">
            <v>114570</v>
          </cell>
          <cell r="F18">
            <v>2</v>
          </cell>
          <cell r="G18">
            <v>0.2</v>
          </cell>
          <cell r="H18">
            <v>4</v>
          </cell>
          <cell r="I18">
            <v>3500</v>
          </cell>
          <cell r="J18">
            <v>2000</v>
          </cell>
          <cell r="K18">
            <v>0.2</v>
          </cell>
          <cell r="L18">
            <v>465905.44549961388</v>
          </cell>
          <cell r="M18">
            <v>1</v>
          </cell>
          <cell r="P18">
            <v>1.375</v>
          </cell>
          <cell r="R18" t="str">
            <v xml:space="preserve"> </v>
          </cell>
          <cell r="S18">
            <v>2004</v>
          </cell>
          <cell r="T18">
            <v>2005</v>
          </cell>
          <cell r="U18">
            <v>1</v>
          </cell>
          <cell r="V18">
            <v>48692250</v>
          </cell>
          <cell r="W18">
            <v>5</v>
          </cell>
          <cell r="X18">
            <v>1.375</v>
          </cell>
        </row>
        <row r="19">
          <cell r="B19" t="str">
            <v>E2</v>
          </cell>
          <cell r="C19" t="str">
            <v>Cortadora para asfalto o concreto</v>
          </cell>
          <cell r="D19">
            <v>0</v>
          </cell>
          <cell r="E19">
            <v>0</v>
          </cell>
          <cell r="F19">
            <v>1</v>
          </cell>
          <cell r="G19">
            <v>0.2</v>
          </cell>
          <cell r="H19">
            <v>1</v>
          </cell>
          <cell r="J19">
            <v>2000</v>
          </cell>
          <cell r="L19">
            <v>407317.05671190913</v>
          </cell>
          <cell r="M19">
            <v>1</v>
          </cell>
          <cell r="P19">
            <v>0.75</v>
          </cell>
          <cell r="R19" t="str">
            <v xml:space="preserve"> </v>
          </cell>
          <cell r="S19">
            <v>1999</v>
          </cell>
          <cell r="T19">
            <v>2005</v>
          </cell>
          <cell r="U19">
            <v>6</v>
          </cell>
          <cell r="V19">
            <v>10024875</v>
          </cell>
          <cell r="W19">
            <v>5</v>
          </cell>
          <cell r="X19">
            <v>0.75</v>
          </cell>
        </row>
        <row r="20">
          <cell r="B20" t="str">
            <v>E3</v>
          </cell>
          <cell r="C20" t="str">
            <v>Retroexcavadora  311B</v>
          </cell>
          <cell r="D20">
            <v>23152687.5</v>
          </cell>
          <cell r="F20">
            <v>4</v>
          </cell>
          <cell r="G20">
            <v>0.2</v>
          </cell>
          <cell r="H20">
            <v>1</v>
          </cell>
          <cell r="I20">
            <v>3500</v>
          </cell>
          <cell r="J20">
            <v>2000</v>
          </cell>
          <cell r="K20">
            <v>0.2</v>
          </cell>
          <cell r="L20">
            <v>684731.62893429107</v>
          </cell>
          <cell r="M20">
            <v>1</v>
          </cell>
          <cell r="P20">
            <v>1.625</v>
          </cell>
          <cell r="Q20">
            <v>1120000</v>
          </cell>
          <cell r="R20">
            <v>0.61136752583418841</v>
          </cell>
          <cell r="S20">
            <v>2000</v>
          </cell>
          <cell r="T20">
            <v>2005</v>
          </cell>
          <cell r="U20">
            <v>5</v>
          </cell>
          <cell r="V20">
            <v>138916125</v>
          </cell>
          <cell r="W20">
            <v>6</v>
          </cell>
          <cell r="X20">
            <v>1.875</v>
          </cell>
        </row>
        <row r="21">
          <cell r="B21" t="str">
            <v>E4</v>
          </cell>
          <cell r="C21" t="str">
            <v xml:space="preserve">Volqueta de 7 m3 </v>
          </cell>
          <cell r="D21">
            <v>26666666.666666657</v>
          </cell>
          <cell r="E21">
            <v>515000</v>
          </cell>
          <cell r="F21">
            <v>4</v>
          </cell>
          <cell r="G21">
            <v>0.2</v>
          </cell>
          <cell r="H21">
            <v>1</v>
          </cell>
          <cell r="I21">
            <v>3500</v>
          </cell>
          <cell r="J21">
            <v>2000</v>
          </cell>
          <cell r="K21">
            <v>0.2</v>
          </cell>
          <cell r="L21">
            <v>705169.34156286228</v>
          </cell>
          <cell r="M21">
            <v>1</v>
          </cell>
          <cell r="O21">
            <v>2</v>
          </cell>
          <cell r="P21">
            <v>1.85</v>
          </cell>
          <cell r="Q21">
            <v>960000</v>
          </cell>
          <cell r="R21">
            <v>0.73455139746131481</v>
          </cell>
          <cell r="S21">
            <v>2000</v>
          </cell>
          <cell r="T21">
            <v>2005</v>
          </cell>
          <cell r="U21">
            <v>5</v>
          </cell>
          <cell r="V21">
            <v>160000000</v>
          </cell>
          <cell r="W21">
            <v>6</v>
          </cell>
          <cell r="X21">
            <v>1.375</v>
          </cell>
        </row>
        <row r="22">
          <cell r="B22" t="str">
            <v>E5</v>
          </cell>
          <cell r="C22" t="str">
            <v>Vibrador</v>
          </cell>
          <cell r="D22">
            <v>5000000</v>
          </cell>
          <cell r="E22">
            <v>0</v>
          </cell>
          <cell r="F22">
            <v>1</v>
          </cell>
          <cell r="G22">
            <v>0.2</v>
          </cell>
          <cell r="H22">
            <v>5</v>
          </cell>
          <cell r="I22">
            <v>3500</v>
          </cell>
          <cell r="J22">
            <v>1000</v>
          </cell>
          <cell r="L22">
            <v>29509.600000000006</v>
          </cell>
          <cell r="M22">
            <v>1</v>
          </cell>
          <cell r="P22">
            <v>0.2</v>
          </cell>
          <cell r="R22" t="str">
            <v xml:space="preserve"> </v>
          </cell>
          <cell r="S22">
            <v>2005</v>
          </cell>
          <cell r="T22">
            <v>2005</v>
          </cell>
          <cell r="U22">
            <v>0</v>
          </cell>
          <cell r="V22">
            <v>5000000</v>
          </cell>
          <cell r="W22">
            <v>5</v>
          </cell>
          <cell r="X22">
            <v>0.2</v>
          </cell>
        </row>
        <row r="23">
          <cell r="B23" t="str">
            <v>E6</v>
          </cell>
          <cell r="C23" t="str">
            <v>Motoniveladora (120H)</v>
          </cell>
          <cell r="D23">
            <v>0</v>
          </cell>
          <cell r="E23">
            <v>870000</v>
          </cell>
          <cell r="F23">
            <v>4</v>
          </cell>
          <cell r="G23">
            <v>0.2</v>
          </cell>
          <cell r="H23">
            <v>1</v>
          </cell>
          <cell r="I23">
            <v>3500</v>
          </cell>
          <cell r="J23">
            <v>2000</v>
          </cell>
          <cell r="K23">
            <v>0.2</v>
          </cell>
          <cell r="L23">
            <v>752983.94160857645</v>
          </cell>
          <cell r="M23">
            <v>1</v>
          </cell>
          <cell r="P23">
            <v>3.95</v>
          </cell>
          <cell r="Q23">
            <v>1280000</v>
          </cell>
          <cell r="R23">
            <v>0.58826870438170031</v>
          </cell>
          <cell r="S23">
            <v>1997</v>
          </cell>
          <cell r="T23">
            <v>2005</v>
          </cell>
          <cell r="U23">
            <v>8</v>
          </cell>
          <cell r="V23">
            <v>193060000</v>
          </cell>
          <cell r="W23">
            <v>7.5</v>
          </cell>
          <cell r="X23">
            <v>2.25</v>
          </cell>
        </row>
        <row r="24">
          <cell r="B24" t="str">
            <v>E7</v>
          </cell>
          <cell r="C24" t="str">
            <v>Retro excavadora mediana jc 315</v>
          </cell>
          <cell r="D24">
            <v>0</v>
          </cell>
          <cell r="E24">
            <v>900000</v>
          </cell>
          <cell r="F24">
            <v>4</v>
          </cell>
          <cell r="G24">
            <v>0.2</v>
          </cell>
          <cell r="H24">
            <v>1</v>
          </cell>
          <cell r="I24">
            <v>3500</v>
          </cell>
          <cell r="J24">
            <v>2000</v>
          </cell>
          <cell r="K24">
            <v>0.2</v>
          </cell>
          <cell r="L24">
            <v>654511.28236286249</v>
          </cell>
          <cell r="M24">
            <v>1</v>
          </cell>
          <cell r="P24">
            <v>2.875</v>
          </cell>
          <cell r="Q24">
            <v>1120000</v>
          </cell>
          <cell r="R24">
            <v>0.58438507353827007</v>
          </cell>
          <cell r="S24">
            <v>1998</v>
          </cell>
          <cell r="T24">
            <v>2005</v>
          </cell>
          <cell r="U24">
            <v>7</v>
          </cell>
          <cell r="V24">
            <v>196590000</v>
          </cell>
          <cell r="W24">
            <v>6</v>
          </cell>
          <cell r="X24">
            <v>1.875</v>
          </cell>
        </row>
        <row r="25">
          <cell r="B25" t="str">
            <v>E8</v>
          </cell>
          <cell r="C25" t="str">
            <v>Retro excavadora sobre oruga 375</v>
          </cell>
          <cell r="D25">
            <v>0</v>
          </cell>
          <cell r="F25">
            <v>1</v>
          </cell>
          <cell r="G25">
            <v>0.2</v>
          </cell>
          <cell r="H25">
            <v>1</v>
          </cell>
          <cell r="I25">
            <v>3500</v>
          </cell>
          <cell r="J25">
            <v>2000</v>
          </cell>
          <cell r="K25">
            <v>0.2</v>
          </cell>
          <cell r="L25">
            <v>1138343.575894291</v>
          </cell>
          <cell r="M25">
            <v>1</v>
          </cell>
          <cell r="O25">
            <v>0.25</v>
          </cell>
          <cell r="P25">
            <v>11.875</v>
          </cell>
          <cell r="Q25">
            <v>1120000</v>
          </cell>
          <cell r="R25">
            <v>1.0163781927627598</v>
          </cell>
          <cell r="S25">
            <v>1993</v>
          </cell>
          <cell r="T25">
            <v>2005</v>
          </cell>
          <cell r="U25">
            <v>12</v>
          </cell>
          <cell r="V25">
            <v>425800000</v>
          </cell>
          <cell r="W25">
            <v>9</v>
          </cell>
          <cell r="X25">
            <v>0.1</v>
          </cell>
        </row>
        <row r="26">
          <cell r="B26" t="str">
            <v>E9</v>
          </cell>
          <cell r="C26" t="str">
            <v>Retro excavadora sobre llanta grande 5130</v>
          </cell>
          <cell r="D26">
            <v>0</v>
          </cell>
          <cell r="E26">
            <v>920000</v>
          </cell>
          <cell r="F26">
            <v>4</v>
          </cell>
          <cell r="G26">
            <v>0.2</v>
          </cell>
          <cell r="H26">
            <v>1</v>
          </cell>
          <cell r="I26">
            <v>3500</v>
          </cell>
          <cell r="J26">
            <v>4000</v>
          </cell>
          <cell r="K26">
            <v>0.2</v>
          </cell>
          <cell r="L26">
            <v>2594494.5686257193</v>
          </cell>
          <cell r="M26">
            <v>1</v>
          </cell>
          <cell r="O26">
            <v>2</v>
          </cell>
          <cell r="P26">
            <v>28</v>
          </cell>
          <cell r="R26" t="str">
            <v xml:space="preserve"> </v>
          </cell>
          <cell r="S26">
            <v>1991</v>
          </cell>
          <cell r="T26">
            <v>2005</v>
          </cell>
          <cell r="U26">
            <v>14</v>
          </cell>
          <cell r="V26">
            <v>1000000000</v>
          </cell>
          <cell r="W26">
            <v>12.5</v>
          </cell>
          <cell r="X26">
            <v>1.375</v>
          </cell>
        </row>
        <row r="27">
          <cell r="B27" t="str">
            <v>E10</v>
          </cell>
          <cell r="C27" t="str">
            <v>Rodillo tipo  (CS-573)</v>
          </cell>
          <cell r="D27">
            <v>0</v>
          </cell>
          <cell r="F27">
            <v>1</v>
          </cell>
          <cell r="G27">
            <v>0.2</v>
          </cell>
          <cell r="H27">
            <v>1</v>
          </cell>
          <cell r="I27">
            <v>3500</v>
          </cell>
          <cell r="J27">
            <v>2000</v>
          </cell>
          <cell r="L27">
            <v>522098.53671190911</v>
          </cell>
          <cell r="M27">
            <v>1</v>
          </cell>
          <cell r="P27">
            <v>3.7</v>
          </cell>
          <cell r="R27" t="str">
            <v xml:space="preserve"> </v>
          </cell>
          <cell r="S27">
            <v>1998</v>
          </cell>
          <cell r="T27">
            <v>2005</v>
          </cell>
          <cell r="U27">
            <v>7</v>
          </cell>
          <cell r="V27">
            <v>157533750</v>
          </cell>
          <cell r="W27">
            <v>5</v>
          </cell>
          <cell r="X27">
            <v>0.2</v>
          </cell>
        </row>
        <row r="28">
          <cell r="B28" t="str">
            <v>E11</v>
          </cell>
          <cell r="C28" t="str">
            <v>Mezcladora</v>
          </cell>
          <cell r="D28">
            <v>9000000</v>
          </cell>
          <cell r="E28">
            <v>180000</v>
          </cell>
          <cell r="F28">
            <v>2</v>
          </cell>
          <cell r="G28">
            <v>0.2</v>
          </cell>
          <cell r="H28">
            <v>4</v>
          </cell>
          <cell r="I28">
            <v>3500</v>
          </cell>
          <cell r="J28">
            <v>1000</v>
          </cell>
          <cell r="K28">
            <v>0.2</v>
          </cell>
          <cell r="L28">
            <v>57836.417142857143</v>
          </cell>
          <cell r="M28">
            <v>1</v>
          </cell>
          <cell r="P28">
            <v>0.3</v>
          </cell>
          <cell r="R28" t="str">
            <v xml:space="preserve"> </v>
          </cell>
          <cell r="S28">
            <v>2005</v>
          </cell>
          <cell r="T28">
            <v>2005</v>
          </cell>
          <cell r="U28">
            <v>0</v>
          </cell>
          <cell r="V28">
            <v>9000000</v>
          </cell>
          <cell r="W28">
            <v>4</v>
          </cell>
        </row>
        <row r="29">
          <cell r="B29">
            <v>23</v>
          </cell>
          <cell r="R29" t="str">
            <v xml:space="preserve"> </v>
          </cell>
          <cell r="T29">
            <v>2005</v>
          </cell>
          <cell r="U29">
            <v>2005</v>
          </cell>
        </row>
        <row r="30">
          <cell r="B30">
            <v>24</v>
          </cell>
          <cell r="R30" t="str">
            <v xml:space="preserve"> </v>
          </cell>
          <cell r="T30">
            <v>2005</v>
          </cell>
          <cell r="U30">
            <v>2005</v>
          </cell>
        </row>
        <row r="31">
          <cell r="B31">
            <v>25</v>
          </cell>
          <cell r="R31" t="str">
            <v xml:space="preserve"> </v>
          </cell>
          <cell r="T31">
            <v>2005</v>
          </cell>
          <cell r="U31">
            <v>2005</v>
          </cell>
        </row>
        <row r="32">
          <cell r="B32">
            <v>26</v>
          </cell>
          <cell r="R32" t="str">
            <v xml:space="preserve"> </v>
          </cell>
          <cell r="T32">
            <v>2005</v>
          </cell>
          <cell r="U32">
            <v>2005</v>
          </cell>
        </row>
        <row r="33">
          <cell r="B33">
            <v>27</v>
          </cell>
          <cell r="R33" t="str">
            <v xml:space="preserve"> </v>
          </cell>
          <cell r="T33">
            <v>2005</v>
          </cell>
          <cell r="U33">
            <v>2005</v>
          </cell>
        </row>
        <row r="34">
          <cell r="B34">
            <v>28</v>
          </cell>
          <cell r="R34" t="str">
            <v xml:space="preserve"> </v>
          </cell>
          <cell r="T34">
            <v>2005</v>
          </cell>
          <cell r="U34">
            <v>2005</v>
          </cell>
        </row>
        <row r="35">
          <cell r="B35">
            <v>29</v>
          </cell>
          <cell r="R35" t="str">
            <v xml:space="preserve"> </v>
          </cell>
          <cell r="T35">
            <v>2005</v>
          </cell>
          <cell r="U35">
            <v>2005</v>
          </cell>
        </row>
        <row r="36">
          <cell r="B36">
            <v>30</v>
          </cell>
          <cell r="R36" t="str">
            <v xml:space="preserve"> </v>
          </cell>
          <cell r="T36">
            <v>2005</v>
          </cell>
          <cell r="U36">
            <v>2005</v>
          </cell>
        </row>
        <row r="37">
          <cell r="B37">
            <v>31</v>
          </cell>
          <cell r="R37" t="str">
            <v xml:space="preserve"> </v>
          </cell>
          <cell r="T37">
            <v>2005</v>
          </cell>
          <cell r="U37">
            <v>2005</v>
          </cell>
        </row>
        <row r="38">
          <cell r="B38">
            <v>32</v>
          </cell>
          <cell r="R38" t="str">
            <v xml:space="preserve"> </v>
          </cell>
          <cell r="T38">
            <v>2005</v>
          </cell>
          <cell r="U38">
            <v>2005</v>
          </cell>
        </row>
        <row r="39">
          <cell r="B39">
            <v>33</v>
          </cell>
          <cell r="R39" t="str">
            <v xml:space="preserve"> </v>
          </cell>
          <cell r="T39">
            <v>2005</v>
          </cell>
          <cell r="U39">
            <v>2005</v>
          </cell>
        </row>
        <row r="40">
          <cell r="B40">
            <v>34</v>
          </cell>
          <cell r="R40" t="str">
            <v xml:space="preserve"> </v>
          </cell>
          <cell r="T40">
            <v>2005</v>
          </cell>
          <cell r="U40">
            <v>2005</v>
          </cell>
        </row>
      </sheetData>
      <sheetData sheetId="308" refreshError="1">
        <row r="1">
          <cell r="A1">
            <v>2</v>
          </cell>
          <cell r="B1" t="str">
            <v>CONSUMO APROXIMADO DE LUBRICANTES POR HORA</v>
          </cell>
          <cell r="N1" t="str">
            <v>CONSUMO DE COMBUSTIBLES POR HORA **</v>
          </cell>
          <cell r="T1" t="str">
            <v>REPARACIIONES</v>
          </cell>
          <cell r="AB1" t="str">
            <v>VIDA UTIL</v>
          </cell>
        </row>
        <row r="2">
          <cell r="B2" t="str">
            <v>VOLQUETAS</v>
          </cell>
        </row>
        <row r="3">
          <cell r="C3" t="str">
            <v>CARTER</v>
          </cell>
          <cell r="E3" t="str">
            <v>TRASMISION</v>
          </cell>
          <cell r="G3" t="str">
            <v>MANDOS FINALES</v>
          </cell>
          <cell r="I3" t="str">
            <v>CONTROL HIDRAULICO</v>
          </cell>
          <cell r="K3" t="str">
            <v>CAMBIO DE LUBRICANTES</v>
          </cell>
          <cell r="L3" t="str">
            <v>CONECTORES DE ENGRASE</v>
          </cell>
          <cell r="M3" t="str">
            <v>CONSUMO</v>
          </cell>
          <cell r="N3" t="str">
            <v>BAJO</v>
          </cell>
          <cell r="P3" t="str">
            <v>MEDIO</v>
          </cell>
          <cell r="R3" t="str">
            <v>ALTO</v>
          </cell>
          <cell r="T3" t="str">
            <v xml:space="preserve">PARTES </v>
          </cell>
          <cell r="U3" t="str">
            <v>MANO DE OBRA</v>
          </cell>
          <cell r="W3" t="str">
            <v>FACTOR MULTIPLICADOR DE DURACION PROLONGADA</v>
          </cell>
          <cell r="AB3" t="str">
            <v>VARIACION DE LA VIDA UTIL DE LA MAQUINA DE ACUEROD AL GRADO DE SEVERIDAD DEL TRABAJO EN HRS</v>
          </cell>
        </row>
        <row r="4">
          <cell r="B4" t="str">
            <v>MODELO</v>
          </cell>
          <cell r="C4" t="str">
            <v>LITRO</v>
          </cell>
          <cell r="D4" t="str">
            <v>U.S GAL</v>
          </cell>
          <cell r="E4" t="str">
            <v>LITRO</v>
          </cell>
          <cell r="F4" t="str">
            <v>U.S GAL</v>
          </cell>
          <cell r="G4" t="str">
            <v>LITRO</v>
          </cell>
          <cell r="H4" t="str">
            <v>U.S GAL</v>
          </cell>
          <cell r="I4" t="str">
            <v>LITRO</v>
          </cell>
          <cell r="J4" t="str">
            <v>U.S GAL</v>
          </cell>
          <cell r="N4" t="str">
            <v>LITRO</v>
          </cell>
          <cell r="O4" t="str">
            <v>U.S. GAL</v>
          </cell>
          <cell r="P4" t="str">
            <v>LITRO</v>
          </cell>
          <cell r="Q4" t="str">
            <v>U.S GAL</v>
          </cell>
          <cell r="R4" t="str">
            <v>LITRO</v>
          </cell>
          <cell r="S4" t="str">
            <v>U.S GAL</v>
          </cell>
          <cell r="V4" t="str">
            <v>FACTOR ELEJIDO</v>
          </cell>
          <cell r="W4" t="str">
            <v>BAJO</v>
          </cell>
          <cell r="X4" t="str">
            <v>MEDIO</v>
          </cell>
          <cell r="Y4" t="str">
            <v>ALTO</v>
          </cell>
          <cell r="Z4" t="str">
            <v>COSTO POR HORA</v>
          </cell>
          <cell r="AA4" t="str">
            <v>VIDA UTIL ELEJIDA</v>
          </cell>
          <cell r="AB4" t="str">
            <v>BAJO</v>
          </cell>
          <cell r="AC4" t="str">
            <v>MEDIO</v>
          </cell>
          <cell r="AD4" t="str">
            <v>ALTO</v>
          </cell>
        </row>
        <row r="5">
          <cell r="A5" t="str">
            <v>E4</v>
          </cell>
          <cell r="B5" t="str">
            <v>VOLQUETA</v>
          </cell>
          <cell r="C5">
            <v>0.182</v>
          </cell>
          <cell r="D5">
            <v>4.8000000000000001E-2</v>
          </cell>
          <cell r="E5">
            <v>8.3000000000000004E-2</v>
          </cell>
          <cell r="F5">
            <v>2.1999999999999999E-2</v>
          </cell>
          <cell r="G5">
            <v>8.3000000000000004E-2</v>
          </cell>
          <cell r="H5">
            <v>2.1999999999999999E-2</v>
          </cell>
          <cell r="I5">
            <v>0.27600000000000002</v>
          </cell>
          <cell r="J5">
            <v>7.2999999999999995E-2</v>
          </cell>
          <cell r="K5">
            <v>20</v>
          </cell>
          <cell r="L5">
            <v>552</v>
          </cell>
          <cell r="M5">
            <v>1.85</v>
          </cell>
          <cell r="N5">
            <v>5.4</v>
          </cell>
          <cell r="O5">
            <v>1.35</v>
          </cell>
          <cell r="P5">
            <v>7.4</v>
          </cell>
          <cell r="Q5">
            <v>1.85</v>
          </cell>
          <cell r="R5">
            <v>9.8000000000000007</v>
          </cell>
          <cell r="S5">
            <v>2.4500000000000002</v>
          </cell>
          <cell r="T5">
            <v>0.6</v>
          </cell>
          <cell r="U5">
            <v>0.4</v>
          </cell>
          <cell r="V5">
            <v>0.4</v>
          </cell>
          <cell r="W5">
            <v>0.6</v>
          </cell>
          <cell r="X5">
            <v>0.4</v>
          </cell>
          <cell r="Y5">
            <v>0.2</v>
          </cell>
          <cell r="Z5">
            <v>8600</v>
          </cell>
          <cell r="AA5">
            <v>12000</v>
          </cell>
          <cell r="AB5">
            <v>15000</v>
          </cell>
          <cell r="AC5">
            <v>12000</v>
          </cell>
          <cell r="AD5">
            <v>8000</v>
          </cell>
        </row>
        <row r="6">
          <cell r="A6" t="str">
            <v>E6</v>
          </cell>
          <cell r="B6" t="str">
            <v>MOTONIVELADORA 120H</v>
          </cell>
          <cell r="C6">
            <v>9.1999999999999998E-2</v>
          </cell>
          <cell r="D6">
            <v>2.4E-2</v>
          </cell>
          <cell r="E6">
            <v>4.7E-2</v>
          </cell>
          <cell r="F6">
            <v>1.2E-2</v>
          </cell>
          <cell r="G6">
            <v>4.9000000000000002E-2</v>
          </cell>
          <cell r="H6">
            <v>1.2999999999999999E-2</v>
          </cell>
          <cell r="I6">
            <v>1.9E-2</v>
          </cell>
          <cell r="J6">
            <v>5.0000000000000001E-3</v>
          </cell>
          <cell r="K6">
            <v>12</v>
          </cell>
          <cell r="L6">
            <v>876</v>
          </cell>
          <cell r="M6">
            <v>3.95</v>
          </cell>
          <cell r="N6" t="str">
            <v>9   -  13.</v>
          </cell>
          <cell r="O6">
            <v>2.9</v>
          </cell>
          <cell r="P6" t="str">
            <v>13 - 17.</v>
          </cell>
          <cell r="Q6">
            <v>3.95</v>
          </cell>
          <cell r="R6" t="str">
            <v>17 - 21.</v>
          </cell>
          <cell r="S6">
            <v>5</v>
          </cell>
          <cell r="T6">
            <v>0.65</v>
          </cell>
          <cell r="U6">
            <v>0.35</v>
          </cell>
          <cell r="V6">
            <v>1</v>
          </cell>
          <cell r="W6">
            <v>1.33</v>
          </cell>
          <cell r="X6">
            <v>1</v>
          </cell>
          <cell r="Y6">
            <v>1</v>
          </cell>
          <cell r="Z6">
            <v>12362.5</v>
          </cell>
          <cell r="AA6">
            <v>15000</v>
          </cell>
          <cell r="AB6">
            <v>20000</v>
          </cell>
          <cell r="AC6">
            <v>15000</v>
          </cell>
          <cell r="AD6">
            <v>12000</v>
          </cell>
        </row>
        <row r="7">
          <cell r="B7" t="str">
            <v>EXCAVADORAS &amp; FRONT SHOVELS</v>
          </cell>
        </row>
        <row r="8">
          <cell r="C8" t="str">
            <v>CARTER</v>
          </cell>
          <cell r="E8" t="str">
            <v>TRANSMISION</v>
          </cell>
          <cell r="G8" t="str">
            <v>MANDOS FINALES</v>
          </cell>
          <cell r="I8" t="str">
            <v>CONTROL HIDRAULICO</v>
          </cell>
          <cell r="K8" t="str">
            <v>CAMBIO DE LUBRICANTES</v>
          </cell>
          <cell r="L8" t="str">
            <v>CONECTORES DE ENGRASE****</v>
          </cell>
          <cell r="N8" t="str">
            <v>BAJO</v>
          </cell>
          <cell r="P8" t="str">
            <v>MEDIO</v>
          </cell>
          <cell r="R8" t="str">
            <v>ALTO</v>
          </cell>
          <cell r="T8" t="str">
            <v xml:space="preserve">PARTES </v>
          </cell>
          <cell r="U8" t="str">
            <v>MANO DE OBRA</v>
          </cell>
          <cell r="W8" t="str">
            <v>BAJO</v>
          </cell>
          <cell r="X8" t="str">
            <v>MEDIO</v>
          </cell>
          <cell r="Y8" t="str">
            <v>ALTO</v>
          </cell>
          <cell r="Z8" t="str">
            <v>ALTO</v>
          </cell>
          <cell r="AB8" t="str">
            <v>BAJO</v>
          </cell>
          <cell r="AC8" t="str">
            <v>MEDIO</v>
          </cell>
          <cell r="AD8" t="str">
            <v>ALTO</v>
          </cell>
        </row>
        <row r="9">
          <cell r="B9" t="str">
            <v>MODELO</v>
          </cell>
          <cell r="C9" t="str">
            <v>LITRO</v>
          </cell>
          <cell r="D9" t="str">
            <v>U,S GAL</v>
          </cell>
          <cell r="E9" t="str">
            <v>LITRO</v>
          </cell>
          <cell r="F9" t="str">
            <v>U,S GAL</v>
          </cell>
          <cell r="G9" t="str">
            <v>LITRO</v>
          </cell>
          <cell r="H9" t="str">
            <v>U,S GAL</v>
          </cell>
          <cell r="I9" t="str">
            <v>LITRO</v>
          </cell>
          <cell r="J9" t="str">
            <v>U,S GAL</v>
          </cell>
          <cell r="N9" t="str">
            <v>LITRO</v>
          </cell>
          <cell r="O9" t="str">
            <v>U.S. GAL</v>
          </cell>
          <cell r="P9" t="str">
            <v>LITRO</v>
          </cell>
          <cell r="Q9" t="str">
            <v>U.S GAL</v>
          </cell>
          <cell r="R9" t="str">
            <v>LITRO</v>
          </cell>
          <cell r="S9" t="str">
            <v>U.S GAL</v>
          </cell>
        </row>
        <row r="10">
          <cell r="A10" t="str">
            <v>E3</v>
          </cell>
          <cell r="B10">
            <v>307</v>
          </cell>
          <cell r="C10">
            <v>4.1000000000000002E-2</v>
          </cell>
          <cell r="D10">
            <v>1.0999999999999999E-2</v>
          </cell>
          <cell r="G10">
            <v>3.0000000000000001E-3</v>
          </cell>
          <cell r="H10">
            <v>1E-3</v>
          </cell>
          <cell r="I10">
            <v>5.2999999999999999E-2</v>
          </cell>
          <cell r="J10">
            <v>1.4E-2</v>
          </cell>
          <cell r="K10">
            <v>15</v>
          </cell>
          <cell r="L10">
            <v>777</v>
          </cell>
          <cell r="M10">
            <v>1.625</v>
          </cell>
          <cell r="N10" t="str">
            <v xml:space="preserve"> 3 -5 </v>
          </cell>
          <cell r="O10">
            <v>1</v>
          </cell>
          <cell r="P10" t="str">
            <v>5 - 8.</v>
          </cell>
          <cell r="Q10">
            <v>1.625</v>
          </cell>
          <cell r="R10" t="str">
            <v>7 - 10.</v>
          </cell>
          <cell r="S10">
            <v>2.125</v>
          </cell>
          <cell r="T10">
            <v>0.5</v>
          </cell>
          <cell r="U10">
            <v>0.5</v>
          </cell>
          <cell r="V10">
            <v>0.4</v>
          </cell>
          <cell r="W10">
            <v>0.6</v>
          </cell>
          <cell r="X10">
            <v>0.4</v>
          </cell>
          <cell r="Y10">
            <v>0.4</v>
          </cell>
          <cell r="Z10">
            <v>12362.5</v>
          </cell>
          <cell r="AA10">
            <v>12000</v>
          </cell>
          <cell r="AB10">
            <v>15000</v>
          </cell>
          <cell r="AC10">
            <v>12000</v>
          </cell>
          <cell r="AD10">
            <v>10000</v>
          </cell>
        </row>
        <row r="11">
          <cell r="B11" t="str">
            <v>311B</v>
          </cell>
          <cell r="C11">
            <v>5.8999999999999997E-2</v>
          </cell>
          <cell r="D11">
            <v>1.6E-2</v>
          </cell>
          <cell r="G11">
            <v>5.0000000000000001E-3</v>
          </cell>
          <cell r="H11">
            <v>1E-3</v>
          </cell>
          <cell r="I11">
            <v>7.9000000000000001E-2</v>
          </cell>
          <cell r="J11">
            <v>2.1000000000000001E-2</v>
          </cell>
          <cell r="K11">
            <v>15</v>
          </cell>
          <cell r="L11">
            <v>863</v>
          </cell>
          <cell r="M11" t="str">
            <v>*</v>
          </cell>
          <cell r="N11" t="str">
            <v>*</v>
          </cell>
          <cell r="O11" t="str">
            <v>*</v>
          </cell>
          <cell r="P11" t="str">
            <v>*</v>
          </cell>
          <cell r="Q11" t="str">
            <v>*</v>
          </cell>
          <cell r="R11" t="str">
            <v>*</v>
          </cell>
          <cell r="S11" t="str">
            <v>*</v>
          </cell>
          <cell r="T11">
            <v>0.5</v>
          </cell>
          <cell r="U11">
            <v>0.5</v>
          </cell>
          <cell r="V11">
            <v>0.4</v>
          </cell>
          <cell r="W11">
            <v>0.6</v>
          </cell>
          <cell r="X11">
            <v>0.4</v>
          </cell>
          <cell r="Y11">
            <v>0.4</v>
          </cell>
          <cell r="Z11">
            <v>19350</v>
          </cell>
          <cell r="AA11">
            <v>12000</v>
          </cell>
          <cell r="AB11">
            <v>15000</v>
          </cell>
          <cell r="AC11">
            <v>12000</v>
          </cell>
          <cell r="AD11">
            <v>10000</v>
          </cell>
        </row>
        <row r="12">
          <cell r="A12" t="str">
            <v>E7</v>
          </cell>
          <cell r="B12">
            <v>315</v>
          </cell>
          <cell r="C12">
            <v>5.8999999999999997E-2</v>
          </cell>
          <cell r="D12">
            <v>1.6E-2</v>
          </cell>
          <cell r="G12">
            <v>5.0000000000000001E-3</v>
          </cell>
          <cell r="H12">
            <v>1E-3</v>
          </cell>
          <cell r="I12">
            <v>9.4E-2</v>
          </cell>
          <cell r="J12">
            <v>2.5000000000000001E-2</v>
          </cell>
          <cell r="K12">
            <v>15</v>
          </cell>
          <cell r="L12">
            <v>912</v>
          </cell>
          <cell r="M12">
            <v>2.875</v>
          </cell>
          <cell r="N12" t="str">
            <v xml:space="preserve"> 5 - 9.</v>
          </cell>
          <cell r="O12">
            <v>1.75</v>
          </cell>
          <cell r="P12" t="str">
            <v>9 - 13.</v>
          </cell>
          <cell r="Q12">
            <v>2.875</v>
          </cell>
          <cell r="R12" t="str">
            <v>13 - 15.</v>
          </cell>
          <cell r="S12">
            <v>3.75</v>
          </cell>
          <cell r="T12">
            <v>0.5</v>
          </cell>
          <cell r="U12">
            <v>0.5</v>
          </cell>
          <cell r="V12">
            <v>0.4</v>
          </cell>
          <cell r="W12">
            <v>0.6</v>
          </cell>
          <cell r="X12">
            <v>0.4</v>
          </cell>
          <cell r="Y12">
            <v>0.4</v>
          </cell>
          <cell r="Z12">
            <v>17200</v>
          </cell>
          <cell r="AA12">
            <v>12000</v>
          </cell>
          <cell r="AB12">
            <v>15000</v>
          </cell>
          <cell r="AC12">
            <v>12000</v>
          </cell>
          <cell r="AD12">
            <v>10000</v>
          </cell>
        </row>
        <row r="13">
          <cell r="A13" t="str">
            <v>E8</v>
          </cell>
          <cell r="B13">
            <v>375</v>
          </cell>
          <cell r="C13">
            <v>0.26</v>
          </cell>
          <cell r="D13">
            <v>3.2000000000000001E-2</v>
          </cell>
          <cell r="G13">
            <v>0.05</v>
          </cell>
          <cell r="H13">
            <v>1.2999999999999999E-2</v>
          </cell>
          <cell r="I13">
            <v>0.498</v>
          </cell>
          <cell r="J13">
            <v>0.13200000000000001</v>
          </cell>
          <cell r="K13">
            <v>14</v>
          </cell>
          <cell r="L13">
            <v>1991</v>
          </cell>
          <cell r="M13">
            <v>11.875</v>
          </cell>
          <cell r="N13" t="str">
            <v>33 - 38</v>
          </cell>
          <cell r="O13">
            <v>9.375</v>
          </cell>
          <cell r="P13" t="str">
            <v>42 - 48</v>
          </cell>
          <cell r="Q13">
            <v>11.875</v>
          </cell>
          <cell r="R13" t="str">
            <v>61 - 67</v>
          </cell>
          <cell r="S13">
            <v>16.875</v>
          </cell>
          <cell r="T13">
            <v>0.5</v>
          </cell>
          <cell r="U13">
            <v>0.5</v>
          </cell>
          <cell r="V13">
            <v>0.4</v>
          </cell>
          <cell r="W13">
            <v>0.6</v>
          </cell>
          <cell r="X13">
            <v>0.4</v>
          </cell>
          <cell r="Y13">
            <v>0.4</v>
          </cell>
          <cell r="Z13">
            <v>23650</v>
          </cell>
          <cell r="AA13">
            <v>18000</v>
          </cell>
          <cell r="AB13">
            <v>20000</v>
          </cell>
          <cell r="AC13">
            <v>18000</v>
          </cell>
          <cell r="AD13">
            <v>15000</v>
          </cell>
        </row>
        <row r="14">
          <cell r="A14" t="str">
            <v>E9</v>
          </cell>
          <cell r="B14" t="str">
            <v>5130B FS***</v>
          </cell>
          <cell r="C14">
            <v>0.36399999999999999</v>
          </cell>
          <cell r="D14">
            <v>9.6000000000000002E-2</v>
          </cell>
          <cell r="E14">
            <v>7.6999999999999999E-2</v>
          </cell>
          <cell r="F14">
            <v>0.02</v>
          </cell>
          <cell r="G14">
            <v>0.39200000000000002</v>
          </cell>
          <cell r="H14">
            <v>0.10299999999999999</v>
          </cell>
          <cell r="I14">
            <v>0.6</v>
          </cell>
          <cell r="J14">
            <v>0.159</v>
          </cell>
          <cell r="K14">
            <v>20</v>
          </cell>
          <cell r="L14">
            <v>0</v>
          </cell>
          <cell r="M14">
            <v>28</v>
          </cell>
          <cell r="N14" t="str">
            <v>91 - 95</v>
          </cell>
          <cell r="O14">
            <v>24.5</v>
          </cell>
          <cell r="P14" t="str">
            <v>110 - 114</v>
          </cell>
          <cell r="Q14">
            <v>28</v>
          </cell>
          <cell r="R14" t="str">
            <v>129 - 132</v>
          </cell>
          <cell r="S14">
            <v>33</v>
          </cell>
          <cell r="T14">
            <v>0.7</v>
          </cell>
          <cell r="U14">
            <v>0.3</v>
          </cell>
          <cell r="V14">
            <v>1.45</v>
          </cell>
          <cell r="W14">
            <v>1.65</v>
          </cell>
          <cell r="X14">
            <v>1.45</v>
          </cell>
          <cell r="Y14">
            <v>1.21</v>
          </cell>
          <cell r="Z14">
            <v>68800</v>
          </cell>
          <cell r="AA14">
            <v>50000</v>
          </cell>
          <cell r="AB14">
            <v>60000</v>
          </cell>
          <cell r="AC14">
            <v>50000</v>
          </cell>
          <cell r="AD14">
            <v>40000</v>
          </cell>
        </row>
        <row r="15">
          <cell r="B15" t="str">
            <v>5230 FS***</v>
          </cell>
          <cell r="C15">
            <v>0.76</v>
          </cell>
          <cell r="D15">
            <v>0.2</v>
          </cell>
          <cell r="E15">
            <v>0.09</v>
          </cell>
          <cell r="F15">
            <v>2.4E-2</v>
          </cell>
          <cell r="G15">
            <v>0.499</v>
          </cell>
          <cell r="H15">
            <v>0.13100000000000001</v>
          </cell>
          <cell r="I15">
            <v>0.83</v>
          </cell>
          <cell r="J15">
            <v>0.16900000000000001</v>
          </cell>
          <cell r="K15">
            <v>22</v>
          </cell>
          <cell r="L15">
            <v>0</v>
          </cell>
          <cell r="M15">
            <v>52.5</v>
          </cell>
          <cell r="N15" t="str">
            <v>163 - 193</v>
          </cell>
          <cell r="O15">
            <v>47</v>
          </cell>
          <cell r="P15" t="str">
            <v>193 - 204</v>
          </cell>
          <cell r="Q15">
            <v>52.5</v>
          </cell>
          <cell r="R15" t="str">
            <v>208 - 227</v>
          </cell>
          <cell r="S15">
            <v>57.5</v>
          </cell>
          <cell r="T15">
            <v>0.7</v>
          </cell>
          <cell r="U15">
            <v>0.3</v>
          </cell>
          <cell r="V15">
            <v>1.45</v>
          </cell>
          <cell r="W15">
            <v>1.65</v>
          </cell>
          <cell r="X15">
            <v>1.45</v>
          </cell>
          <cell r="Y15">
            <v>1.21</v>
          </cell>
          <cell r="Z15">
            <v>68800</v>
          </cell>
          <cell r="AA15">
            <v>50000</v>
          </cell>
          <cell r="AB15">
            <v>60000</v>
          </cell>
          <cell r="AC15">
            <v>50000</v>
          </cell>
          <cell r="AD15">
            <v>40000</v>
          </cell>
        </row>
        <row r="16">
          <cell r="B16" t="str">
            <v>EQUIPOS DE COMPACTACION</v>
          </cell>
          <cell r="V16">
            <v>0</v>
          </cell>
          <cell r="AA16">
            <v>0</v>
          </cell>
        </row>
        <row r="17">
          <cell r="B17" t="str">
            <v>MODELO</v>
          </cell>
          <cell r="N17" t="str">
            <v>BAJO</v>
          </cell>
          <cell r="P17" t="str">
            <v>MEDIO</v>
          </cell>
          <cell r="R17" t="str">
            <v>ALTO</v>
          </cell>
          <cell r="T17" t="str">
            <v xml:space="preserve">PARTES </v>
          </cell>
          <cell r="U17" t="str">
            <v>MANO DE OBRA</v>
          </cell>
          <cell r="V17" t="str">
            <v>FACTOR ELEJIDO</v>
          </cell>
          <cell r="W17" t="str">
            <v>BAJO</v>
          </cell>
          <cell r="X17" t="str">
            <v>MEDIO</v>
          </cell>
          <cell r="Y17" t="str">
            <v>ALTO</v>
          </cell>
          <cell r="Z17" t="str">
            <v>ALTO</v>
          </cell>
          <cell r="AA17" t="str">
            <v>VIDA UTIL ELEJIDA</v>
          </cell>
          <cell r="AB17" t="str">
            <v>BAJO</v>
          </cell>
          <cell r="AC17" t="str">
            <v>MEDIO</v>
          </cell>
          <cell r="AD17" t="str">
            <v>ALTO</v>
          </cell>
        </row>
        <row r="18">
          <cell r="N18" t="str">
            <v>LITRO</v>
          </cell>
          <cell r="O18" t="str">
            <v>U.S. GAL</v>
          </cell>
          <cell r="P18" t="str">
            <v>LITRO</v>
          </cell>
          <cell r="Q18" t="str">
            <v>U.S GAL</v>
          </cell>
          <cell r="R18" t="str">
            <v>LITRO</v>
          </cell>
          <cell r="S18" t="str">
            <v>U.S GAL</v>
          </cell>
        </row>
        <row r="19">
          <cell r="A19" t="str">
            <v>E10</v>
          </cell>
          <cell r="B19" t="str">
            <v>CS-573</v>
          </cell>
          <cell r="M19">
            <v>3.7</v>
          </cell>
          <cell r="N19">
            <v>13</v>
          </cell>
          <cell r="O19">
            <v>3.5</v>
          </cell>
          <cell r="P19" t="str">
            <v>13-15</v>
          </cell>
          <cell r="Q19">
            <v>3.7</v>
          </cell>
          <cell r="R19" t="str">
            <v>15-21</v>
          </cell>
          <cell r="S19">
            <v>4.75</v>
          </cell>
          <cell r="T19">
            <v>0.55000000000000004</v>
          </cell>
          <cell r="U19">
            <v>0.45</v>
          </cell>
          <cell r="AA19">
            <v>12000</v>
          </cell>
          <cell r="AB19">
            <v>15000</v>
          </cell>
          <cell r="AC19">
            <v>12000</v>
          </cell>
          <cell r="AD19">
            <v>8000</v>
          </cell>
        </row>
        <row r="21">
          <cell r="B21" t="str">
            <v>* ESTOS VALORES HAN SIDO TOMADOS DEL CATERPILLAR HANDBOOK CAPIUTLO 19 "OWNING AND OPERATING COST"</v>
          </cell>
        </row>
        <row r="22">
          <cell r="B22" t="str">
            <v>** ESTOS VALORES ALTOS MEDIOS Y BAJO CORREPONDEN AL GRADO DE DIFICULTAD DE LOS TRABAJOS A DESARROLLAR</v>
          </cell>
        </row>
        <row r="23">
          <cell r="B23" t="str">
            <v>*** PARA CONECTORES DE ENGRASE SON AUTO LUBE</v>
          </cell>
        </row>
        <row r="24">
          <cell r="B24" t="str">
            <v>**** ESTE CONSUMO CORRESPONDE A 2000 HRS</v>
          </cell>
        </row>
      </sheetData>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 val="BASES"/>
      <sheetName val="CDItem"/>
      <sheetName val="#REF"/>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LAN DE INVERSION ANTICIPO"/>
      <sheetName val="inv mensual"/>
      <sheetName val="borrador flujo inv"/>
      <sheetName val="social-ambiental"/>
      <sheetName val="AU"/>
      <sheetName val="Concretos y morteros"/>
      <sheetName val="Datos iniciales "/>
      <sheetName val="Transpor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refreshError="1"/>
      <sheetData sheetId="60" refreshError="1"/>
      <sheetData sheetId="61"/>
      <sheetData sheetId="62"/>
      <sheetData sheetId="63"/>
      <sheetData sheetId="64"/>
      <sheetData sheetId="65"/>
      <sheetData sheetId="66" refreshError="1"/>
      <sheetData sheetId="67" refreshError="1"/>
      <sheetData sheetId="68" refreshError="1"/>
      <sheetData sheetId="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row r="84">
          <cell r="F84">
            <v>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PU"/>
      <sheetName val="COSTO INSUMOS"/>
      <sheetName val="PROVEEDORES"/>
      <sheetName val="ANALISIS SALARIOS"/>
      <sheetName val="SUBANALISIS"/>
      <sheetName val="LISTAS"/>
    </sheetNames>
    <sheetDataSet>
      <sheetData sheetId="0" refreshError="1"/>
      <sheetData sheetId="1" refreshError="1"/>
      <sheetData sheetId="2"/>
      <sheetData sheetId="3" refreshError="1"/>
      <sheetData sheetId="4" refreshError="1"/>
      <sheetData sheetId="5" refreshError="1"/>
      <sheetData sheetId="6">
        <row r="3">
          <cell r="C3" t="str">
            <v>ACCESORIOS PVC.ALL</v>
          </cell>
          <cell r="E3" t="str">
            <v>CUADRILLAS</v>
          </cell>
          <cell r="G3" t="str">
            <v>EQUIPO</v>
          </cell>
          <cell r="I3" t="str">
            <v>HERR.MENOR</v>
          </cell>
          <cell r="K3" t="str">
            <v>AUXILIAR</v>
          </cell>
        </row>
        <row r="4">
          <cell r="C4" t="str">
            <v>ACCESORIOS PVC.AN</v>
          </cell>
          <cell r="E4" t="str">
            <v>INDIVIDUALES</v>
          </cell>
          <cell r="G4" t="str">
            <v>FORM.ALQ.</v>
          </cell>
          <cell r="K4" t="str">
            <v>TRANSPORTE</v>
          </cell>
        </row>
        <row r="5">
          <cell r="C5" t="str">
            <v>ACCESORIOS PVC.PRESION</v>
          </cell>
          <cell r="E5" t="str">
            <v>SUB.CONTRATO</v>
          </cell>
          <cell r="G5" t="str">
            <v>MAQUINARIA</v>
          </cell>
        </row>
        <row r="6">
          <cell r="C6" t="str">
            <v>ACCESORIOS FILTROS</v>
          </cell>
        </row>
        <row r="7">
          <cell r="C7" t="str">
            <v>ACERO</v>
          </cell>
        </row>
        <row r="8">
          <cell r="C8" t="str">
            <v>ADITIVOS</v>
          </cell>
        </row>
        <row r="9">
          <cell r="C9" t="str">
            <v>BAÑOS.Y.GRIFOS</v>
          </cell>
        </row>
        <row r="10">
          <cell r="C10" t="str">
            <v>CEMENTO</v>
          </cell>
        </row>
        <row r="11">
          <cell r="C11" t="str">
            <v>CERRAMIENTOS</v>
          </cell>
        </row>
        <row r="12">
          <cell r="C12" t="str">
            <v>CONCRETOS</v>
          </cell>
        </row>
        <row r="13">
          <cell r="C13" t="str">
            <v>CUBIERTAS</v>
          </cell>
        </row>
        <row r="14">
          <cell r="C14" t="str">
            <v>FILTROS</v>
          </cell>
        </row>
        <row r="15">
          <cell r="C15" t="str">
            <v>FORMALETAS</v>
          </cell>
        </row>
        <row r="16">
          <cell r="C16" t="str">
            <v>GAVIÓN</v>
          </cell>
        </row>
        <row r="17">
          <cell r="C17" t="str">
            <v>GEOTEXTILES</v>
          </cell>
        </row>
        <row r="18">
          <cell r="C18" t="str">
            <v>LADRILLO</v>
          </cell>
        </row>
        <row r="19">
          <cell r="C19" t="str">
            <v>MADERA</v>
          </cell>
        </row>
        <row r="20">
          <cell r="C20" t="str">
            <v>MORTEROS</v>
          </cell>
        </row>
        <row r="21">
          <cell r="C21" t="str">
            <v>PAISAJISMO</v>
          </cell>
        </row>
        <row r="22">
          <cell r="C22" t="str">
            <v>PAVIMENTOS</v>
          </cell>
        </row>
        <row r="23">
          <cell r="C23" t="str">
            <v>PÉTREOS</v>
          </cell>
        </row>
        <row r="24">
          <cell r="C24" t="str">
            <v>PINTURA</v>
          </cell>
        </row>
        <row r="25">
          <cell r="C25" t="str">
            <v>PISOS.Y.ENCHAPES</v>
          </cell>
        </row>
        <row r="26">
          <cell r="C26" t="str">
            <v>PLOMERÍA</v>
          </cell>
        </row>
        <row r="27">
          <cell r="C27" t="str">
            <v>PREFÁBRICADOS</v>
          </cell>
        </row>
        <row r="28">
          <cell r="C28" t="str">
            <v>PROVISIONALES</v>
          </cell>
        </row>
        <row r="29">
          <cell r="C29" t="str">
            <v>PVC.ALL</v>
          </cell>
        </row>
        <row r="30">
          <cell r="C30" t="str">
            <v>PVC.AN</v>
          </cell>
        </row>
        <row r="31">
          <cell r="C31" t="str">
            <v>PVC.ELEC</v>
          </cell>
        </row>
        <row r="32">
          <cell r="C32" t="str">
            <v>PVC.PRESIÓN</v>
          </cell>
        </row>
        <row r="33">
          <cell r="C33" t="str">
            <v>REJILLAS</v>
          </cell>
        </row>
        <row r="34">
          <cell r="C34" t="str">
            <v>SIKA.SIMILARES</v>
          </cell>
        </row>
        <row r="35">
          <cell r="C35" t="str">
            <v>TUBE.COBRE</v>
          </cell>
        </row>
        <row r="36">
          <cell r="C36" t="str">
            <v>TUBE.CONCRETO</v>
          </cell>
        </row>
        <row r="37">
          <cell r="C37" t="str">
            <v>TUBE.GÁS</v>
          </cell>
        </row>
        <row r="38">
          <cell r="C38" t="str">
            <v>VARIOS</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as claves"/>
      <sheetName val="Analityca"/>
      <sheetName val="Logos"/>
      <sheetName val="DATOS"/>
      <sheetName val="APU"/>
      <sheetName val="PROGRAMACIÓN"/>
      <sheetName val="BDAPUS"/>
      <sheetName val="BDproyectos"/>
      <sheetName val="BdItems"/>
      <sheetName val="TD bdspresu"/>
      <sheetName val="BDApuspresu"/>
      <sheetName val="BDApusmateriales"/>
      <sheetName val="BDApusMO"/>
      <sheetName val="BDApusHerMenor"/>
      <sheetName val="BDApusMaqyEqui"/>
      <sheetName val="BDApustransyaux"/>
      <sheetName val="INFORMES"/>
      <sheetName val="ANALISIS SALARIOS"/>
      <sheetName val="SUBANALISIS"/>
      <sheetName val="LISTAS"/>
      <sheetName val="COSTO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C3" t="str">
            <v>ACERO</v>
          </cell>
          <cell r="E3" t="str">
            <v>CUADRILLAS</v>
          </cell>
          <cell r="G3" t="str">
            <v>EQUIPO</v>
          </cell>
          <cell r="I3" t="str">
            <v>HERR.MENOR</v>
          </cell>
          <cell r="K3" t="str">
            <v>AUXILIAR</v>
          </cell>
        </row>
        <row r="4">
          <cell r="C4" t="str">
            <v>ADITIVOS</v>
          </cell>
          <cell r="E4" t="str">
            <v>INDIVIDUALES</v>
          </cell>
          <cell r="G4" t="str">
            <v>FORM.ALQ.</v>
          </cell>
          <cell r="K4" t="str">
            <v>TRANSPORTE</v>
          </cell>
        </row>
        <row r="5">
          <cell r="C5" t="str">
            <v>PAVIMENTOS</v>
          </cell>
          <cell r="E5" t="str">
            <v>SUBCONTRATO.</v>
          </cell>
          <cell r="G5" t="str">
            <v>MAQUINARIA</v>
          </cell>
        </row>
        <row r="6">
          <cell r="C6" t="str">
            <v>BAÑOS.Y.GRIFOS</v>
          </cell>
        </row>
        <row r="7">
          <cell r="C7" t="str">
            <v>CEMENTO</v>
          </cell>
        </row>
        <row r="8">
          <cell r="C8" t="str">
            <v>CERRAMIENTOS</v>
          </cell>
        </row>
        <row r="9">
          <cell r="C9" t="str">
            <v>CONCRETOS</v>
          </cell>
        </row>
        <row r="10">
          <cell r="C10" t="str">
            <v>CUBIERTAS</v>
          </cell>
        </row>
        <row r="11">
          <cell r="C11" t="str">
            <v>FORMALETAS</v>
          </cell>
        </row>
        <row r="12">
          <cell r="C12" t="str">
            <v>GAVIÓN</v>
          </cell>
        </row>
        <row r="13">
          <cell r="C13" t="str">
            <v>GEOTEXTILES</v>
          </cell>
        </row>
        <row r="14">
          <cell r="C14" t="str">
            <v>LADRILLO</v>
          </cell>
        </row>
        <row r="15">
          <cell r="C15" t="str">
            <v>MORTEROS</v>
          </cell>
        </row>
        <row r="16">
          <cell r="C16" t="str">
            <v>PAISAJISMO</v>
          </cell>
        </row>
        <row r="17">
          <cell r="C17" t="str">
            <v>PINTURA</v>
          </cell>
        </row>
        <row r="18">
          <cell r="C18" t="str">
            <v>PISOS.Y.ENCHAPES</v>
          </cell>
        </row>
        <row r="19">
          <cell r="C19" t="str">
            <v>PLOMERÍA</v>
          </cell>
        </row>
        <row r="20">
          <cell r="C20" t="str">
            <v>PREFÁBRICADOS</v>
          </cell>
        </row>
        <row r="21">
          <cell r="C21" t="str">
            <v>PROVISIONALES</v>
          </cell>
        </row>
        <row r="22">
          <cell r="C22" t="str">
            <v>PVC.ALL</v>
          </cell>
        </row>
        <row r="23">
          <cell r="C23" t="str">
            <v>PVC.AN</v>
          </cell>
        </row>
        <row r="24">
          <cell r="C24" t="str">
            <v>PVC.ELEC</v>
          </cell>
        </row>
        <row r="25">
          <cell r="C25" t="str">
            <v>PVC.PRESIÓN</v>
          </cell>
        </row>
        <row r="26">
          <cell r="C26" t="str">
            <v>REJILLAS</v>
          </cell>
        </row>
        <row r="27">
          <cell r="C27" t="str">
            <v>TUBE.COBRE</v>
          </cell>
        </row>
        <row r="28">
          <cell r="C28" t="str">
            <v>TUBE.CONCRETO</v>
          </cell>
        </row>
        <row r="29">
          <cell r="C29" t="str">
            <v>TUBE.GÁS</v>
          </cell>
        </row>
        <row r="30">
          <cell r="C30" t="str">
            <v>PÉTREOS</v>
          </cell>
        </row>
        <row r="31">
          <cell r="C31" t="str">
            <v>SIKA.SIMILARES</v>
          </cell>
        </row>
        <row r="32">
          <cell r="C32" t="str">
            <v>DRENES</v>
          </cell>
        </row>
        <row r="33">
          <cell r="C33" t="str">
            <v>ACCESORIOS.FILTROS</v>
          </cell>
        </row>
        <row r="34">
          <cell r="C34" t="str">
            <v>ELÉCTRICOS</v>
          </cell>
        </row>
        <row r="35">
          <cell r="C35" t="str">
            <v>MADERA</v>
          </cell>
        </row>
        <row r="36">
          <cell r="C36" t="str">
            <v>SUB.CONTRATO</v>
          </cell>
        </row>
        <row r="37">
          <cell r="C37" t="str">
            <v>VARIOS.</v>
          </cell>
        </row>
        <row r="38">
          <cell r="C38" t="str">
            <v>DRYWALL</v>
          </cell>
        </row>
        <row r="39">
          <cell r="C39" t="str">
            <v>CARPINTERÍA.METÁLICA</v>
          </cell>
        </row>
        <row r="40">
          <cell r="C40" t="str">
            <v>ACUEDUCTO</v>
          </cell>
        </row>
        <row r="41">
          <cell r="C41" t="str">
            <v>PUERTAS</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sheetData>
      <sheetData sheetId="2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as claves"/>
      <sheetName val="Analityca"/>
      <sheetName val="Logos"/>
      <sheetName val="DATOS"/>
      <sheetName val="APU"/>
      <sheetName val="PROGRAMACIÓN"/>
      <sheetName val="BDAPUS"/>
      <sheetName val="BDproyectos"/>
      <sheetName val="BdItems"/>
      <sheetName val="TD bdspresu"/>
      <sheetName val="BDApuspresu"/>
      <sheetName val="BDApusmateriales"/>
      <sheetName val="BDApusMO"/>
      <sheetName val="BDApusHerMenor"/>
      <sheetName val="BDApusMaqyEqui"/>
      <sheetName val="BDApustransyaux"/>
      <sheetName val="INFORMES"/>
      <sheetName val="ANALISIS SALARIOS"/>
      <sheetName val="SUBANALISIS"/>
      <sheetName val="LISTAS"/>
      <sheetName val="COSTO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C3" t="str">
            <v>ACERO</v>
          </cell>
          <cell r="E3" t="str">
            <v>CUADRILLAS</v>
          </cell>
          <cell r="G3" t="str">
            <v>EQUIPO</v>
          </cell>
          <cell r="I3" t="str">
            <v>HERR.MENOR</v>
          </cell>
          <cell r="K3" t="str">
            <v>AUXILIAR</v>
          </cell>
        </row>
        <row r="4">
          <cell r="C4" t="str">
            <v>ADITIVOS</v>
          </cell>
          <cell r="E4" t="str">
            <v>INDIVIDUALES</v>
          </cell>
          <cell r="G4" t="str">
            <v>FORM.ALQ.</v>
          </cell>
          <cell r="K4" t="str">
            <v>TRANSPORTE</v>
          </cell>
        </row>
        <row r="5">
          <cell r="C5" t="str">
            <v>PAVIMENTOS</v>
          </cell>
          <cell r="E5" t="str">
            <v>SUBCONTRATO.</v>
          </cell>
          <cell r="G5" t="str">
            <v>MAQUINARIA</v>
          </cell>
        </row>
        <row r="6">
          <cell r="C6" t="str">
            <v>BAÑOS.Y.GRIFOS</v>
          </cell>
        </row>
        <row r="7">
          <cell r="C7" t="str">
            <v>CEMENTO</v>
          </cell>
        </row>
        <row r="8">
          <cell r="C8" t="str">
            <v>CERRAMIENTOS</v>
          </cell>
        </row>
        <row r="9">
          <cell r="C9" t="str">
            <v>CONCRETOS</v>
          </cell>
        </row>
        <row r="10">
          <cell r="C10" t="str">
            <v>CUBIERTAS</v>
          </cell>
        </row>
        <row r="11">
          <cell r="C11" t="str">
            <v>FORMALETAS</v>
          </cell>
        </row>
        <row r="12">
          <cell r="C12" t="str">
            <v>GAVIÓN</v>
          </cell>
        </row>
        <row r="13">
          <cell r="C13" t="str">
            <v>GEOTEXTILES</v>
          </cell>
        </row>
        <row r="14">
          <cell r="C14" t="str">
            <v>LADRILLO</v>
          </cell>
        </row>
        <row r="15">
          <cell r="C15" t="str">
            <v>MORTEROS</v>
          </cell>
        </row>
        <row r="16">
          <cell r="C16" t="str">
            <v>PAISAJISMO</v>
          </cell>
        </row>
        <row r="17">
          <cell r="C17" t="str">
            <v>PINTURA</v>
          </cell>
        </row>
        <row r="18">
          <cell r="C18" t="str">
            <v>PISOS.Y.ENCHAPES</v>
          </cell>
        </row>
        <row r="19">
          <cell r="C19" t="str">
            <v>PLOMERÍA</v>
          </cell>
        </row>
        <row r="20">
          <cell r="C20" t="str">
            <v>PREFÁBRICADOS</v>
          </cell>
        </row>
        <row r="21">
          <cell r="C21" t="str">
            <v>PROVISIONALES</v>
          </cell>
        </row>
        <row r="22">
          <cell r="C22" t="str">
            <v>PVC.ALL</v>
          </cell>
        </row>
        <row r="23">
          <cell r="C23" t="str">
            <v>PVC.AN</v>
          </cell>
        </row>
        <row r="24">
          <cell r="C24" t="str">
            <v>PVC.ELEC</v>
          </cell>
        </row>
        <row r="25">
          <cell r="C25" t="str">
            <v>PVC.PRESIÓN</v>
          </cell>
        </row>
        <row r="26">
          <cell r="C26" t="str">
            <v>REJILLAS</v>
          </cell>
        </row>
        <row r="27">
          <cell r="C27" t="str">
            <v>TUBE.COBRE</v>
          </cell>
        </row>
        <row r="28">
          <cell r="C28" t="str">
            <v>TUBE.CONCRETO</v>
          </cell>
        </row>
        <row r="29">
          <cell r="C29" t="str">
            <v>TUBE.GÁS</v>
          </cell>
        </row>
        <row r="30">
          <cell r="C30" t="str">
            <v>PÉTREOS</v>
          </cell>
        </row>
        <row r="31">
          <cell r="C31" t="str">
            <v>SIKA.SIMILARES</v>
          </cell>
        </row>
        <row r="32">
          <cell r="C32" t="str">
            <v>DRENES</v>
          </cell>
        </row>
        <row r="33">
          <cell r="C33" t="str">
            <v>ACCESORIOS.FILTROS</v>
          </cell>
        </row>
        <row r="34">
          <cell r="C34" t="str">
            <v>ELÉCTRICOS</v>
          </cell>
        </row>
        <row r="35">
          <cell r="C35" t="str">
            <v>MADERA</v>
          </cell>
        </row>
        <row r="36">
          <cell r="C36" t="str">
            <v>SUB.CONTRATO</v>
          </cell>
        </row>
        <row r="37">
          <cell r="C37" t="str">
            <v>VARIOS.</v>
          </cell>
        </row>
        <row r="38">
          <cell r="C38" t="str">
            <v>DRYWALL</v>
          </cell>
        </row>
        <row r="39">
          <cell r="C39" t="str">
            <v>CARPINTERÍA.METÁLICA</v>
          </cell>
        </row>
        <row r="40">
          <cell r="C40" t="str">
            <v>ACUEDUCTO</v>
          </cell>
        </row>
        <row r="41">
          <cell r="C41" t="str">
            <v>PUERTAS</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sheetData>
      <sheetData sheetId="2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 val="MI"/>
      <sheetName val="Par_Dise"/>
      <sheetName val="General"/>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RICS NUEVA HOJA DIARI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 val="CAL_PRODUC"/>
      <sheetName val="CALC_PROD_MENSUAL"/>
      <sheetName val="ESTADO RED"/>
      <sheetName val="CARRETERAS"/>
      <sheetName val="GENERALIDADES "/>
      <sheetName val="TARIFAS EQUIP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 val="Form5 _Pág_ 1"/>
      <sheetName val="Form5 _Pág_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s>
    <sheetDataSet>
      <sheetData sheetId="0" refreshError="1"/>
      <sheetData sheetId="1" refreshError="1"/>
      <sheetData sheetId="2" refreshError="1">
        <row r="3">
          <cell r="C3">
            <v>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row r="31">
          <cell r="B31">
            <v>1467034.077</v>
          </cell>
          <cell r="E31">
            <v>0.1</v>
          </cell>
        </row>
        <row r="41">
          <cell r="E41">
            <v>240</v>
          </cell>
        </row>
      </sheetData>
      <sheetData sheetId="1" refreshError="1"/>
      <sheetData sheetId="2" refreshError="1">
        <row r="8">
          <cell r="G8">
            <v>925404.91613512242</v>
          </cell>
        </row>
      </sheetData>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CDItem"/>
      <sheetName val="BAS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 val="EQALT"/>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 val="Ejec"/>
      <sheetName val="Hoja1"/>
      <sheetName val="EQALT"/>
      <sheetName val="Base Datos"/>
      <sheetName val="HORARIO"/>
      <sheetName val="ABREV"/>
      <sheetName val="PPTO REDUCIDO"/>
      <sheetName val="AIU-IDU_3"/>
      <sheetName val="1_AL_83"/>
      <sheetName val="AIU-IDU_1"/>
      <sheetName val="1_AL_81"/>
      <sheetName val="AIU-IDU_2"/>
      <sheetName val="1_AL_82"/>
      <sheetName val="AIU-IDU_4"/>
      <sheetName val="1_AL_84"/>
      <sheetName val="AIU-IDU_5"/>
      <sheetName val="1_AL_85"/>
      <sheetName val="AIU-IDU_6"/>
      <sheetName val="1_AL_86"/>
      <sheetName val="AIU-IDU_7"/>
      <sheetName val="1_AL_87"/>
      <sheetName val="DATOS"/>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oficiente de Pérdidas"/>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 val="CANT.592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RELACION DE PRECIOS"/>
      <sheetName val="ACTA 6"/>
      <sheetName val="MODIF. 2"/>
      <sheetName val="MODIF. 3"/>
      <sheetName val="MODIF. 4"/>
      <sheetName val="cant"/>
      <sheetName val="par mar19"/>
      <sheetName val="par"/>
      <sheetName val="TUBERI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sheetData sheetId="39"/>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refreshError="1"/>
      <sheetData sheetId="51"/>
      <sheetData sheetId="52"/>
      <sheetData sheetId="53">
        <row r="1">
          <cell r="C1">
            <v>0</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1">
          <cell r="C1">
            <v>0</v>
          </cell>
        </row>
      </sheetData>
      <sheetData sheetId="88"/>
      <sheetData sheetId="89"/>
      <sheetData sheetId="90"/>
      <sheetData sheetId="91"/>
      <sheetData sheetId="92"/>
      <sheetData sheetId="93"/>
      <sheetData sheetId="94"/>
      <sheetData sheetId="95">
        <row r="1">
          <cell r="C1">
            <v>0</v>
          </cell>
        </row>
      </sheetData>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 val="factor"/>
      <sheetName val="Presupuesto_Via_distribuido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4">
          <cell r="D4">
            <v>1.05</v>
          </cell>
        </row>
        <row r="6">
          <cell r="D6">
            <v>1.1000000000000001</v>
          </cell>
        </row>
      </sheetData>
      <sheetData sheetId="1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INTERVENTORIA"/>
      <sheetName val="FACTOR MULTIPLICADOR"/>
      <sheetName val="PRESUPUESTO OFICIAL DE OBRA"/>
      <sheetName val="PRESUPUESTO OFICIAL LICITACION"/>
      <sheetName val="AU CONTRATISTA"/>
      <sheetName val="CANTIDADES DE OBRA"/>
      <sheetName val="SALARIOS"/>
      <sheetName val="F. PRESTACIONAL"/>
      <sheetName val="MATERIALES Y EQUIPOS"/>
      <sheetName val="CONCRETOS Y MORTEROS"/>
      <sheetName val="ITEM 1.1"/>
      <sheetName val="ITEM 1.2"/>
      <sheetName val="ITEM 1.3"/>
      <sheetName val="ITEM 1.4"/>
      <sheetName val="ITEM 1.5"/>
      <sheetName val="ITEM 1.6"/>
      <sheetName val="ITEM 1.7"/>
      <sheetName val="ITEM 1.8"/>
      <sheetName val="ITEM 2.1"/>
      <sheetName val="ITEM 2.2"/>
      <sheetName val="ITEM 3.1"/>
      <sheetName val="ITEM 3.2"/>
      <sheetName val="ITEM 3.3"/>
      <sheetName val="ITEM 3.4"/>
      <sheetName val="ITEM 3.5"/>
      <sheetName val="ITEM 3.6"/>
      <sheetName val="ITEM 4.1"/>
      <sheetName val="ITEM 4.2"/>
      <sheetName val="ITEM 5.1"/>
      <sheetName val="ITEM 5.2"/>
      <sheetName val="ITEM 5.3"/>
      <sheetName val="ITEM 5.4"/>
      <sheetName val="ITEM 5.5"/>
      <sheetName val="ITEM 5.6"/>
      <sheetName val="ITEM 5.7"/>
      <sheetName val="ITEM 5.8"/>
      <sheetName val="ITEM 6.1"/>
      <sheetName val="ITEM 6.2"/>
      <sheetName val="ITEM 6.3"/>
      <sheetName val="ITEM 6.4"/>
      <sheetName val="ITEM 6.5"/>
      <sheetName val="ITEM 6.6"/>
      <sheetName val="ITEM 6.7"/>
      <sheetName val="ITEM 7.1"/>
      <sheetName val="ITEM 7.2"/>
      <sheetName val="ITEM 7.3"/>
      <sheetName val="ITEM 7.4"/>
      <sheetName val="ITEM 7.5"/>
      <sheetName val="ITEM 7.6"/>
      <sheetName val="ITEM 7.7"/>
      <sheetName val="ITEM 7.8"/>
      <sheetName val="ITEM 7.9"/>
      <sheetName val="ITEM 7.10"/>
      <sheetName val="ITEM 7.1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8">
          <cell r="E38">
            <v>0.67848888888888892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INTERVENTORIA"/>
      <sheetName val="FACTOR MULTIPLICADOR"/>
      <sheetName val="PRESUPUESTO OFICIAL DE OBRA"/>
      <sheetName val="PRESUPUESTO OFICIAL LICITACION"/>
      <sheetName val="AU CONTRATISTA"/>
      <sheetName val="CANTIDADES DE OBRA"/>
      <sheetName val="SALARIOS"/>
      <sheetName val="F. PRESTACIONAL"/>
      <sheetName val="MATERIALES Y EQUIPOS"/>
      <sheetName val="CONCRETOS Y MORTEROS"/>
      <sheetName val="ITEM 1.1"/>
      <sheetName val="ITEM 1.2"/>
      <sheetName val="ITEM 1.3"/>
      <sheetName val="ITEM 1.4"/>
      <sheetName val="ITEM 1.5"/>
      <sheetName val="ITEM 1.6"/>
      <sheetName val="ITEM 1.7"/>
      <sheetName val="ITEM 1.8"/>
      <sheetName val="ITEM 2.1"/>
      <sheetName val="ITEM 2.2"/>
      <sheetName val="ITEM 3.1"/>
      <sheetName val="ITEM 3.2"/>
      <sheetName val="ITEM 3.3"/>
      <sheetName val="ITEM 3.4"/>
      <sheetName val="ITEM 3.5"/>
      <sheetName val="ITEM 3.6"/>
      <sheetName val="ITEM 4.1"/>
      <sheetName val="ITEM 4.2"/>
      <sheetName val="ITEM 5.1"/>
      <sheetName val="ITEM 5.2"/>
      <sheetName val="ITEM 5.3"/>
      <sheetName val="ITEM 5.4"/>
      <sheetName val="ITEM 5.5"/>
      <sheetName val="ITEM 5.6"/>
      <sheetName val="ITEM 5.7"/>
      <sheetName val="ITEM 5.8"/>
      <sheetName val="ITEM 6.1"/>
      <sheetName val="ITEM 6.2"/>
      <sheetName val="ITEM 6.3"/>
      <sheetName val="ITEM 6.4"/>
      <sheetName val="ITEM 6.5"/>
      <sheetName val="ITEM 6.6"/>
      <sheetName val="ITEM 6.7"/>
      <sheetName val="ITEM 7.1"/>
      <sheetName val="ITEM 7.2"/>
      <sheetName val="ITEM 7.3"/>
      <sheetName val="ITEM 7.4"/>
      <sheetName val="ITEM 7.5"/>
      <sheetName val="ITEM 7.6"/>
      <sheetName val="ITEM 7.7"/>
      <sheetName val="ITEM 7.8"/>
      <sheetName val="ITEM 7.9"/>
      <sheetName val="ITEM 7.10"/>
      <sheetName val="ITEM 7.1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8">
          <cell r="E38">
            <v>0.67848888888888892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APU CAP1"/>
      <sheetName val="APU CAP2"/>
      <sheetName val="APU CAP3"/>
      <sheetName val="APU CAP4"/>
      <sheetName val="APU CAP10"/>
      <sheetName val="APU CAP11"/>
      <sheetName val="APU CAP14"/>
      <sheetName val="F PRESTACIONAL"/>
      <sheetName val="AU"/>
      <sheetName val="SALARIOS"/>
      <sheetName val="MATERIALES Y EQUIPOS"/>
      <sheetName val="CONCRE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77">
          <cell r="C77">
            <v>0.73130888888888879</v>
          </cell>
        </row>
      </sheetData>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zop71t1"/>
      <sheetName val="SGX"/>
      <sheetName val="PARAMETROS BASE"/>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Dato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TUBERIA"/>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 val="INSUMOS"/>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PLAN DE INVERSION ANTICIPO"/>
      <sheetName val="inv mensual"/>
      <sheetName val="borrador flujo inv"/>
      <sheetName val="social-ambiental"/>
      <sheetName val="AU"/>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ELECTRICO"/>
      <sheetName val="Vuelt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Design"/>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
      <sheetName val="APU"/>
      <sheetName val="MATERIALES"/>
      <sheetName val="AIU"/>
      <sheetName val="Hoja1"/>
      <sheetName val="Hoja2"/>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Caja de Derivacion en Policarbonato para 9 usuarios 200 Amp marca AMP especial para zonas de alta salinidad (/)</v>
          </cell>
        </row>
        <row r="6">
          <cell r="A6" t="str">
            <v>Herraje 30x30</v>
          </cell>
        </row>
        <row r="7">
          <cell r="A7" t="str">
            <v>HERRAJE 40X40 (SOLO SUMINISTRO)</v>
          </cell>
        </row>
        <row r="8">
          <cell r="A8" t="str">
            <v>HERRAJE 50X50 (SOLO SUMINISTRO)</v>
          </cell>
        </row>
        <row r="9">
          <cell r="A9" t="str">
            <v>HERRAJE 60X80 DOBLE TAPA (SOLO SUMINISTRO)</v>
          </cell>
        </row>
        <row r="10">
          <cell r="A10" t="str">
            <v>HERRAJE 90x60 ELECTRICO</v>
          </cell>
        </row>
        <row r="11">
          <cell r="A11" t="str">
            <v>HERRAJE 90x115 DOBLE TP. RS3-002</v>
          </cell>
        </row>
        <row r="12">
          <cell r="A12" t="str">
            <v>-</v>
          </cell>
        </row>
        <row r="13">
          <cell r="A13" t="str">
            <v>ALAMBRES Y CABLES</v>
          </cell>
        </row>
        <row r="14">
          <cell r="A14" t="str">
            <v>-</v>
          </cell>
        </row>
        <row r="15">
          <cell r="A15" t="str">
            <v>ALAMBRE THHN/THWN # 16</v>
          </cell>
        </row>
        <row r="16">
          <cell r="A16" t="str">
            <v xml:space="preserve">ALAMBRE THHN/THWN # 14 </v>
          </cell>
        </row>
        <row r="17">
          <cell r="A17" t="str">
            <v xml:space="preserve">ALAMBRE THHN/THWN # 12 </v>
          </cell>
        </row>
        <row r="18">
          <cell r="A18" t="str">
            <v>ALAMBRE THHN/THWN # 10</v>
          </cell>
        </row>
        <row r="19">
          <cell r="A19" t="str">
            <v xml:space="preserve">ALAMBRE THHN/THWN # 8 </v>
          </cell>
        </row>
        <row r="20">
          <cell r="A20" t="str">
            <v>CABLE THHN/THWN # 14</v>
          </cell>
        </row>
        <row r="21">
          <cell r="A21" t="str">
            <v xml:space="preserve">CABLE THHN/THWN # 12 </v>
          </cell>
        </row>
        <row r="22">
          <cell r="A22" t="str">
            <v xml:space="preserve">CABLE THHN/THWN # 10 </v>
          </cell>
        </row>
        <row r="23">
          <cell r="A23" t="str">
            <v xml:space="preserve">CABLE THHN/THWN # 8 </v>
          </cell>
        </row>
        <row r="24">
          <cell r="A24" t="str">
            <v xml:space="preserve">CABLE THHN/THWN # 6 </v>
          </cell>
        </row>
        <row r="25">
          <cell r="A25" t="str">
            <v>CABLE THHN/THWN # 4</v>
          </cell>
        </row>
        <row r="26">
          <cell r="A26" t="str">
            <v>CABLE THHN/THWN # 2</v>
          </cell>
        </row>
        <row r="27">
          <cell r="A27" t="str">
            <v>CABLE THHN/THWN # 1/0</v>
          </cell>
        </row>
        <row r="28">
          <cell r="A28" t="str">
            <v>CABLE THHN/THWN # 2/0</v>
          </cell>
        </row>
        <row r="29">
          <cell r="A29" t="str">
            <v>CABLE THHN/THWN # 3/0</v>
          </cell>
        </row>
        <row r="30">
          <cell r="A30" t="str">
            <v>CABLE THHN/THWN # 4/0</v>
          </cell>
        </row>
        <row r="31">
          <cell r="A31" t="str">
            <v>CABLE THHN/THWN # 250</v>
          </cell>
        </row>
        <row r="32">
          <cell r="A32" t="str">
            <v>CABLE THHN/THWN # 300</v>
          </cell>
        </row>
        <row r="33">
          <cell r="A33" t="str">
            <v>CABLE THHN/THWN # 350</v>
          </cell>
        </row>
        <row r="34">
          <cell r="A34" t="str">
            <v>CABLE THHN/THWN # 400</v>
          </cell>
        </row>
        <row r="35">
          <cell r="A35" t="str">
            <v>CABLE THHN/THWN # 500</v>
          </cell>
        </row>
        <row r="36">
          <cell r="A36" t="str">
            <v>CABLE TFF # 16</v>
          </cell>
        </row>
        <row r="37">
          <cell r="A37" t="str">
            <v>CABLE TFF # 18</v>
          </cell>
        </row>
        <row r="38">
          <cell r="A38" t="str">
            <v>CABLE ENCAUCHETADO # 3x16</v>
          </cell>
        </row>
        <row r="39">
          <cell r="A39" t="str">
            <v>CABLE ENCAUCHETADO # 3x14</v>
          </cell>
        </row>
        <row r="40">
          <cell r="A40" t="str">
            <v>CABLE ENCAUCHETADO # 3x12</v>
          </cell>
        </row>
        <row r="41">
          <cell r="A41" t="str">
            <v>CABLE ENCAUCHETADO # 3x10</v>
          </cell>
        </row>
        <row r="42">
          <cell r="A42" t="str">
            <v>CABLE ENCAUCHETADO # 4x10</v>
          </cell>
        </row>
        <row r="43">
          <cell r="A43" t="str">
            <v>CABLE ENCAUCHETADO # 4x8</v>
          </cell>
        </row>
        <row r="44">
          <cell r="A44" t="str">
            <v>CABLE Cu Desnudo N°2 AWG</v>
          </cell>
        </row>
        <row r="45">
          <cell r="A45" t="str">
            <v>CABLE Cu Desnudo N°1/0 AWG</v>
          </cell>
        </row>
        <row r="46">
          <cell r="A46" t="str">
            <v>CABLE Cu Desnudo N°2/0 AWG</v>
          </cell>
        </row>
        <row r="47">
          <cell r="A47" t="str">
            <v>CABLE Cu Desnudo N°4/0 AWG</v>
          </cell>
        </row>
        <row r="48">
          <cell r="A48" t="str">
            <v>CABLE Cu Desnudo N°8 AWG</v>
          </cell>
        </row>
        <row r="49">
          <cell r="A49" t="str">
            <v>CABLE Cu Desnudo N°6 AWG</v>
          </cell>
        </row>
        <row r="50">
          <cell r="A50" t="str">
            <v>CABLE COAXIAL RG59</v>
          </cell>
        </row>
        <row r="51">
          <cell r="A51" t="str">
            <v>CABLE COAXIAL RG6</v>
          </cell>
        </row>
        <row r="52">
          <cell r="A52" t="str">
            <v>CABLE PARA INSTRUMENTACION 3X18+20</v>
          </cell>
        </row>
        <row r="53">
          <cell r="A53" t="str">
            <v>CABLE DE AL 1/0 THW AISLADO</v>
          </cell>
        </row>
        <row r="54">
          <cell r="A54" t="str">
            <v>CABLE DE AL 1/0 THW DESNUDO</v>
          </cell>
        </row>
        <row r="55">
          <cell r="A55" t="str">
            <v xml:space="preserve">ALAMBRE DESNUDO # 4 </v>
          </cell>
        </row>
        <row r="56">
          <cell r="A56" t="str">
            <v>CABLE TRIPLEX No 2x4+4</v>
          </cell>
        </row>
        <row r="57">
          <cell r="A57" t="str">
            <v>CABLE TRIPLEX No 2x2+2</v>
          </cell>
        </row>
        <row r="58">
          <cell r="A58" t="str">
            <v>CABLE TRIPLEX No 2x1/0+1/0</v>
          </cell>
        </row>
        <row r="59">
          <cell r="A59" t="str">
            <v>CABLE TRIPLEX No 2x2/0+2/0</v>
          </cell>
        </row>
        <row r="60">
          <cell r="A60" t="str">
            <v>CABLE DESNUDO 1/0</v>
          </cell>
        </row>
        <row r="61">
          <cell r="A61" t="str">
            <v>CABLE ENCAUCHETADO # 5x6</v>
          </cell>
        </row>
        <row r="62">
          <cell r="A62" t="str">
            <v>CABLE SUPER GX 3/8</v>
          </cell>
        </row>
        <row r="63">
          <cell r="A63" t="str">
            <v>Acometida Anti.fraude 2#4+1#4 AWG 600V</v>
          </cell>
        </row>
        <row r="64">
          <cell r="A64" t="str">
            <v>Acometida Anti.fraude 1X8+8 AWG 600V</v>
          </cell>
        </row>
        <row r="65">
          <cell r="A65" t="str">
            <v>CABLE VGA 15M</v>
          </cell>
        </row>
        <row r="66">
          <cell r="A66" t="str">
            <v xml:space="preserve">CABLE UTP 4PR CT6 AMP </v>
          </cell>
        </row>
        <row r="67">
          <cell r="A67" t="str">
            <v xml:space="preserve">CABLE UTP 4PR CT7A AMP </v>
          </cell>
        </row>
        <row r="68">
          <cell r="A68" t="str">
            <v>CABLE APANTALLADO USO INT 25 PARES</v>
          </cell>
        </row>
        <row r="69">
          <cell r="A69" t="str">
            <v>CABLE TEL. USO INT. 2 PARES</v>
          </cell>
        </row>
        <row r="70">
          <cell r="A70" t="str">
            <v>CABLE TEL. USO INT. 25 PARES</v>
          </cell>
        </row>
        <row r="71">
          <cell r="A71" t="str">
            <v>CABLE TEL. USO EXT. 30 PARES</v>
          </cell>
        </row>
        <row r="72">
          <cell r="A72" t="str">
            <v>CABLE SONIDO POLARIZADO 2X18 USO INTERIOR</v>
          </cell>
        </row>
        <row r="73">
          <cell r="A73" t="str">
            <v>CABLE SONIDO POLARIZADO 2X16 USO INTERIOR</v>
          </cell>
        </row>
        <row r="74">
          <cell r="A74" t="str">
            <v xml:space="preserve">TERMINAL PONCHAR # 4 (100A) </v>
          </cell>
        </row>
        <row r="75">
          <cell r="A75" t="str">
            <v xml:space="preserve">TERMINAL PONCHAR # 2 (115A) </v>
          </cell>
        </row>
        <row r="76">
          <cell r="A76" t="str">
            <v xml:space="preserve">TERMINAL PONCHAR # 1/0 (125A) </v>
          </cell>
        </row>
        <row r="77">
          <cell r="A77" t="str">
            <v xml:space="preserve">TERMINAL PONCHAR # 2/0 (150A) </v>
          </cell>
        </row>
        <row r="78">
          <cell r="A78" t="str">
            <v xml:space="preserve">TERMINAL PONCHAR # 4/0 (225A) </v>
          </cell>
        </row>
        <row r="79">
          <cell r="A79" t="str">
            <v xml:space="preserve">TERMINAL PONCHAR # 400 (450A) </v>
          </cell>
        </row>
        <row r="80">
          <cell r="A80" t="str">
            <v xml:space="preserve">TERMINAL PONCHAR # 6 (50A) </v>
          </cell>
        </row>
        <row r="81">
          <cell r="A81" t="str">
            <v xml:space="preserve">TERMINAL PONCHAR # 8 (35A) </v>
          </cell>
        </row>
        <row r="82">
          <cell r="A82" t="str">
            <v xml:space="preserve">TERMOENCOGIBLE No 1/0 DE 15MM NEGRO </v>
          </cell>
        </row>
        <row r="83">
          <cell r="A83" t="str">
            <v xml:space="preserve">TERMOENCOGIBLE No 6 DE 8MM NEGRO </v>
          </cell>
        </row>
        <row r="84">
          <cell r="A84" t="str">
            <v xml:space="preserve">TERMOENCOGIBLE No 8 DE 6MM NEGRO </v>
          </cell>
        </row>
        <row r="85">
          <cell r="A85" t="str">
            <v>-</v>
          </cell>
        </row>
        <row r="86">
          <cell r="A86" t="str">
            <v>TUBERIAS Y ACCESORIOS</v>
          </cell>
        </row>
        <row r="87">
          <cell r="A87" t="str">
            <v>-</v>
          </cell>
        </row>
        <row r="88">
          <cell r="A88" t="str">
            <v>CINTA BANDIT 5/8"</v>
          </cell>
        </row>
        <row r="89">
          <cell r="A89" t="str">
            <v>HEBILLA BANDIT 5/8"</v>
          </cell>
        </row>
        <row r="90">
          <cell r="A90" t="str">
            <v xml:space="preserve">TUBO EMT 1"x3 MTS. </v>
          </cell>
        </row>
        <row r="91">
          <cell r="A91" t="str">
            <v xml:space="preserve">TUBO EMT 1/2"x3 MTS. </v>
          </cell>
        </row>
        <row r="92">
          <cell r="A92" t="str">
            <v xml:space="preserve">TUBO EMT 1-1/2"x3 MTS. </v>
          </cell>
        </row>
        <row r="93">
          <cell r="A93" t="str">
            <v xml:space="preserve">TUBO EMT 2"x3 MTS. </v>
          </cell>
        </row>
        <row r="94">
          <cell r="A94" t="str">
            <v xml:space="preserve">TUBO EMT 3"x3 MTS. </v>
          </cell>
        </row>
        <row r="95">
          <cell r="A95" t="str">
            <v xml:space="preserve">TUBO EMT 3/4"x3 MTS. </v>
          </cell>
        </row>
        <row r="96">
          <cell r="A96" t="str">
            <v xml:space="preserve">TUBO PVC DE 1 1/4"x3 MTS. </v>
          </cell>
        </row>
        <row r="97">
          <cell r="A97" t="str">
            <v xml:space="preserve">TUBO PVC DE 1 1/2"x3 MTS. </v>
          </cell>
        </row>
        <row r="98">
          <cell r="A98" t="str">
            <v xml:space="preserve">TUBO PVC DE 1"x3 MTS. </v>
          </cell>
        </row>
        <row r="99">
          <cell r="A99" t="str">
            <v xml:space="preserve">TUBO PVC DE 1/2"x3 MTS. </v>
          </cell>
        </row>
        <row r="100">
          <cell r="A100" t="str">
            <v xml:space="preserve">TUBO PVC DE 3/4"x3 MTS. </v>
          </cell>
        </row>
        <row r="101">
          <cell r="A101" t="str">
            <v xml:space="preserve">DUCTO PVC TIPO DB DE 2" </v>
          </cell>
        </row>
        <row r="102">
          <cell r="A102" t="str">
            <v xml:space="preserve">DUCTO PVC TIPO DB DE 3" </v>
          </cell>
        </row>
        <row r="103">
          <cell r="A103" t="str">
            <v xml:space="preserve">DUCTO PVC TIPO DB DE 4" </v>
          </cell>
        </row>
        <row r="104">
          <cell r="A104" t="str">
            <v xml:space="preserve">TUBERIA LIQUID TIGHT (ANAC)1" </v>
          </cell>
        </row>
        <row r="105">
          <cell r="A105" t="str">
            <v xml:space="preserve">TUBERIA LIQUID TIGHT (ANAC)1-1/2" </v>
          </cell>
        </row>
        <row r="106">
          <cell r="A106" t="str">
            <v xml:space="preserve">TUBERIA LIQUID TIGHT (ANAC)2" </v>
          </cell>
        </row>
        <row r="107">
          <cell r="A107" t="str">
            <v xml:space="preserve">TUBERIA LIQUID TIGHT (ANAC)3/4" </v>
          </cell>
        </row>
        <row r="108">
          <cell r="A108" t="str">
            <v xml:space="preserve">TUBERIA LIQUID TIGHT (ANAC)1/2" </v>
          </cell>
        </row>
        <row r="109">
          <cell r="A109" t="str">
            <v xml:space="preserve">CONECTOR RECTO ANAC. DE 1" </v>
          </cell>
        </row>
        <row r="110">
          <cell r="A110" t="str">
            <v xml:space="preserve">CONECTOR RECTO ANAC. DE 1-1/2" </v>
          </cell>
        </row>
        <row r="111">
          <cell r="A111" t="str">
            <v xml:space="preserve">CONECTOR RECTO ANAC. DE 2" </v>
          </cell>
        </row>
        <row r="112">
          <cell r="A112" t="str">
            <v xml:space="preserve">CONECTOR RECTO ANAC. DE 3/4" </v>
          </cell>
        </row>
        <row r="113">
          <cell r="A113" t="str">
            <v xml:space="preserve">CONECTOR RECTO ANAC. DE 1/2" </v>
          </cell>
        </row>
        <row r="114">
          <cell r="A114" t="str">
            <v xml:space="preserve">CONECTOR CURVO ANAC. DE 3/4" </v>
          </cell>
        </row>
        <row r="115">
          <cell r="A115" t="str">
            <v xml:space="preserve">CONECTOR CURVO ANAC. DE 1" </v>
          </cell>
        </row>
        <row r="116">
          <cell r="A116" t="str">
            <v xml:space="preserve">CONECTOR CURVO ANAC. DE 1 1/2" </v>
          </cell>
        </row>
        <row r="117">
          <cell r="A117" t="str">
            <v xml:space="preserve">CONECTOR CURVO ANAC. DE 2" </v>
          </cell>
        </row>
        <row r="118">
          <cell r="A118" t="str">
            <v xml:space="preserve">TUBO IMC 3/4"x3 MTS. </v>
          </cell>
        </row>
        <row r="119">
          <cell r="A119" t="str">
            <v xml:space="preserve">TUBO IMC 1"x3 MTS. </v>
          </cell>
        </row>
        <row r="120">
          <cell r="A120" t="str">
            <v xml:space="preserve">TUBO IMC 1 1/2"x3 MTS. </v>
          </cell>
        </row>
        <row r="121">
          <cell r="A121" t="str">
            <v xml:space="preserve">TUBO IMC 2"x3 MTS. </v>
          </cell>
        </row>
        <row r="122">
          <cell r="A122" t="str">
            <v xml:space="preserve">TUBO IMC 3"x3 MTS. </v>
          </cell>
        </row>
        <row r="123">
          <cell r="A123" t="str">
            <v xml:space="preserve">TUBO IMC 4"x3 MTS. </v>
          </cell>
        </row>
        <row r="124">
          <cell r="A124" t="str">
            <v xml:space="preserve">ADAPTADOR CAJA PVC DE 1/2" </v>
          </cell>
        </row>
        <row r="125">
          <cell r="A125" t="str">
            <v xml:space="preserve">ADAPTADOR CAJA PVC DE 3/4" </v>
          </cell>
        </row>
        <row r="126">
          <cell r="A126" t="str">
            <v xml:space="preserve">ADAPTADOR TNAL CAMP. PVC DE 2" </v>
          </cell>
        </row>
        <row r="127">
          <cell r="A127" t="str">
            <v xml:space="preserve">ADAPTADOR TNAL CAMP. PVC DE 3" </v>
          </cell>
        </row>
        <row r="128">
          <cell r="A128" t="str">
            <v xml:space="preserve">ADAPTADOR TNAL CAMP. PVC DE 4" </v>
          </cell>
        </row>
        <row r="129">
          <cell r="A129" t="str">
            <v xml:space="preserve">ADAPTADOR TNAL PVC DE 1" </v>
          </cell>
        </row>
        <row r="130">
          <cell r="A130" t="str">
            <v xml:space="preserve">ADAPTADOR TNAL PVC DE 1-1/4" </v>
          </cell>
        </row>
        <row r="131">
          <cell r="A131" t="str">
            <v xml:space="preserve">ADAPTADOR TNAL PVC DE 1-1/2" </v>
          </cell>
        </row>
        <row r="132">
          <cell r="A132" t="str">
            <v xml:space="preserve">ADAPTADOR TNAL PVC DE 2" </v>
          </cell>
        </row>
        <row r="133">
          <cell r="A133" t="str">
            <v xml:space="preserve">CURVA EMT DE 1 1/2" </v>
          </cell>
        </row>
        <row r="134">
          <cell r="A134" t="str">
            <v xml:space="preserve">CURVA EMT DE 1" </v>
          </cell>
        </row>
        <row r="135">
          <cell r="A135" t="str">
            <v xml:space="preserve">CURVA EMT DE 1/2" </v>
          </cell>
        </row>
        <row r="136">
          <cell r="A136" t="str">
            <v xml:space="preserve">CURVA EMT DE 2" </v>
          </cell>
        </row>
        <row r="137">
          <cell r="A137" t="str">
            <v xml:space="preserve">CURVA EMT DE 3/4" </v>
          </cell>
        </row>
        <row r="138">
          <cell r="A138" t="str">
            <v>BDUCT*12</v>
          </cell>
        </row>
        <row r="139">
          <cell r="A139" t="str">
            <v>CONDULETE LB DE 3/4"</v>
          </cell>
        </row>
        <row r="140">
          <cell r="A140" t="str">
            <v>CONDULETE T DE 3/4"</v>
          </cell>
        </row>
        <row r="141">
          <cell r="A141" t="str">
            <v>CONDULETE T DE 1/2"</v>
          </cell>
        </row>
        <row r="142">
          <cell r="A142" t="str">
            <v>conduletametalicade1/2"en"L".</v>
          </cell>
        </row>
        <row r="143">
          <cell r="A143" t="str">
            <v>conduletametalicade1/2"recta.</v>
          </cell>
        </row>
        <row r="144">
          <cell r="A144" t="str">
            <v>conduletametalicade3/4"en"L".</v>
          </cell>
        </row>
        <row r="145">
          <cell r="A145" t="str">
            <v>conduletametalicade3/4"recta.</v>
          </cell>
        </row>
        <row r="146">
          <cell r="A146" t="str">
            <v xml:space="preserve">CURVA PVC DE 4" </v>
          </cell>
        </row>
        <row r="147">
          <cell r="A147" t="str">
            <v xml:space="preserve">CURVA PVC DE 3" </v>
          </cell>
        </row>
        <row r="148">
          <cell r="A148" t="str">
            <v xml:space="preserve">CURVA PVC DE 2" </v>
          </cell>
        </row>
        <row r="149">
          <cell r="A149" t="str">
            <v xml:space="preserve">CURVA PVC DE 3/4" </v>
          </cell>
        </row>
        <row r="150">
          <cell r="A150" t="str">
            <v xml:space="preserve">ENTRADA CAJA EMT DE 1 1/2" </v>
          </cell>
        </row>
        <row r="151">
          <cell r="A151" t="str">
            <v xml:space="preserve">ENTRADA CAJA EMT DE 1" </v>
          </cell>
        </row>
        <row r="152">
          <cell r="A152" t="str">
            <v xml:space="preserve">ENTRADA CAJA EMT DE 1/2" </v>
          </cell>
        </row>
        <row r="153">
          <cell r="A153" t="str">
            <v xml:space="preserve">ENTRADA CAJA EMT DE 2" </v>
          </cell>
        </row>
        <row r="154">
          <cell r="A154" t="str">
            <v xml:space="preserve">ENTRADA CAJA EMT DE 3" </v>
          </cell>
        </row>
        <row r="155">
          <cell r="A155" t="str">
            <v xml:space="preserve">ENTRADA CAJA EMT DE 3/4" </v>
          </cell>
        </row>
        <row r="156">
          <cell r="A156" t="str">
            <v xml:space="preserve">GRAPA GALV. DOBLE ALA DE 1" </v>
          </cell>
        </row>
        <row r="157">
          <cell r="A157" t="str">
            <v xml:space="preserve">GRAPA GALV. DOBLE ALA DE 1/2" C-20 </v>
          </cell>
        </row>
        <row r="158">
          <cell r="A158" t="str">
            <v xml:space="preserve">GRAPA GALV. DOBLE ALA DE 1-1/2" C-20 </v>
          </cell>
        </row>
        <row r="159">
          <cell r="A159" t="str">
            <v xml:space="preserve">GRAPA GALV. DOBLE ALA DE 2" </v>
          </cell>
        </row>
        <row r="160">
          <cell r="A160" t="str">
            <v xml:space="preserve">GRAPA GALV. DOBLE ALA DE 3/4" C-20 </v>
          </cell>
        </row>
        <row r="161">
          <cell r="A161" t="str">
            <v xml:space="preserve">GRAPA GALV. DOBLE ALA DE 3/8" </v>
          </cell>
        </row>
        <row r="162">
          <cell r="A162" t="str">
            <v xml:space="preserve">GRAPA GALVANIZADA DE 1/2" </v>
          </cell>
        </row>
        <row r="163">
          <cell r="A163" t="str">
            <v xml:space="preserve">ROSCA PARA IMC DE 1" </v>
          </cell>
        </row>
        <row r="164">
          <cell r="A164" t="str">
            <v xml:space="preserve">ROSCA PARA IMC 3/4" </v>
          </cell>
        </row>
        <row r="165">
          <cell r="A165" t="str">
            <v xml:space="preserve">ROSCA PARA IMC 1/2" </v>
          </cell>
        </row>
        <row r="166">
          <cell r="A166" t="str">
            <v xml:space="preserve">CURVA CONDUIT GALV. DE 2" </v>
          </cell>
        </row>
        <row r="167">
          <cell r="A167" t="str">
            <v xml:space="preserve">CURVA CONDUIT GALV. DE 4" </v>
          </cell>
        </row>
        <row r="168">
          <cell r="A168" t="str">
            <v>CURVA CONDUIT GALV. DE 3"</v>
          </cell>
        </row>
        <row r="169">
          <cell r="A169" t="str">
            <v xml:space="preserve">UNION CONDUIT GALV. DE 2" </v>
          </cell>
        </row>
        <row r="170">
          <cell r="A170" t="str">
            <v xml:space="preserve">UNION CONDUIT GALV. DE 1 1/2" </v>
          </cell>
        </row>
        <row r="171">
          <cell r="A171" t="str">
            <v xml:space="preserve">UNION CONDUIT GALV. DE 3" </v>
          </cell>
        </row>
        <row r="172">
          <cell r="A172" t="str">
            <v xml:space="preserve">UNION CONDUIT GALV. DE 4" </v>
          </cell>
        </row>
        <row r="173">
          <cell r="A173" t="str">
            <v xml:space="preserve">UNION CONDUIT GALV. DE 1" </v>
          </cell>
        </row>
        <row r="174">
          <cell r="A174" t="str">
            <v xml:space="preserve">UNION CONDUIT GALV. DE 3/4" </v>
          </cell>
        </row>
        <row r="175">
          <cell r="A175" t="str">
            <v xml:space="preserve">UNION CONDUIT GALV. DE 1/2" </v>
          </cell>
        </row>
        <row r="176">
          <cell r="A176" t="str">
            <v xml:space="preserve">UNION DUCTO TIPO BIC </v>
          </cell>
        </row>
        <row r="177">
          <cell r="A177" t="str">
            <v xml:space="preserve">UNION EMT DE 1" </v>
          </cell>
        </row>
        <row r="178">
          <cell r="A178" t="str">
            <v xml:space="preserve">UNION EMT DE 1/2" </v>
          </cell>
        </row>
        <row r="179">
          <cell r="A179" t="str">
            <v xml:space="preserve">UNION EMT DE 1-1/2" </v>
          </cell>
        </row>
        <row r="180">
          <cell r="A180" t="str">
            <v xml:space="preserve">UNION EMT DE 2" </v>
          </cell>
        </row>
        <row r="181">
          <cell r="A181" t="str">
            <v xml:space="preserve">UNION EMT DE 3" </v>
          </cell>
        </row>
        <row r="182">
          <cell r="A182" t="str">
            <v xml:space="preserve">UNION EMT DE 3/4" </v>
          </cell>
        </row>
        <row r="183">
          <cell r="A183" t="str">
            <v>Chazo Golpe C/tornillo 1/4*1 1/4"</v>
          </cell>
        </row>
        <row r="184">
          <cell r="A184" t="str">
            <v>-</v>
          </cell>
        </row>
        <row r="185">
          <cell r="A185" t="str">
            <v>BREAKER INDUSTRIALES</v>
          </cell>
        </row>
        <row r="186">
          <cell r="A186" t="str">
            <v>-</v>
          </cell>
        </row>
        <row r="187">
          <cell r="A187" t="str">
            <v>BREAKER INDUST. 3x40A Merlin Gerin</v>
          </cell>
        </row>
        <row r="188">
          <cell r="A188" t="str">
            <v>BREAKER INDUST. 3x80A Merlin Gerin</v>
          </cell>
        </row>
        <row r="189">
          <cell r="A189" t="str">
            <v>BREAKER INDUST. 3x1600A Merlin Gerin</v>
          </cell>
        </row>
        <row r="190">
          <cell r="A190" t="str">
            <v xml:space="preserve">BREAKER INDUST. REG. 3x160-400A </v>
          </cell>
        </row>
        <row r="191">
          <cell r="A191" t="str">
            <v xml:space="preserve">BREAKER INDUST. REG. 3x18-25A </v>
          </cell>
        </row>
        <row r="192">
          <cell r="A192" t="str">
            <v xml:space="preserve">BREAKER INDUST. REG. 3x25-32A </v>
          </cell>
        </row>
        <row r="193">
          <cell r="A193" t="str">
            <v xml:space="preserve">BREAKER INDUST. REG. 3x32-40A </v>
          </cell>
        </row>
        <row r="194">
          <cell r="A194" t="str">
            <v xml:space="preserve">BREAKER INDUST. REG. 3x35-50A </v>
          </cell>
        </row>
        <row r="195">
          <cell r="A195" t="str">
            <v xml:space="preserve">BREAKER INDUST. REG. 3x50-63A </v>
          </cell>
        </row>
        <row r="196">
          <cell r="A196" t="str">
            <v>Breaker industrial de 3x30A, 440V, 10KA</v>
          </cell>
        </row>
        <row r="197">
          <cell r="A197" t="str">
            <v>Totalizador, Breaker industrial de 300A, 440V</v>
          </cell>
        </row>
        <row r="198">
          <cell r="A198" t="str">
            <v xml:space="preserve"> BREAKER 3* 100 A MERLIN GERIN</v>
          </cell>
        </row>
        <row r="199">
          <cell r="A199" t="str">
            <v>-</v>
          </cell>
        </row>
        <row r="200">
          <cell r="A200" t="str">
            <v xml:space="preserve">CANALETAS </v>
          </cell>
        </row>
        <row r="201">
          <cell r="A201" t="str">
            <v>-</v>
          </cell>
        </row>
        <row r="202">
          <cell r="A202" t="str">
            <v>Canaleta 11* 5 tipo mecano , calibre # 18, con división</v>
          </cell>
        </row>
        <row r="203">
          <cell r="A203" t="str">
            <v xml:space="preserve">CANALETA METALICA S.D. 10x4x2.40 MT </v>
          </cell>
        </row>
        <row r="204">
          <cell r="A204" t="str">
            <v xml:space="preserve">TROQUEL CIEGO C. MET. 10x4 </v>
          </cell>
        </row>
        <row r="205">
          <cell r="A205" t="str">
            <v xml:space="preserve">TROQUEL DOBLE C. MET. 10x4 </v>
          </cell>
        </row>
        <row r="206">
          <cell r="A206" t="str">
            <v xml:space="preserve">TROQUEL LEVINTON C. MET. 10x4 </v>
          </cell>
        </row>
        <row r="207">
          <cell r="A207" t="str">
            <v xml:space="preserve">TROQUEL LUMINEX C. MET. 10x4 </v>
          </cell>
        </row>
        <row r="208">
          <cell r="A208" t="str">
            <v>CANALETA METALICA 8x4, TAPA TORNILLO, S/D, BLANCA CTIB084 27.604</v>
          </cell>
        </row>
        <row r="209">
          <cell r="A209" t="str">
            <v>CANALETA METALICA 8x4, TAPA TORNILLO, S/D, OTRO COLOR CTIP084</v>
          </cell>
        </row>
        <row r="210">
          <cell r="A210" t="str">
            <v>CANALETA METALICA 8x4, TAPA PRESION, S/D, BLANCA CPIB084</v>
          </cell>
        </row>
        <row r="211">
          <cell r="A211" t="str">
            <v>CANALETA METALICA 8x4, TAPA PRESION, S/D, OTRO COLOR CPIP084</v>
          </cell>
        </row>
        <row r="212">
          <cell r="A212" t="str">
            <v>CANALETA METALICA 12x5, TAPA TORNILLO, S/D, BLANCA CTSB125</v>
          </cell>
        </row>
        <row r="213">
          <cell r="A213" t="str">
            <v>CANALETA METALICA 12x5, TAPA TORNILLO, S/D, OTRO COLOR CTSP125</v>
          </cell>
        </row>
        <row r="214">
          <cell r="A214" t="str">
            <v>CANALETA METALICA 12x5, TAPA PRESION, S/D, BLANCA CPSB125</v>
          </cell>
        </row>
        <row r="215">
          <cell r="A215" t="str">
            <v>CANALETA METALICA 12x5, TAPA PRESION, S/D, OTRO COLOR CPSP125</v>
          </cell>
        </row>
        <row r="216">
          <cell r="A216" t="str">
            <v>CANALETA METALICA 10x8, TAPA TORNILLO, S/D, BLANCA CTSB108</v>
          </cell>
        </row>
        <row r="217">
          <cell r="A217" t="str">
            <v>CANALETA METALICA 10x8, TAPA TORNILLO, S/D, GALV CTSG108</v>
          </cell>
        </row>
        <row r="218">
          <cell r="A218" t="str">
            <v>CANALETA METALICA 20x8, TAPA TORNILLO, S/D, BLANCA CTSB208</v>
          </cell>
        </row>
        <row r="219">
          <cell r="A219" t="str">
            <v>CANALETA METALICA 20X8, TAPA TORNILLO, S/D, GALV CTSG208</v>
          </cell>
        </row>
        <row r="220">
          <cell r="A220" t="str">
            <v>CANALETA METALICA 30x8, TAPA TORNILLO, S/D, BLANCA CTSB308</v>
          </cell>
        </row>
        <row r="221">
          <cell r="A221" t="str">
            <v>CANALETA METALICA 30x8, TAPA TORNILLO, S/D, GALV CTSG308</v>
          </cell>
        </row>
        <row r="222">
          <cell r="A222" t="str">
            <v>CANALETA METALICA 40x8, TAPA TORNILLO, S/D, BLANCA CTSB408</v>
          </cell>
        </row>
        <row r="223">
          <cell r="A223" t="str">
            <v>CANALETA METALICA 40x8, TAPA TORNILLO, S/D, GALV CTSP408</v>
          </cell>
        </row>
        <row r="224">
          <cell r="A224" t="str">
            <v>CANALETA METALICA 50x8, TAPA TORNILLO, S/D, BLANCA CTSB508</v>
          </cell>
        </row>
        <row r="225">
          <cell r="A225" t="str">
            <v>CANALETA METALICA 50x8, TAPA TORNILLO, S/D, GALV CTSG508</v>
          </cell>
        </row>
        <row r="226">
          <cell r="A226" t="str">
            <v xml:space="preserve">CANALETA METALICA 60x8, TAPA TORNILLO, S/D, BLANCA CTSB608 </v>
          </cell>
        </row>
        <row r="227">
          <cell r="A227" t="str">
            <v>CANALETA METALICA 60x8, TAPA TORNILLO, S/D, GALV CTSG608</v>
          </cell>
        </row>
        <row r="228">
          <cell r="A228" t="str">
            <v>DIVISION DE CANALETA DE 4 Y 5 CM, BLANCA DCAB045</v>
          </cell>
        </row>
        <row r="229">
          <cell r="A229" t="str">
            <v>DIVISION DE CANALETA DE 4 Y 5 CM, OTRO COLOR DCAP045</v>
          </cell>
        </row>
        <row r="230">
          <cell r="A230" t="str">
            <v>DIVISION DE CANALETA DE 8 CM, BLANCA DCAB008</v>
          </cell>
        </row>
        <row r="231">
          <cell r="A231" t="str">
            <v>DIVISION DE CANALETA DE 8 CM, GALV DCAG008</v>
          </cell>
        </row>
        <row r="232">
          <cell r="A232" t="str">
            <v>TAPA TROQUELADA 8x4 TORNILLO TTCT084</v>
          </cell>
        </row>
        <row r="233">
          <cell r="A233" t="str">
            <v>TAPA TROQUELADA 8x4 TORNILLO TTCT084</v>
          </cell>
        </row>
        <row r="234">
          <cell r="A234" t="str">
            <v>TAPA TROQUELADA 8x4 PRESION TTCP084</v>
          </cell>
        </row>
        <row r="235">
          <cell r="A235" t="str">
            <v>TAPA TROQUELADA 12x5 TORNILLO TTCT084</v>
          </cell>
        </row>
        <row r="236">
          <cell r="A236" t="str">
            <v>TAPA TROQUELADA 12x5 PRESION TTCP084</v>
          </cell>
        </row>
        <row r="237">
          <cell r="A237" t="str">
            <v>-</v>
          </cell>
        </row>
        <row r="238">
          <cell r="A238" t="str">
            <v>BANDEJAS PORTACABLES</v>
          </cell>
        </row>
        <row r="239">
          <cell r="A239" t="str">
            <v>-</v>
          </cell>
        </row>
        <row r="240">
          <cell r="A240" t="str">
            <v>Bandeja Enmallada 20x5,4 Galvanizada GALCO</v>
          </cell>
        </row>
        <row r="241">
          <cell r="A241" t="str">
            <v xml:space="preserve">Union Rapida </v>
          </cell>
        </row>
        <row r="242">
          <cell r="A242" t="str">
            <v xml:space="preserve">Chapeta puesta a tierra </v>
          </cell>
        </row>
        <row r="243">
          <cell r="A243" t="str">
            <v xml:space="preserve">PERFIL SENC. LISO C-14x3 MT 7/8" </v>
          </cell>
        </row>
        <row r="244">
          <cell r="A244" t="str">
            <v xml:space="preserve">PERFIL SENC. RAN. C-14x3 MT 7/8" </v>
          </cell>
        </row>
        <row r="245">
          <cell r="A245" t="str">
            <v xml:space="preserve">PLATINA DE UNION GALV. BANDEJA </v>
          </cell>
        </row>
        <row r="246">
          <cell r="A246" t="str">
            <v>ESPARRAGO GALV. DE 1/4x3 MT</v>
          </cell>
        </row>
        <row r="247">
          <cell r="A247" t="str">
            <v>ESPARRAGO GALV. DE 1/4x1 MT</v>
          </cell>
        </row>
        <row r="248">
          <cell r="A248" t="str">
            <v>ESPARRAGO GALV. DE 3/8x3 MT</v>
          </cell>
        </row>
        <row r="249">
          <cell r="A249" t="str">
            <v>ESPARRAGO GALV. DE 3/8x1 MT</v>
          </cell>
        </row>
        <row r="250">
          <cell r="A250" t="str">
            <v>ESPARRAGO GALV. DE 1/2"x1 MT</v>
          </cell>
        </row>
        <row r="251">
          <cell r="A251" t="str">
            <v>Bandeja portacable tipo malla mecano de 10* 5,4</v>
          </cell>
        </row>
        <row r="252">
          <cell r="A252" t="str">
            <v>Bandeja portacable tipo malla mecano de 20* 5</v>
          </cell>
        </row>
        <row r="253">
          <cell r="A253" t="str">
            <v>Bandeja portacable tipo malla mecano de 30*5,4</v>
          </cell>
        </row>
        <row r="254">
          <cell r="A254" t="str">
            <v>Bandeja portacable tipo malla mecano de 40*5</v>
          </cell>
        </row>
        <row r="255">
          <cell r="A255" t="str">
            <v>Platina de union para bandeja tipo malla</v>
          </cell>
        </row>
        <row r="256">
          <cell r="A256" t="str">
            <v>Union atornillada para bandeja tipo malla</v>
          </cell>
        </row>
        <row r="257">
          <cell r="A257" t="str">
            <v xml:space="preserve">Cuelga Universal para bandeja tipo malla </v>
          </cell>
        </row>
        <row r="258">
          <cell r="A258" t="str">
            <v xml:space="preserve">Bandeja tipo malla de 50* 10 </v>
          </cell>
        </row>
        <row r="259">
          <cell r="A259" t="str">
            <v xml:space="preserve">Bandeja tipo malla de 40* 10 </v>
          </cell>
        </row>
        <row r="260">
          <cell r="A260" t="str">
            <v>soporte tubo 2"</v>
          </cell>
        </row>
        <row r="261">
          <cell r="A261" t="str">
            <v>soporte tubo 4"</v>
          </cell>
        </row>
        <row r="262">
          <cell r="A262" t="str">
            <v>soporte peldaño de 10 (15cm) galvanizado</v>
          </cell>
        </row>
        <row r="263">
          <cell r="A263" t="str">
            <v>soporte peldaño de 20 (30cm) galvanizado</v>
          </cell>
        </row>
        <row r="264">
          <cell r="A264" t="str">
            <v>soporte peldaño de 30 (40cm) galvanizado</v>
          </cell>
        </row>
        <row r="265">
          <cell r="A265" t="str">
            <v>soporte peldaño de 40 (50cm) galvanizado</v>
          </cell>
        </row>
        <row r="266">
          <cell r="A266" t="str">
            <v xml:space="preserve">BANDEJA GALVANIZADA 10x8 </v>
          </cell>
        </row>
        <row r="267">
          <cell r="A267" t="str">
            <v xml:space="preserve">BANDEJA GALVANIZADA 20x8 </v>
          </cell>
        </row>
        <row r="268">
          <cell r="A268" t="str">
            <v xml:space="preserve">BANDEJA GALVANIZADA 30x8 </v>
          </cell>
        </row>
        <row r="269">
          <cell r="A269" t="str">
            <v xml:space="preserve">BANDEJA GALVANIZADA 40x8 </v>
          </cell>
        </row>
        <row r="270">
          <cell r="A270" t="str">
            <v xml:space="preserve">BANDEJA GALVANIZADA 50x8 </v>
          </cell>
        </row>
        <row r="271">
          <cell r="A271" t="str">
            <v xml:space="preserve">ANCLA MULTIUSO DE 1/2" RL </v>
          </cell>
        </row>
        <row r="272">
          <cell r="A272" t="str">
            <v xml:space="preserve">ANCLA MULTIUSO DE 3/8" RL </v>
          </cell>
        </row>
        <row r="273">
          <cell r="A273" t="str">
            <v xml:space="preserve">ANCLA MULTIUSO DE 1/4" RL </v>
          </cell>
        </row>
        <row r="274">
          <cell r="A274" t="str">
            <v>ARANDELA PLANA GALV. DE 1/4"</v>
          </cell>
        </row>
        <row r="275">
          <cell r="A275" t="str">
            <v>ARANDELA PLANA GALV. DE 3/16"</v>
          </cell>
        </row>
        <row r="276">
          <cell r="A276" t="str">
            <v>ARANDELA PLANA GALV. DE 3/8"</v>
          </cell>
        </row>
        <row r="277">
          <cell r="A277" t="str">
            <v>ARANDELA PLANA GALV. DE 1/2"</v>
          </cell>
        </row>
        <row r="278">
          <cell r="A278" t="str">
            <v xml:space="preserve">TUERCA GALVANIZADA DE 1/4" </v>
          </cell>
        </row>
        <row r="279">
          <cell r="A279" t="str">
            <v xml:space="preserve">TUERCA GALVANIZADA DE 3/8" </v>
          </cell>
        </row>
        <row r="280">
          <cell r="A280" t="str">
            <v xml:space="preserve">TUERCA GALVANIZADA DE 1/2" </v>
          </cell>
        </row>
        <row r="281">
          <cell r="A281" t="str">
            <v xml:space="preserve">TUERCA GALVANIZADA DE 5/32" </v>
          </cell>
        </row>
        <row r="282">
          <cell r="A282" t="str">
            <v xml:space="preserve">TUERCA MORDAZA RECT. RESORTE 1/4" </v>
          </cell>
        </row>
        <row r="283">
          <cell r="A283" t="str">
            <v>-</v>
          </cell>
        </row>
        <row r="284">
          <cell r="A284" t="str">
            <v>-</v>
          </cell>
        </row>
        <row r="285">
          <cell r="A285" t="str">
            <v xml:space="preserve">CAJAS </v>
          </cell>
        </row>
        <row r="286">
          <cell r="A286" t="str">
            <v>-</v>
          </cell>
        </row>
        <row r="287">
          <cell r="A287" t="str">
            <v xml:space="preserve">CAJA DE EMP. 240X310x12 REF-GR17242 </v>
          </cell>
        </row>
        <row r="288">
          <cell r="A288" t="str">
            <v>CAJA DE DERIVACION IP 65 1/4 DE VUELTA. 180X340x10</v>
          </cell>
        </row>
        <row r="289">
          <cell r="A289" t="str">
            <v>CAJA DE DERIVACION IP 65 1/4 DE VUELTA. 180X180x10</v>
          </cell>
        </row>
        <row r="290">
          <cell r="A290" t="str">
            <v>CAJA DE DERIVACION IP 65 1/4 DE VUELTA. 10X10X10</v>
          </cell>
        </row>
        <row r="291">
          <cell r="A291" t="str">
            <v xml:space="preserve">CAJA DE EMPALME 13x13x8 </v>
          </cell>
        </row>
        <row r="292">
          <cell r="A292" t="str">
            <v xml:space="preserve">CAJA DE EMPALME 20x20x15 </v>
          </cell>
        </row>
        <row r="293">
          <cell r="A293" t="str">
            <v xml:space="preserve">CAJA DE EMPALME 25x25x10 </v>
          </cell>
        </row>
        <row r="294">
          <cell r="A294" t="str">
            <v>CAJA DE EMPALME 30x30x15</v>
          </cell>
        </row>
        <row r="295">
          <cell r="A295" t="str">
            <v>CAJA ARRANCADOR 40x30x20 TERCOL</v>
          </cell>
        </row>
        <row r="296">
          <cell r="A296" t="str">
            <v>CAJA ARRANCADOR 40x60x20 TERCOL</v>
          </cell>
        </row>
        <row r="297">
          <cell r="A297" t="str">
            <v>CAJA DE PASO 40x20x15 TERCOL</v>
          </cell>
        </row>
        <row r="298">
          <cell r="A298" t="str">
            <v>CAJA DE PASO 60x20x15 TERCOL</v>
          </cell>
        </row>
        <row r="299">
          <cell r="A299" t="str">
            <v>CAJA DE EMPALME 40x40x20 TERCOL</v>
          </cell>
        </row>
        <row r="300">
          <cell r="A300" t="str">
            <v xml:space="preserve">CAJA DEXON 180x140x80 3CJDGR18148 </v>
          </cell>
        </row>
        <row r="301">
          <cell r="A301" t="str">
            <v xml:space="preserve">CAJA TELEFONICA 40x40x2O Fondo de Madera </v>
          </cell>
        </row>
        <row r="302">
          <cell r="A302" t="str">
            <v>CAJA RAWELT 2X4"</v>
          </cell>
        </row>
        <row r="303">
          <cell r="A303" t="str">
            <v>TAPA HERMETICA PARA CAJA RAWELT 2X4"</v>
          </cell>
        </row>
        <row r="304">
          <cell r="A304" t="str">
            <v>TAPA HERMETICA PARA TOMA LEVITON TRADICIONAL</v>
          </cell>
        </row>
        <row r="305">
          <cell r="A305" t="str">
            <v>TAPA HERMETICA TIPO CAPSULA PARA TOMA LEVITON TRADICIONAL</v>
          </cell>
        </row>
        <row r="306">
          <cell r="A306" t="str">
            <v>-</v>
          </cell>
        </row>
        <row r="307">
          <cell r="A307" t="str">
            <v>CABLEADO ESTRUCTURADO</v>
          </cell>
        </row>
        <row r="308">
          <cell r="A308" t="str">
            <v>-</v>
          </cell>
        </row>
        <row r="309">
          <cell r="A309" t="str">
            <v>CINTA ROTULADORA ELECTRONICA</v>
          </cell>
        </row>
        <row r="310">
          <cell r="A310" t="str">
            <v>Kit de tierra PG 50</v>
          </cell>
        </row>
        <row r="311">
          <cell r="A311" t="str">
            <v>Regleta Siemon de 50 Pares</v>
          </cell>
        </row>
        <row r="312">
          <cell r="A312" t="str">
            <v>Regleta Siemon de 25 Pares</v>
          </cell>
        </row>
        <row r="313">
          <cell r="A313" t="str">
            <v xml:space="preserve">Multitoma para rack de 6 tomas dobles tpo HG, </v>
          </cell>
        </row>
        <row r="314">
          <cell r="A314" t="str">
            <v>Multitoma para rack de 3 tomas dobles tpo HG, SIN PROTECCION</v>
          </cell>
        </row>
        <row r="315">
          <cell r="A315" t="str">
            <v>VENTILADOR (COOLER) PARA RACK CERRADO DE 6W CON ADAPTADOR</v>
          </cell>
        </row>
        <row r="316">
          <cell r="A316" t="str">
            <v xml:space="preserve">FACE PLATE DOBLE BLANCO AMP </v>
          </cell>
        </row>
        <row r="317">
          <cell r="A317" t="str">
            <v xml:space="preserve">FACE PLATE SENCILLO BLANCO AMP </v>
          </cell>
        </row>
        <row r="318">
          <cell r="A318" t="str">
            <v xml:space="preserve">FACE PLATE P. TOMA LEV. BCO AUTOEXT. </v>
          </cell>
        </row>
        <row r="319">
          <cell r="A319" t="str">
            <v xml:space="preserve">FACE PLATE P. TOMA LEV. NJA AUTOEXT. </v>
          </cell>
        </row>
        <row r="320">
          <cell r="A320" t="str">
            <v>FACE PLATE PARA TOMA TELEVISION COAXIAL RG6</v>
          </cell>
        </row>
        <row r="321">
          <cell r="A321" t="str">
            <v>SPLITTER COAXIAL 1 IN/ 2 OUT</v>
          </cell>
        </row>
        <row r="322">
          <cell r="A322" t="str">
            <v>SPLITTER COAXIAL 1 IN/ 3 OUT</v>
          </cell>
        </row>
        <row r="323">
          <cell r="A323" t="str">
            <v>AMPLIFICADOR DE SEÑAL DE VIDEO COAXIAL</v>
          </cell>
        </row>
        <row r="324">
          <cell r="A324" t="str">
            <v xml:space="preserve">TERMINAL COAXIAL RG6 DE PONCHAR </v>
          </cell>
        </row>
        <row r="325">
          <cell r="A325" t="str">
            <v>FACE PLATE PARA SONIDO CON TERMINALES TIPO ENGANCHE</v>
          </cell>
        </row>
        <row r="326">
          <cell r="A326" t="str">
            <v>FACE PLATE DOBLE PARA MICROFONO CON TERMINALES TM242</v>
          </cell>
        </row>
        <row r="327">
          <cell r="A327" t="str">
            <v>CONECTOR NL4FX</v>
          </cell>
        </row>
        <row r="328">
          <cell r="A328" t="str">
            <v>PLUG HEMBR3117</v>
          </cell>
        </row>
        <row r="329">
          <cell r="A329" t="str">
            <v>CABLE ENCAUCHETADO ESTEREOFONICO 3X18AWG</v>
          </cell>
        </row>
        <row r="330">
          <cell r="A330" t="str">
            <v xml:space="preserve">FICHO DE PUENTEO </v>
          </cell>
        </row>
        <row r="331">
          <cell r="A331" t="str">
            <v>Certificacion de punto de datos</v>
          </cell>
        </row>
        <row r="332">
          <cell r="A332" t="str">
            <v xml:space="preserve">TRAMITE DE SERVICIOS PROVISIONALES ANTE EPM </v>
          </cell>
        </row>
        <row r="333">
          <cell r="A333" t="str">
            <v xml:space="preserve">MANO DE OBRA </v>
          </cell>
        </row>
        <row r="334">
          <cell r="A334" t="str">
            <v xml:space="preserve">MARC. T. CLIP 10-8/UTP REF-CL132 </v>
          </cell>
        </row>
        <row r="335">
          <cell r="A335" t="str">
            <v xml:space="preserve">MARCADOR NEGRO SHARPIE FINE POINT </v>
          </cell>
        </row>
        <row r="336">
          <cell r="A336" t="str">
            <v xml:space="preserve">ORGANIZADOR TIPO TRASERO </v>
          </cell>
        </row>
        <row r="337">
          <cell r="A337" t="str">
            <v>ORGANIZADOR DELANTERO 2U</v>
          </cell>
        </row>
        <row r="338">
          <cell r="A338" t="str">
            <v xml:space="preserve">ORGANIZADOR VERT. 2.10Mx152MM. </v>
          </cell>
        </row>
        <row r="339">
          <cell r="A339" t="str">
            <v xml:space="preserve">TOMA RJ-45 CT7A BLINDADO AMP </v>
          </cell>
        </row>
        <row r="340">
          <cell r="A340" t="str">
            <v xml:space="preserve">TOMA RJ-45 CT7 BLINDADO AMP </v>
          </cell>
        </row>
        <row r="341">
          <cell r="A341" t="str">
            <v xml:space="preserve">TOMA RJ-45 CT6A BLINDADO AMP </v>
          </cell>
        </row>
        <row r="342">
          <cell r="A342" t="str">
            <v xml:space="preserve">TOMA RJ-45 CT6 AMP </v>
          </cell>
        </row>
        <row r="343">
          <cell r="A343" t="str">
            <v xml:space="preserve">TOMA RJ-45 CT5E AMP </v>
          </cell>
        </row>
        <row r="344">
          <cell r="A344" t="str">
            <v xml:space="preserve">PATCH CORD DE 2 MT CT7A 4P/45 AMP </v>
          </cell>
        </row>
        <row r="345">
          <cell r="A345" t="str">
            <v xml:space="preserve">PATCH PANEL DE 24 P. CT7A AMP </v>
          </cell>
        </row>
        <row r="346">
          <cell r="A346" t="str">
            <v>RACK ABIERTO 2.10 MT lamina</v>
          </cell>
        </row>
        <row r="347">
          <cell r="A347" t="str">
            <v>RACK ABIERTO 2.10 MT ALUMINIO</v>
          </cell>
        </row>
        <row r="348">
          <cell r="A348" t="str">
            <v xml:space="preserve">M.O RACK ABIERTO 2.10 MT </v>
          </cell>
        </row>
        <row r="349">
          <cell r="A349" t="str">
            <v xml:space="preserve">RACK CERRADO 2.2Mx0.48Mx1.20M </v>
          </cell>
        </row>
        <row r="350">
          <cell r="A350" t="str">
            <v>RACK CERRADO PIBOTANTE 0,7M CON VIDRIO DE SOBREPONER EN PARED</v>
          </cell>
        </row>
        <row r="351">
          <cell r="A351" t="str">
            <v>RACK CERRADO PIBOTANTE 0,45M CON VIDRIO DE SOBREPONER EN PARED</v>
          </cell>
        </row>
        <row r="352">
          <cell r="A352" t="str">
            <v xml:space="preserve">TAPA CIEGA PARA FACE PLATE AMP </v>
          </cell>
        </row>
        <row r="353">
          <cell r="A353" t="str">
            <v>BANDEJA PORTA EQUIPOS</v>
          </cell>
        </row>
        <row r="354">
          <cell r="A354" t="str">
            <v xml:space="preserve">12 BANDEJA FIBRA 1 UNIDAD RACK DESLIZABLE CON ACCESO FRONTAL FCE1U PANDUIT </v>
          </cell>
        </row>
        <row r="355">
          <cell r="A355" t="str">
            <v xml:space="preserve">13 ACOPLE FIBRA LC MULTIMODO OM3/OM4 PLACA CON 6 DUPLEX FAP6WAQDLCZ PANDUIT </v>
          </cell>
        </row>
        <row r="356">
          <cell r="A356" t="str">
            <v>14 BANDEJA FIBRA 1 UNIDAD RACK DESLIZABLE CON ACCESO FRONTAL FCE1U PANDUIT</v>
          </cell>
        </row>
        <row r="357">
          <cell r="A357" t="str">
            <v>15 ACOPLE FIBRA LC MULTIMODO PLACA 12U DUPLEX 10GB PANDUIT FAP12WAQDLC PANDUIT</v>
          </cell>
        </row>
        <row r="358">
          <cell r="A358" t="str">
            <v>16 PATCH CORD CAT-6A 1.5MTS BLANCO PANDUIT UTP6A5 PANDUIT</v>
          </cell>
        </row>
        <row r="359">
          <cell r="A359" t="str">
            <v>17 PATCH CORD CAT-6A 3.0MTS BLANCO PANDUIT UTP6A10 PANDUIT</v>
          </cell>
        </row>
        <row r="360">
          <cell r="A360" t="str">
            <v xml:space="preserve">CABLE UTP 4PR CT5E AMP </v>
          </cell>
        </row>
        <row r="361">
          <cell r="A361" t="str">
            <v xml:space="preserve">CABLE UTP 4PR CT6 AMP </v>
          </cell>
        </row>
        <row r="362">
          <cell r="A362" t="str">
            <v>CABLE UTP CAT 6A AMP</v>
          </cell>
        </row>
        <row r="363">
          <cell r="A363" t="str">
            <v xml:space="preserve">CABLE UTP 4PR CT7A AMP </v>
          </cell>
        </row>
        <row r="364">
          <cell r="A364" t="str">
            <v>CINTA BELCRON NEGRA DE 1"</v>
          </cell>
        </row>
        <row r="365">
          <cell r="A365" t="str">
            <v>PATCH CORD DE 2 MT CT5E LEV</v>
          </cell>
        </row>
        <row r="366">
          <cell r="A366" t="str">
            <v xml:space="preserve">PATCH CORD DE 0,9 MT CT5E LEV </v>
          </cell>
        </row>
        <row r="367">
          <cell r="A367" t="str">
            <v xml:space="preserve">PATCH CORD DE 2 MT CT5E AMP </v>
          </cell>
        </row>
        <row r="368">
          <cell r="A368" t="str">
            <v xml:space="preserve">PATCH CORD DE 3 FT CT6 AMP </v>
          </cell>
        </row>
        <row r="369">
          <cell r="A369" t="str">
            <v xml:space="preserve">PATCH CORD DE 2 MT CT6 AMP </v>
          </cell>
        </row>
        <row r="370">
          <cell r="A370" t="str">
            <v>PATCH CORD DE 2 MT CT6 LEV</v>
          </cell>
        </row>
        <row r="371">
          <cell r="A371" t="str">
            <v xml:space="preserve">PATCH CORD DE 2 MT CT7A 4P/45 AMP </v>
          </cell>
        </row>
        <row r="372">
          <cell r="A372" t="str">
            <v xml:space="preserve">PATCH CORD DE 3FT CT 6A 4P/RJ45 AMP </v>
          </cell>
        </row>
        <row r="373">
          <cell r="A373" t="str">
            <v xml:space="preserve">PATCH CORD DE 2MT CT 6A 4P/RJ45 AMP </v>
          </cell>
        </row>
        <row r="374">
          <cell r="A374" t="str">
            <v xml:space="preserve">PATCH CORD DE 3MT CT 6 4P/RJ45 AMP </v>
          </cell>
        </row>
        <row r="375">
          <cell r="A375" t="str">
            <v xml:space="preserve">PATCH CORD DE 3MT CT 6A 4P/RJ45 AMP </v>
          </cell>
        </row>
        <row r="376">
          <cell r="A376" t="str">
            <v>PATCH CORD FIBRA LC-LC MULTIMODO 2MTS 50-125UM 10GB DUPLEX FXE10-10M2Y PANDUIT</v>
          </cell>
        </row>
        <row r="377">
          <cell r="A377" t="str">
            <v xml:space="preserve">PATCH PANEL DE 24 P. CT5A AMP </v>
          </cell>
        </row>
        <row r="378">
          <cell r="A378" t="str">
            <v xml:space="preserve">PATCH PANEL DE 24 P. CT6 AMP </v>
          </cell>
        </row>
        <row r="379">
          <cell r="A379" t="str">
            <v>PATCH PANEL DE 24 P. CT5e LEV</v>
          </cell>
        </row>
        <row r="380">
          <cell r="A380" t="str">
            <v>PATCH PANEL DE 24 P. CT6 LEV</v>
          </cell>
        </row>
        <row r="381">
          <cell r="A381" t="str">
            <v>PATCH PANEL DE 24 P. CT6A AMP (SIN JACK)</v>
          </cell>
        </row>
        <row r="382">
          <cell r="A382" t="str">
            <v xml:space="preserve">PATCH PANEL DE 48 P. CT6 AMP </v>
          </cell>
        </row>
        <row r="383">
          <cell r="A383" t="str">
            <v xml:space="preserve">PATCH PANEL DE 24 P. CT7A AMP </v>
          </cell>
        </row>
        <row r="384">
          <cell r="A384" t="str">
            <v>SWICH NO ADMINISTRABLE 8 PUERTOS</v>
          </cell>
        </row>
        <row r="385">
          <cell r="A385" t="str">
            <v>ACCESS POINT 802.11A/G2.4GHZ:3DBI, 5GHZ:4.5DBI TIPO INTERIOR</v>
          </cell>
        </row>
        <row r="386">
          <cell r="A386" t="str">
            <v>Planta telefonica ModeloTES-824 de 3 lineas y 8 extensiones con tarjeta contestadora Modelo KX-TE82491 y Telefonoconmutador modelo  KX-T7730 con pantalla de 12 teclas y altavoz.</v>
          </cell>
        </row>
        <row r="387">
          <cell r="A387" t="str">
            <v xml:space="preserve">RACK CERRADO 2.2Mx0.48Mx1.20M </v>
          </cell>
        </row>
        <row r="388">
          <cell r="A388" t="str">
            <v>Rack cerrado de 2,10 * 0,6 * 0,7</v>
          </cell>
        </row>
        <row r="389">
          <cell r="A389" t="str">
            <v>BANDEJA PORTA EQUIPO RACKEABLE DE 1 U.R</v>
          </cell>
        </row>
        <row r="390">
          <cell r="A390" t="str">
            <v xml:space="preserve">MARC. T. CLIP 10-8/UTP REF-CL132 </v>
          </cell>
        </row>
        <row r="391">
          <cell r="A391" t="str">
            <v>-</v>
          </cell>
        </row>
        <row r="392">
          <cell r="A392" t="str">
            <v>-</v>
          </cell>
        </row>
        <row r="393">
          <cell r="A393" t="str">
            <v>APARATOS ELECTRICOS</v>
          </cell>
        </row>
        <row r="394">
          <cell r="A394" t="str">
            <v>-</v>
          </cell>
        </row>
        <row r="395">
          <cell r="A395" t="str">
            <v>CAJA PVC 2x4</v>
          </cell>
        </row>
        <row r="396">
          <cell r="A396" t="str">
            <v>CAJA PVC 4x4</v>
          </cell>
        </row>
        <row r="397">
          <cell r="A397" t="str">
            <v>CAJA PVC 4x4x</v>
          </cell>
        </row>
        <row r="398">
          <cell r="A398" t="str">
            <v>CAJA PVC OCOTGONAL</v>
          </cell>
        </row>
        <row r="399">
          <cell r="A399" t="str">
            <v xml:space="preserve">CAJA GALVANIZADA 2x4 C-20 </v>
          </cell>
        </row>
        <row r="400">
          <cell r="A400" t="str">
            <v xml:space="preserve">CAJA GALVANIZADA 4x4 C-20 </v>
          </cell>
        </row>
        <row r="401">
          <cell r="A401" t="str">
            <v xml:space="preserve">CAJA GALVANIZADA 4x4x10 C-20 </v>
          </cell>
        </row>
        <row r="402">
          <cell r="A402" t="str">
            <v xml:space="preserve">CAJA GALVANIZADA OCOTGONAL C-20 </v>
          </cell>
        </row>
        <row r="403">
          <cell r="A403" t="str">
            <v xml:space="preserve">CAJA GRIS 10x10x5 S/TAPA </v>
          </cell>
        </row>
        <row r="404">
          <cell r="A404" t="str">
            <v xml:space="preserve">CAJA GRIS 12x12x5 S/TAPA </v>
          </cell>
        </row>
        <row r="405">
          <cell r="A405" t="str">
            <v>CLAVIJA AEREA 20A, 250V, 2POLOS+TIERRA LEVITON</v>
          </cell>
        </row>
        <row r="406">
          <cell r="A406" t="str">
            <v>CLAVIJA AEREA 30A, 250V, 2POLOS+TIERRA LEVITON</v>
          </cell>
        </row>
        <row r="407">
          <cell r="A407" t="str">
            <v>CLAVIJA AEREA NEMA 5-15R COLOR AMARILLO</v>
          </cell>
        </row>
        <row r="408">
          <cell r="A408" t="str">
            <v>ENCHUFE BIFILAR CON POLO T. 110V</v>
          </cell>
        </row>
        <row r="409">
          <cell r="A409" t="str">
            <v>ESTRACTOR DE OLORES 4" DE DIAMETRO 110Vac</v>
          </cell>
        </row>
        <row r="410">
          <cell r="A410" t="str">
            <v>INT. CONM. 4 V. DCORA BCO 5604-2W</v>
          </cell>
        </row>
        <row r="411">
          <cell r="A411" t="str">
            <v>INT. DOBLE CONM. DCORA BCO REF-5643W</v>
          </cell>
        </row>
        <row r="412">
          <cell r="A412" t="str">
            <v>INT. DOBLE DCORA BCO REF-5634W</v>
          </cell>
        </row>
        <row r="413">
          <cell r="A413" t="str">
            <v>INT. SENC. CONM. DCORA BCO REF-5603-W</v>
          </cell>
        </row>
        <row r="414">
          <cell r="A414" t="str">
            <v>INT. SENC. DCORA BCO REF-5601-2W</v>
          </cell>
        </row>
        <row r="415">
          <cell r="A415" t="str">
            <v>INT. TRIPLE DECORA BCO REF-1755-W</v>
          </cell>
        </row>
        <row r="416">
          <cell r="A416" t="str">
            <v>INT. TRIPLE GEN</v>
          </cell>
        </row>
        <row r="417">
          <cell r="A417" t="str">
            <v>Interruptor doble GL-020-A</v>
          </cell>
        </row>
        <row r="418">
          <cell r="A418" t="str">
            <v>Interruptor sencillo conmt GL-020-A</v>
          </cell>
        </row>
        <row r="419">
          <cell r="A419" t="str">
            <v>interruptor timbre GEN</v>
          </cell>
        </row>
        <row r="420">
          <cell r="A420" t="str">
            <v>CAMPANA TIMBRE GEN</v>
          </cell>
        </row>
        <row r="421">
          <cell r="A421" t="str">
            <v>Interruptor sencillo GL-010-A</v>
          </cell>
        </row>
        <row r="422">
          <cell r="A422" t="str">
            <v>Interruptor sencillo para modulo de oficina empotrable</v>
          </cell>
        </row>
        <row r="423">
          <cell r="A423" t="str">
            <v>M.O INSTALACION LUMINARIA</v>
          </cell>
        </row>
        <row r="424">
          <cell r="A424" t="str">
            <v>Placa ciega Galica</v>
          </cell>
        </row>
        <row r="425">
          <cell r="A425" t="str">
            <v>Placa hueco redondo crema C/torn</v>
          </cell>
        </row>
        <row r="426">
          <cell r="A426" t="str">
            <v>SENSOR PRESENCIA DUAL 11X11 MTS BOSCH </v>
          </cell>
        </row>
        <row r="427">
          <cell r="A427" t="str">
            <v>SENSOR INTENSIDAD LUMINICA TIPO FOCTOCELDA INTERIOR</v>
          </cell>
        </row>
        <row r="428">
          <cell r="A428" t="str">
            <v xml:space="preserve">TAPA FLUSH GALVANIZADA 4x4 </v>
          </cell>
        </row>
        <row r="429">
          <cell r="A429" t="str">
            <v xml:space="preserve">TAPA FLUSH PVC 4x4 </v>
          </cell>
        </row>
        <row r="430">
          <cell r="A430" t="str">
            <v xml:space="preserve">TAPA LEVITON GRIS 12x12 </v>
          </cell>
        </row>
        <row r="431">
          <cell r="A431" t="str">
            <v xml:space="preserve">TAPA LISA GRIS 10x10 </v>
          </cell>
        </row>
        <row r="432">
          <cell r="A432" t="str">
            <v xml:space="preserve">TAPA LISA GRIS 12x12 </v>
          </cell>
        </row>
        <row r="433">
          <cell r="A433" t="str">
            <v xml:space="preserve">TAPA LUMINEX GRIS 12x12 </v>
          </cell>
        </row>
        <row r="434">
          <cell r="A434" t="str">
            <v>TAPA LISA PVC REDONDA</v>
          </cell>
        </row>
        <row r="435">
          <cell r="A435" t="str">
            <v>TAPA PARA TOMA E INT. BCO 5320-5225</v>
          </cell>
        </row>
        <row r="436">
          <cell r="A436" t="str">
            <v>TAPA UN HUECO DCORA BCA REF-80401-W</v>
          </cell>
        </row>
        <row r="437">
          <cell r="A437" t="str">
            <v>TOMA AEREA 30A, 250V, 2POLOS+TIERRA LEVITON</v>
          </cell>
        </row>
        <row r="438">
          <cell r="A438" t="str">
            <v>TOMA AEREA NEMA 5-20R COLOR AMARILLO</v>
          </cell>
        </row>
        <row r="439">
          <cell r="A439" t="str">
            <v xml:space="preserve">TOMA AEREO CON POLO T. DE 15A </v>
          </cell>
        </row>
        <row r="440">
          <cell r="A440" t="str">
            <v xml:space="preserve">TOMA DE INCRUSTAR P/T 2x20A </v>
          </cell>
        </row>
        <row r="441">
          <cell r="A441" t="str">
            <v>TOMA DE INCRUSTAR EN PISO TAPA BRONCE SENCILLO 110V</v>
          </cell>
        </row>
        <row r="442">
          <cell r="A442" t="str">
            <v>TOMA DE INCRUSTAR TRIFILAR FFNT 3x30A  NEMA L6-30R</v>
          </cell>
        </row>
        <row r="443">
          <cell r="A443" t="str">
            <v xml:space="preserve">TOMA DE INCRUSTAR TRIFILAR 3x30A </v>
          </cell>
        </row>
        <row r="444">
          <cell r="A444" t="str">
            <v xml:space="preserve">TOMA DE INCRUSTAR TRIFILAR 3x50A </v>
          </cell>
        </row>
        <row r="445">
          <cell r="A445" t="str">
            <v xml:space="preserve">TOMA DE SEGURIDAD AEREO 3x20A </v>
          </cell>
        </row>
        <row r="446">
          <cell r="A446" t="str">
            <v xml:space="preserve">TOMA DE SEGURIDAD DE INCRUSTAR 3x20A </v>
          </cell>
        </row>
        <row r="447">
          <cell r="A447" t="str">
            <v xml:space="preserve">TOMA DE SEGURIDAD AEREO 5x63A </v>
          </cell>
        </row>
        <row r="448">
          <cell r="A448" t="str">
            <v>TOMA DE SEGURIDAD DE SOBREPONER 4X32A VCP</v>
          </cell>
        </row>
        <row r="449">
          <cell r="A449" t="str">
            <v>TOMA DE SEGURIDAD DE SOBREPONER 5X125A VCP</v>
          </cell>
        </row>
        <row r="450">
          <cell r="A450" t="str">
            <v xml:space="preserve">TOMA DE SEGURIDAD SOBREP. 5x63A </v>
          </cell>
        </row>
        <row r="451">
          <cell r="A451" t="str">
            <v>TOMA DOB. P.T. LEV. BCO REF.5320-W</v>
          </cell>
        </row>
        <row r="452">
          <cell r="A452" t="str">
            <v>TOMA SUICHE LEVITON DECORA 5625-W</v>
          </cell>
        </row>
        <row r="453">
          <cell r="A453" t="str">
            <v>Toma doble con polo tierra GL-303-AG</v>
          </cell>
        </row>
        <row r="454">
          <cell r="A454" t="str">
            <v xml:space="preserve">TOMA DOBLE GFCI 15A BLANCO </v>
          </cell>
        </row>
        <row r="455">
          <cell r="A455" t="str">
            <v xml:space="preserve">TOMA DOBLE T. AISLADA 15A NARANJA </v>
          </cell>
        </row>
        <row r="456">
          <cell r="A456" t="str">
            <v>Toma P/trabada P.T. 20amp 5821-I LEV</v>
          </cell>
        </row>
        <row r="457">
          <cell r="A457" t="str">
            <v>Toma telefono doble americana GL-505-AU</v>
          </cell>
        </row>
        <row r="458">
          <cell r="A458" t="str">
            <v xml:space="preserve">TORNILLO ENSAMBLE 8X 1-1/4" </v>
          </cell>
        </row>
        <row r="459">
          <cell r="A459" t="str">
            <v>-</v>
          </cell>
        </row>
        <row r="460">
          <cell r="A460" t="str">
            <v>MATERIALES PARA UPS</v>
          </cell>
        </row>
        <row r="461">
          <cell r="A461" t="str">
            <v>-</v>
          </cell>
        </row>
        <row r="462">
          <cell r="A462" t="str">
            <v>Llave selectora de 20A</v>
          </cell>
        </row>
        <row r="463">
          <cell r="A463" t="str">
            <v>LLAVE SELECTORA 0-1-2 TETRAPOLAR DE 32A</v>
          </cell>
        </row>
        <row r="464">
          <cell r="A464" t="str">
            <v>-</v>
          </cell>
        </row>
        <row r="465">
          <cell r="A465" t="str">
            <v>-</v>
          </cell>
        </row>
        <row r="466">
          <cell r="A466" t="str">
            <v>-</v>
          </cell>
        </row>
        <row r="467">
          <cell r="A467" t="str">
            <v>TABLEROS ELECTRICOS</v>
          </cell>
        </row>
        <row r="468">
          <cell r="A468" t="str">
            <v>-</v>
          </cell>
        </row>
        <row r="469">
          <cell r="A469" t="str">
            <v>TABLERO MINIPRAGMA DE 6 CIRCUITOS BLANCO DE EMPOTRAR</v>
          </cell>
        </row>
        <row r="470">
          <cell r="A470" t="str">
            <v>RIEL DIN</v>
          </cell>
        </row>
        <row r="471">
          <cell r="A471" t="str">
            <v xml:space="preserve">TABLERO 3F-12 CTOS CON TOT. </v>
          </cell>
        </row>
        <row r="472">
          <cell r="A472" t="str">
            <v xml:space="preserve">TABLERO 3F-12 CTOS SIN TOT. </v>
          </cell>
        </row>
        <row r="473">
          <cell r="A473" t="str">
            <v xml:space="preserve">TABLERO 3F-18 CTOS CON TOT. </v>
          </cell>
        </row>
        <row r="474">
          <cell r="A474" t="str">
            <v xml:space="preserve">TABLERO 3F-18 CTOS SIN TOT. </v>
          </cell>
        </row>
        <row r="475">
          <cell r="A475" t="str">
            <v xml:space="preserve">TABLERO 3F-24 CTOS CON TOT. </v>
          </cell>
        </row>
        <row r="476">
          <cell r="A476" t="str">
            <v xml:space="preserve">TABLERO 3F-24 CTOS SIN TOT. </v>
          </cell>
        </row>
        <row r="477">
          <cell r="A477" t="str">
            <v xml:space="preserve">TABLERO 3F-30 CTOS CON TOT. </v>
          </cell>
        </row>
        <row r="478">
          <cell r="A478" t="str">
            <v xml:space="preserve">TABLERO 3F-30 CTOS SIN TOT. </v>
          </cell>
        </row>
        <row r="479">
          <cell r="A479" t="str">
            <v xml:space="preserve">TABLERO 3F-36 CTOS CON TOT. </v>
          </cell>
        </row>
        <row r="480">
          <cell r="A480" t="str">
            <v xml:space="preserve">TABLERO 3F-36 CTOS SIN TOT. </v>
          </cell>
        </row>
        <row r="481">
          <cell r="A481" t="str">
            <v xml:space="preserve">TABLERO 3F-42 CTOS CON TOT. </v>
          </cell>
        </row>
        <row r="482">
          <cell r="A482" t="str">
            <v xml:space="preserve">TABLERO 3F-42 CTOS SIN TOT. </v>
          </cell>
        </row>
        <row r="483">
          <cell r="A483" t="str">
            <v xml:space="preserve">TABLERO BIFASICO 8 CTOS. C.P. </v>
          </cell>
        </row>
        <row r="484">
          <cell r="A484" t="str">
            <v>Tablero monofasico de 6 ctos</v>
          </cell>
        </row>
        <row r="485">
          <cell r="A485" t="str">
            <v>Tablero monofasico de 8 ctos</v>
          </cell>
        </row>
        <row r="486">
          <cell r="A486" t="str">
            <v>Tablero monofasico de 12 ctos</v>
          </cell>
        </row>
        <row r="487">
          <cell r="A487" t="str">
            <v>Tablero monofasico de 18 ctos</v>
          </cell>
        </row>
        <row r="488">
          <cell r="A488" t="str">
            <v>Tablero monofasico de 24 ctos</v>
          </cell>
        </row>
        <row r="489">
          <cell r="A489" t="str">
            <v>Tablero monofasico de 36 ctos</v>
          </cell>
        </row>
        <row r="490">
          <cell r="A490" t="str">
            <v>Tablero monofasico de 2 ctos</v>
          </cell>
        </row>
        <row r="491">
          <cell r="A491" t="str">
            <v xml:space="preserve">TABLERO REGULADO ML TELEANTIOQUIA </v>
          </cell>
        </row>
        <row r="492">
          <cell r="A492" t="str">
            <v>TABLERO TRIFASICO DE 12 CTOS CON ESPACIO PARA TOTALIZADOR SQUARD</v>
          </cell>
        </row>
        <row r="493">
          <cell r="A493" t="str">
            <v>TABLERO TRIFASICO DE 18 CTOS CON ESPACIO PARA TOTALIZADOR SQUARD</v>
          </cell>
        </row>
        <row r="494">
          <cell r="A494" t="str">
            <v>TABLERO BIFASICO DE 18 CTOS CON ESPACIO PARA TOTALIZADOR SQUARD</v>
          </cell>
        </row>
        <row r="495">
          <cell r="A495" t="str">
            <v>TABLERO TRIFASICO DE 24 CTOS CON ESPACIO PARA TOTALIZADOR SQUARD</v>
          </cell>
        </row>
        <row r="496">
          <cell r="A496" t="str">
            <v>TABLERO MINIPRAGMA DE 6 CIRCUITOS BLANCO DE EMPOTRAR</v>
          </cell>
        </row>
        <row r="497">
          <cell r="A497" t="str">
            <v>TABLERO MINIPRAGMA DE 20 CIRCUITOS BLANCO DE SOBREPONER</v>
          </cell>
        </row>
        <row r="498">
          <cell r="A498" t="str">
            <v>TABLERO MINIPRAGMA DE 16 CIRCUITOS BLANCO DE SOBREPONER</v>
          </cell>
        </row>
        <row r="499">
          <cell r="A499" t="str">
            <v xml:space="preserve">BREAKER ENCHUF. 3x125A  </v>
          </cell>
        </row>
        <row r="500">
          <cell r="A500" t="str">
            <v xml:space="preserve">BREAKER ENCHUF. 3x60A  </v>
          </cell>
        </row>
        <row r="501">
          <cell r="A501" t="str">
            <v xml:space="preserve">BREAKER ENCHUF. THQL 2x50A G.E. </v>
          </cell>
        </row>
        <row r="502">
          <cell r="A502" t="str">
            <v xml:space="preserve">BREAKER ENCHUFABLE 1x15A </v>
          </cell>
        </row>
        <row r="503">
          <cell r="A503" t="str">
            <v xml:space="preserve">BREAKER ENCHUFABLE 1x20A </v>
          </cell>
        </row>
        <row r="504">
          <cell r="A504" t="str">
            <v xml:space="preserve">BREAKER ENCHUFABLE 1x50A </v>
          </cell>
        </row>
        <row r="505">
          <cell r="A505" t="str">
            <v xml:space="preserve">BREAKER ENCHUFABLE 2x20A </v>
          </cell>
        </row>
        <row r="506">
          <cell r="A506" t="str">
            <v xml:space="preserve">BREAKER ENCHUFABLE 2x30A </v>
          </cell>
        </row>
        <row r="507">
          <cell r="A507" t="str">
            <v xml:space="preserve">BREAKER ENCHUFABLE 2x40A </v>
          </cell>
        </row>
        <row r="508">
          <cell r="A508" t="str">
            <v xml:space="preserve">BREAKER ENCHUFABLE 2x60A </v>
          </cell>
        </row>
        <row r="509">
          <cell r="A509" t="str">
            <v xml:space="preserve">BREAKER ENCHUFABLE 2x100A </v>
          </cell>
        </row>
        <row r="510">
          <cell r="A510" t="str">
            <v xml:space="preserve">BREAKER ENCHUFABLE 3x20A </v>
          </cell>
        </row>
        <row r="511">
          <cell r="A511" t="str">
            <v xml:space="preserve">BREAKER ENCHUFABLE 3x30A </v>
          </cell>
        </row>
        <row r="512">
          <cell r="A512" t="str">
            <v xml:space="preserve">BREAKER ENCHUFABLE 3x40A </v>
          </cell>
        </row>
        <row r="513">
          <cell r="A513" t="str">
            <v xml:space="preserve">BREAKER ENCHUFABLE 3x50A </v>
          </cell>
        </row>
        <row r="514">
          <cell r="A514" t="str">
            <v xml:space="preserve">BREAKER ENCHUFABLE 3x60A </v>
          </cell>
        </row>
        <row r="515">
          <cell r="A515" t="str">
            <v>BREAKER IND EASY PACK MERLIN GERIN 3X100A</v>
          </cell>
        </row>
        <row r="516">
          <cell r="A516" t="str">
            <v>BREAKER IND EASY PACK MERLIN GERIN 3X30A</v>
          </cell>
        </row>
        <row r="517">
          <cell r="A517" t="str">
            <v>BREAKER IND EASY PACK MERLIN GERIN 3X40A</v>
          </cell>
        </row>
        <row r="518">
          <cell r="A518" t="str">
            <v>BREAKER IND EASY PACK MERLIN GERIN 3X50A</v>
          </cell>
        </row>
        <row r="519">
          <cell r="A519" t="str">
            <v>BREAKER IND EASY PACK MERLIN GERIN 3X60A</v>
          </cell>
        </row>
        <row r="520">
          <cell r="A520" t="str">
            <v>BREAKER IND EASY PACK MERLIN GERIN 3X80A</v>
          </cell>
        </row>
        <row r="521">
          <cell r="A521" t="str">
            <v xml:space="preserve">BREAKER INDUST. REG. 3x160-400A </v>
          </cell>
        </row>
        <row r="522">
          <cell r="A522" t="str">
            <v xml:space="preserve">BREAKER INDUST. REG. 3x18-25A </v>
          </cell>
        </row>
        <row r="523">
          <cell r="A523" t="str">
            <v xml:space="preserve">BREAKER INDUST. REG. 3x25-32A </v>
          </cell>
        </row>
        <row r="524">
          <cell r="A524" t="str">
            <v xml:space="preserve">BREAKER INDUST. REG. 3x32-40A </v>
          </cell>
        </row>
        <row r="525">
          <cell r="A525" t="str">
            <v xml:space="preserve">BREAKER INDUST. REG. 3x35-50A </v>
          </cell>
        </row>
        <row r="526">
          <cell r="A526" t="str">
            <v xml:space="preserve">BREAKER INDUST. REG. 3x50-63A </v>
          </cell>
        </row>
        <row r="527">
          <cell r="A527" t="str">
            <v>Breaker industrial de 3x30A, 440V, 10KA</v>
          </cell>
        </row>
        <row r="528">
          <cell r="A528" t="str">
            <v>RELE BIMETALICO DE ESTADO SOLIDO REGULABLE DE 16-24A MONTAJE DIRECTO</v>
          </cell>
        </row>
        <row r="529">
          <cell r="A529" t="str">
            <v>MARCACION TIPO CLIP</v>
          </cell>
        </row>
        <row r="530">
          <cell r="A530" t="str">
            <v>MARCACION TIPO CINTA (DATOS)</v>
          </cell>
        </row>
        <row r="531">
          <cell r="A531" t="str">
            <v xml:space="preserve">TELERRUPTOR 16A MONO MG 120VAC/45VCC </v>
          </cell>
        </row>
        <row r="532">
          <cell r="A532" t="str">
            <v>TIMMER DIGITAL PROGRAMACION MULTIOHORARIA</v>
          </cell>
        </row>
        <row r="533">
          <cell r="A533" t="str">
            <v>MiniBreaker EATON 1X16A, 20A y 32A</v>
          </cell>
        </row>
        <row r="534">
          <cell r="A534" t="str">
            <v>MiniBreaker EATON 2X32A, 10kA</v>
          </cell>
        </row>
        <row r="535">
          <cell r="A535" t="str">
            <v>MiniBreaker EATON 2X40A, 10kA</v>
          </cell>
        </row>
        <row r="536">
          <cell r="A536" t="str">
            <v>MiniBreaker EATON 3X32A, 10kA</v>
          </cell>
        </row>
        <row r="537">
          <cell r="A537" t="str">
            <v>MiniBreaker EATON 3X40A, 10kA</v>
          </cell>
        </row>
        <row r="538">
          <cell r="A538" t="str">
            <v>Breaker industrial EATON 3X50A, 36kA</v>
          </cell>
        </row>
        <row r="539">
          <cell r="A539" t="str">
            <v>Breaker industrial EATON 3X80A, 36kA</v>
          </cell>
        </row>
        <row r="540">
          <cell r="A540" t="str">
            <v>Breaker industrial EATON 3X125A, 50kA</v>
          </cell>
        </row>
        <row r="541">
          <cell r="A541" t="str">
            <v>Breaker industrial EATON 3X100A, 50kA</v>
          </cell>
        </row>
        <row r="542">
          <cell r="A542" t="str">
            <v>Breaker industrial EATON 3X160A, 50kA</v>
          </cell>
        </row>
        <row r="543">
          <cell r="A543" t="str">
            <v>Breaker industrial EATON 3X250A, 50kA</v>
          </cell>
        </row>
        <row r="544">
          <cell r="A544" t="str">
            <v>Breaker industrial EATON 3X300A, 55kA</v>
          </cell>
        </row>
        <row r="545">
          <cell r="A545" t="str">
            <v>PEINE 12 MODULOS UNA FASE PARA TABLERO MINIPRAGMA</v>
          </cell>
        </row>
        <row r="546">
          <cell r="A546" t="str">
            <v>peine de 1 m de largo 3x10 mm2 3 FASES PARA TABLERO MINIPRAGMA</v>
          </cell>
        </row>
        <row r="547">
          <cell r="A547" t="str">
            <v>peine de 12 módulos 3x10 mm2 3 FASES PARA TABLERO MINIPRAGMA</v>
          </cell>
        </row>
        <row r="548">
          <cell r="A548" t="str">
            <v>conector de entrada para cable de 25 mm2- hasta 4 AWG PARA MINPRAGMA</v>
          </cell>
        </row>
        <row r="549">
          <cell r="A549" t="str">
            <v>-</v>
          </cell>
        </row>
        <row r="550">
          <cell r="A550" t="str">
            <v>-</v>
          </cell>
        </row>
        <row r="551">
          <cell r="A551" t="str">
            <v xml:space="preserve">ANCLA DE MARIPOSA 1/4"x3" REF.TR-1430 </v>
          </cell>
        </row>
        <row r="552">
          <cell r="A552" t="str">
            <v xml:space="preserve">ANCLA DE MARIPOSA 1/4"x3" REF.TR-1430 </v>
          </cell>
        </row>
        <row r="553">
          <cell r="A553" t="str">
            <v xml:space="preserve">ANCLA DE NYLON 1/4"x1 1/4" REF.NR-1414 </v>
          </cell>
        </row>
        <row r="554">
          <cell r="A554" t="str">
            <v xml:space="preserve">ANCLA EZP-100 (YESO) </v>
          </cell>
        </row>
        <row r="555">
          <cell r="A555" t="str">
            <v>ARANDELA PLANA GALV. DE 5/32"</v>
          </cell>
        </row>
        <row r="556">
          <cell r="A556" t="str">
            <v xml:space="preserve">BARRAJE DE Cu DE 100A. </v>
          </cell>
        </row>
        <row r="557">
          <cell r="A557" t="str">
            <v xml:space="preserve">BARRAJE DE Cu DE 200A. </v>
          </cell>
        </row>
        <row r="558">
          <cell r="A558" t="str">
            <v xml:space="preserve">BARRAJE DE Cu DE 400A. </v>
          </cell>
        </row>
        <row r="559">
          <cell r="A559" t="str">
            <v xml:space="preserve">BREAKER ENCHUF. THQL 2x50A G.E. </v>
          </cell>
        </row>
        <row r="560">
          <cell r="A560" t="str">
            <v xml:space="preserve">BREAKER ENCHUF. THQL 3x30A G.E. </v>
          </cell>
        </row>
        <row r="561">
          <cell r="A561" t="str">
            <v xml:space="preserve">BREAKER ENCHUFABLE 1x20A </v>
          </cell>
        </row>
        <row r="562">
          <cell r="A562" t="str">
            <v xml:space="preserve">BREAKER ENCHUFABLE 2x20A </v>
          </cell>
        </row>
        <row r="563">
          <cell r="A563" t="str">
            <v xml:space="preserve">BREAKER ENCHUFABLE 2x30A </v>
          </cell>
        </row>
        <row r="564">
          <cell r="A564" t="str">
            <v xml:space="preserve">BREAKER ENCHUFABLE 3x40A </v>
          </cell>
        </row>
        <row r="565">
          <cell r="A565" t="str">
            <v xml:space="preserve">BREAKER ENCHUFABLE 3x50A </v>
          </cell>
        </row>
        <row r="566">
          <cell r="A566" t="str">
            <v xml:space="preserve">BREAKER ENCHUFABLE 3x60A </v>
          </cell>
        </row>
        <row r="567">
          <cell r="A567" t="str">
            <v xml:space="preserve">CANCAMO # 10 </v>
          </cell>
        </row>
        <row r="568">
          <cell r="A568" t="str">
            <v xml:space="preserve">CANCAMO # 8 </v>
          </cell>
        </row>
        <row r="569">
          <cell r="A569" t="str">
            <v xml:space="preserve">CHAZO PLASTICO 1/4" </v>
          </cell>
        </row>
        <row r="570">
          <cell r="A570" t="str">
            <v xml:space="preserve">CIERRE BANDEJA 40X8 GALV. </v>
          </cell>
        </row>
        <row r="571">
          <cell r="A571" t="str">
            <v>CINTA AISLANTE AMARILLA</v>
          </cell>
        </row>
        <row r="572">
          <cell r="A572" t="str">
            <v>CINTA AISLANTE AZUL</v>
          </cell>
        </row>
        <row r="573">
          <cell r="A573" t="str">
            <v>CINTA AISLANTE BLANCA</v>
          </cell>
        </row>
        <row r="574">
          <cell r="A574" t="str">
            <v>CINTA AISLANTE CILES-RETIE</v>
          </cell>
        </row>
        <row r="575">
          <cell r="A575" t="str">
            <v>CINTA AISLANTE ROJA</v>
          </cell>
        </row>
        <row r="576">
          <cell r="A576" t="str">
            <v>CINTA AISLANTE VERDE</v>
          </cell>
        </row>
        <row r="577">
          <cell r="A577" t="str">
            <v>CINTA BELCRON NEGRA DE 1"</v>
          </cell>
        </row>
        <row r="578">
          <cell r="A578" t="str">
            <v>CINTA DE ENMASCARAR 1"x40 MTS.</v>
          </cell>
        </row>
        <row r="579">
          <cell r="A579" t="str">
            <v>CINTA PLYMOUTH BISHOP REF-W-963</v>
          </cell>
        </row>
        <row r="580">
          <cell r="A580" t="str">
            <v>CINTA STRECH 15CMSx457MTS.</v>
          </cell>
        </row>
        <row r="581">
          <cell r="A581" t="str">
            <v xml:space="preserve">CODO ESQUINERO INT. 10x4A79º </v>
          </cell>
        </row>
        <row r="582">
          <cell r="A582" t="str">
            <v xml:space="preserve">CODO ESQUINERO INT. 10x4A90º </v>
          </cell>
        </row>
        <row r="583">
          <cell r="A583" t="str">
            <v xml:space="preserve">CONECTOR DE AUT. AMARILLO REF.562 </v>
          </cell>
        </row>
        <row r="584">
          <cell r="A584" t="str">
            <v xml:space="preserve">CONECTOR RESORTE GB AMARILLO G10084 </v>
          </cell>
        </row>
        <row r="585">
          <cell r="A585" t="str">
            <v xml:space="preserve">CONECTOR RESORTE GB ROJO G10086 </v>
          </cell>
        </row>
        <row r="586">
          <cell r="A586" t="str">
            <v xml:space="preserve">CONECTOR RESORTE VCP AMARILLO VTCR-4 </v>
          </cell>
        </row>
        <row r="587">
          <cell r="A587" t="str">
            <v xml:space="preserve">CONECTOR RESORTE VCP ROJO VTCR-6 </v>
          </cell>
        </row>
        <row r="588">
          <cell r="A588" t="str">
            <v xml:space="preserve">CONECTOR T. PARTIDO # 2/0 KS-26 </v>
          </cell>
        </row>
        <row r="589">
          <cell r="A589" t="str">
            <v xml:space="preserve">CONECTOR TUBULAR # 2/0 REF.10006 </v>
          </cell>
        </row>
        <row r="590">
          <cell r="A590" t="str">
            <v xml:space="preserve">CONECTOR TUBULAR # 500 REF.10014 </v>
          </cell>
        </row>
        <row r="591">
          <cell r="A591" t="str">
            <v xml:space="preserve">CONTACT COLOR AZUL BANDERA </v>
          </cell>
        </row>
        <row r="592">
          <cell r="A592" t="str">
            <v xml:space="preserve">CONTACT COLOR NARANJA </v>
          </cell>
        </row>
        <row r="593">
          <cell r="A593" t="str">
            <v xml:space="preserve">CONTACT COLOR TRANSPARENTE </v>
          </cell>
        </row>
        <row r="594">
          <cell r="A594" t="str">
            <v>CORREA PLASTICA 20 CM BLANCA</v>
          </cell>
        </row>
        <row r="595">
          <cell r="A595" t="str">
            <v>CORREA PLASTICA 20 CM NEGRA</v>
          </cell>
        </row>
        <row r="596">
          <cell r="A596" t="str">
            <v>CORREA PLASTICA 25 CM BLANCA</v>
          </cell>
        </row>
        <row r="597">
          <cell r="A597" t="str">
            <v>CORREA PLASTICA 30 CM BLANCA</v>
          </cell>
        </row>
        <row r="598">
          <cell r="A598" t="str">
            <v>CORREA PLASTICA 30 CM NEGRA</v>
          </cell>
        </row>
        <row r="599">
          <cell r="A599" t="str">
            <v>CORREA PLASTICA 35 CM BLANCA</v>
          </cell>
        </row>
        <row r="600">
          <cell r="A600" t="str">
            <v xml:space="preserve">CUADERNO DE 100 HOJAS </v>
          </cell>
        </row>
        <row r="601">
          <cell r="A601" t="str">
            <v xml:space="preserve">CURVA HR. DUCTO C.D. 30x8A90° </v>
          </cell>
        </row>
        <row r="602">
          <cell r="A602" t="str">
            <v xml:space="preserve">CURVA HR. GALV. BAND. DE 10x8A90° </v>
          </cell>
        </row>
        <row r="603">
          <cell r="A603" t="str">
            <v xml:space="preserve">CURVA HR. GALV. BAND. DE 20x8A90° </v>
          </cell>
        </row>
        <row r="604">
          <cell r="A604" t="str">
            <v xml:space="preserve">CURVA HR. GALV. BAND. DE 40x8A45° </v>
          </cell>
        </row>
        <row r="605">
          <cell r="A605" t="str">
            <v xml:space="preserve">CURVA HR. GALV. BAND. DE 40x8A90° </v>
          </cell>
        </row>
        <row r="606">
          <cell r="A606" t="str">
            <v xml:space="preserve">CURVA HR. GALV. BAND. DE 50x8A45º </v>
          </cell>
        </row>
        <row r="607">
          <cell r="A607" t="str">
            <v xml:space="preserve">CURVA V. EXT. DUCTO S.D. 40x8A90º </v>
          </cell>
        </row>
        <row r="608">
          <cell r="A608" t="str">
            <v xml:space="preserve">CURVA V. INT. DUCTO S.D. 20x8A90° </v>
          </cell>
        </row>
        <row r="609">
          <cell r="A609" t="str">
            <v xml:space="preserve">CURVA VERT. EXT.GALV. BD. 10x8A90° </v>
          </cell>
        </row>
        <row r="610">
          <cell r="A610" t="str">
            <v xml:space="preserve">CURVA VERT. EXT.GALV. BD. 20x8A90° </v>
          </cell>
        </row>
        <row r="611">
          <cell r="A611" t="str">
            <v xml:space="preserve">CURVA VERT. EXT.GALV. BD. 40x8A90° </v>
          </cell>
        </row>
        <row r="612">
          <cell r="A612" t="str">
            <v xml:space="preserve">CURVA VERT. INT. GALV. BD. 20x8A90° </v>
          </cell>
        </row>
        <row r="613">
          <cell r="A613" t="str">
            <v xml:space="preserve">CURVA VERT. INT. GALV. BD. 30x8A90° </v>
          </cell>
        </row>
        <row r="614">
          <cell r="A614" t="str">
            <v xml:space="preserve">CURVA VERT. INT. GALV. BD. 40x8A90° </v>
          </cell>
        </row>
        <row r="615">
          <cell r="A615" t="str">
            <v xml:space="preserve">DUCTO MET. S.D. 10x8x2.40 </v>
          </cell>
        </row>
        <row r="616">
          <cell r="A616" t="str">
            <v xml:space="preserve">DUCTO MET. S.D. 20x8x2.40 </v>
          </cell>
        </row>
        <row r="617">
          <cell r="A617" t="str">
            <v xml:space="preserve">DUCTO MET. C.D. 30x8x2.40 </v>
          </cell>
        </row>
        <row r="618">
          <cell r="A618" t="str">
            <v xml:space="preserve">DUCTO MET. S.D. 40x8x2.40 </v>
          </cell>
        </row>
        <row r="619">
          <cell r="A619" t="str">
            <v>DIMMER DEZL. 600W DCRA BCO REF-633-PLW</v>
          </cell>
        </row>
        <row r="620">
          <cell r="A620" t="str">
            <v>TEMPORIZADOR ELECTRONICO MULTIHORARIO-DIGITAL</v>
          </cell>
        </row>
        <row r="621">
          <cell r="A621" t="str">
            <v xml:space="preserve">EMPAQUE EN U DE 1MM </v>
          </cell>
        </row>
        <row r="622">
          <cell r="A622" t="str">
            <v>ENCHUFE BIFILAR CON POLO T. 110V</v>
          </cell>
        </row>
        <row r="623">
          <cell r="A623" t="str">
            <v xml:space="preserve">ESMALTE GRIS PLATA 84 </v>
          </cell>
        </row>
        <row r="624">
          <cell r="A624" t="str">
            <v xml:space="preserve">GUAYA DE 1/16" </v>
          </cell>
        </row>
        <row r="625">
          <cell r="A625" t="str">
            <v xml:space="preserve">HOJA AHESIVA </v>
          </cell>
        </row>
        <row r="626">
          <cell r="A626" t="str">
            <v xml:space="preserve">HOJA DE SIERRA PARA METAL </v>
          </cell>
        </row>
        <row r="627">
          <cell r="A627" t="str">
            <v xml:space="preserve">LAPICERO </v>
          </cell>
        </row>
        <row r="628">
          <cell r="A628" t="str">
            <v xml:space="preserve">LAPIZ NEGRO </v>
          </cell>
        </row>
        <row r="629">
          <cell r="A629" t="str">
            <v xml:space="preserve">LAPIZ ROJO </v>
          </cell>
        </row>
        <row r="630">
          <cell r="A630" t="str">
            <v xml:space="preserve">PAPEL BOND 75 CARTA </v>
          </cell>
        </row>
        <row r="631">
          <cell r="A631" t="str">
            <v xml:space="preserve">PRENSA STOPA PLASTICO DE 1/2" </v>
          </cell>
        </row>
        <row r="632">
          <cell r="A632" t="str">
            <v xml:space="preserve">PRENSA STOPA PLASTICO DE 1-1/4 </v>
          </cell>
        </row>
        <row r="633">
          <cell r="A633" t="str">
            <v xml:space="preserve">REDUCCION DUCTO S.D. 20-18A8 </v>
          </cell>
        </row>
        <row r="634">
          <cell r="A634" t="str">
            <v xml:space="preserve">REDUCCION DUCTO S.D. 40-20A8 </v>
          </cell>
        </row>
        <row r="635">
          <cell r="A635" t="str">
            <v xml:space="preserve">REDUCCION SIM. GALV. 20-10 </v>
          </cell>
        </row>
        <row r="636">
          <cell r="A636" t="str">
            <v xml:space="preserve">REDUCCION SIM. GALV. 40-20 </v>
          </cell>
        </row>
        <row r="637">
          <cell r="A637" t="str">
            <v xml:space="preserve">REDUCCION SIM. GALV. 50-10 </v>
          </cell>
        </row>
        <row r="638">
          <cell r="A638" t="str">
            <v xml:space="preserve">REMACHE POP # 5-4 P. BROCA DE 5/32" </v>
          </cell>
        </row>
        <row r="639">
          <cell r="A639" t="str">
            <v xml:space="preserve">REMACHE POP AC-AL 6-6 3/16x1/2 </v>
          </cell>
        </row>
        <row r="640">
          <cell r="A640" t="str">
            <v xml:space="preserve">REPROCESOS </v>
          </cell>
        </row>
        <row r="641">
          <cell r="A641" t="str">
            <v xml:space="preserve">SOLDADURA PVC POR TARRO DE 1/8 GL </v>
          </cell>
        </row>
        <row r="642">
          <cell r="A642" t="str">
            <v xml:space="preserve">SOPORTE MENSULA SENC. DE 15 CM </v>
          </cell>
        </row>
        <row r="643">
          <cell r="A643" t="str">
            <v xml:space="preserve">SOPORTE MENSULA SENC. DE 20 CM </v>
          </cell>
        </row>
        <row r="644">
          <cell r="A644" t="str">
            <v xml:space="preserve">SOPORTE MENSULA SENC. DE 25 CM </v>
          </cell>
        </row>
        <row r="645">
          <cell r="A645" t="str">
            <v xml:space="preserve">SOPORTE MENSULA SENC. DE 35 CM </v>
          </cell>
        </row>
        <row r="646">
          <cell r="A646" t="str">
            <v xml:space="preserve">SOPORTE PELD. PINT. BAND. DE 40 </v>
          </cell>
        </row>
        <row r="647">
          <cell r="A647" t="str">
            <v xml:space="preserve">SOPORTE PELD. PINT. DE 2400MM </v>
          </cell>
        </row>
        <row r="648">
          <cell r="A648" t="str">
            <v xml:space="preserve">TABLERO 3F-12 CTOS CON TOT. </v>
          </cell>
        </row>
        <row r="649">
          <cell r="A649" t="str">
            <v xml:space="preserve">TABLERO 3F-24 CTOS CON TOT. </v>
          </cell>
        </row>
        <row r="650">
          <cell r="A650" t="str">
            <v xml:space="preserve">TABLERO 3F-30 CTOS CON TOT. </v>
          </cell>
        </row>
        <row r="651">
          <cell r="A651" t="str">
            <v xml:space="preserve">TABLERO BIFASICO 8 CTOS. C.P. </v>
          </cell>
        </row>
        <row r="652">
          <cell r="A652" t="str">
            <v xml:space="preserve">TABLERO BIFASICO 4 CTOS. C.P. </v>
          </cell>
        </row>
        <row r="653">
          <cell r="A653" t="str">
            <v xml:space="preserve">TABLERO MONOFASICO 110Vac 4 CTOS. C.P. </v>
          </cell>
        </row>
        <row r="654">
          <cell r="A654" t="str">
            <v xml:space="preserve">TABLERO REGULADO ML TELEANTIOQUIA </v>
          </cell>
        </row>
        <row r="655">
          <cell r="A655" t="str">
            <v xml:space="preserve">TAPON DE CAUCHO DE 1/2" </v>
          </cell>
        </row>
        <row r="656">
          <cell r="A656" t="str">
            <v xml:space="preserve">TAPON DE CAUCHO DE 3/4" </v>
          </cell>
        </row>
        <row r="657">
          <cell r="A657" t="str">
            <v xml:space="preserve">TE GALV. PARA BANDEJA DE 10 </v>
          </cell>
        </row>
        <row r="658">
          <cell r="A658" t="str">
            <v xml:space="preserve">TE GALV. PARA BANDEJA DE 20 </v>
          </cell>
        </row>
        <row r="659">
          <cell r="A659" t="str">
            <v xml:space="preserve">TE GALV. PARA BANDEJA DE 40 </v>
          </cell>
        </row>
        <row r="660">
          <cell r="A660" t="str">
            <v xml:space="preserve">TE GALV. PARA BANDEJA DE 50 </v>
          </cell>
        </row>
        <row r="661">
          <cell r="A661" t="str">
            <v xml:space="preserve">TE PARA DUCTO S.D. 20x8 </v>
          </cell>
        </row>
        <row r="662">
          <cell r="A662" t="str">
            <v xml:space="preserve">TE PARA DUCTO S.D. 40x8 </v>
          </cell>
        </row>
        <row r="663">
          <cell r="A663" t="str">
            <v xml:space="preserve">TORNILLO 1/4"x1/2"-3/4"-1"-1 1/2"-2"-3" </v>
          </cell>
        </row>
        <row r="664">
          <cell r="A664" t="str">
            <v xml:space="preserve">TORNILLO 3/16"x1/2"-1"-1 1/2"-2"-3" </v>
          </cell>
        </row>
        <row r="665">
          <cell r="A665" t="str">
            <v xml:space="preserve">TORNILLO 3/8"x1/2"-1"-1 1/2"-2"-3" </v>
          </cell>
        </row>
        <row r="666">
          <cell r="A666" t="str">
            <v xml:space="preserve">TORNILLO DRYWALL # 6x1-1/2" </v>
          </cell>
        </row>
        <row r="667">
          <cell r="A667" t="str">
            <v xml:space="preserve">TORNILLO DRYWALL # 8x1" </v>
          </cell>
        </row>
        <row r="668">
          <cell r="A668" t="str">
            <v xml:space="preserve">TORNILLO ESTUFA 5/32"x1/2" </v>
          </cell>
        </row>
        <row r="669">
          <cell r="A669" t="str">
            <v xml:space="preserve">TORNILLO LAMINA # 8x1" </v>
          </cell>
        </row>
        <row r="670">
          <cell r="A670" t="str">
            <v xml:space="preserve">TORNILLO PAN 8x1/2 TEKS 2 </v>
          </cell>
        </row>
        <row r="671">
          <cell r="A671" t="str">
            <v xml:space="preserve">TORNILLO PAN EXT. 8x1/2 DS-ZN </v>
          </cell>
        </row>
        <row r="672">
          <cell r="A672" t="str">
            <v xml:space="preserve">VASELINA </v>
          </cell>
        </row>
        <row r="673">
          <cell r="A673" t="str">
            <v xml:space="preserve">XL PEGANTE </v>
          </cell>
        </row>
        <row r="674">
          <cell r="A674" t="str">
            <v>BYPASS TETRAPOLAR DE 60A CON CAJA MOLDEADA</v>
          </cell>
        </row>
        <row r="675">
          <cell r="A675" t="str">
            <v>Gabiente Autosoportado de 1800x600x250mm, incluye barrajes de cobre 400A, y compartimento para medidor electronico con los barrajes correspondientes para los transformadores de corriente</v>
          </cell>
        </row>
        <row r="676">
          <cell r="A676" t="str">
            <v>Medidor Electronico Multifuncional</v>
          </cell>
        </row>
        <row r="677">
          <cell r="A677" t="str">
            <v>CAJA MEDIDOR TIPO INTEMPERIE</v>
          </cell>
        </row>
        <row r="678">
          <cell r="A678" t="str">
            <v>CALIBRACION DE MEDIDOR EPM</v>
          </cell>
        </row>
        <row r="679">
          <cell r="A679" t="str">
            <v xml:space="preserve">Transformadores de corriente </v>
          </cell>
        </row>
        <row r="680">
          <cell r="A680" t="str">
            <v>transformador 112,5kVa trifasico 13.200/220/115</v>
          </cell>
        </row>
        <row r="681">
          <cell r="A681" t="str">
            <v xml:space="preserve">Plafon de losa </v>
          </cell>
        </row>
        <row r="683">
          <cell r="A683" t="str">
            <v xml:space="preserve">TERMINAL PONCHAR # 2 (115A) </v>
          </cell>
        </row>
        <row r="684">
          <cell r="A684" t="str">
            <v>Punta captadora de 5/8x60cm</v>
          </cell>
        </row>
        <row r="685">
          <cell r="A685" t="str">
            <v>Base para punta captadora</v>
          </cell>
        </row>
        <row r="686">
          <cell r="A686" t="str">
            <v xml:space="preserve">TUBO IMC 3/4"x3 MTS. </v>
          </cell>
        </row>
        <row r="687">
          <cell r="A687" t="str">
            <v xml:space="preserve">TUBO IMC 1/2"x3 MTS. </v>
          </cell>
        </row>
        <row r="688">
          <cell r="A688" t="str">
            <v>Conector de compresión en C de 1/0 a 1/0 - AWG</v>
          </cell>
        </row>
        <row r="689">
          <cell r="A689" t="str">
            <v>Medicion Puesta a tierra</v>
          </cell>
        </row>
        <row r="690">
          <cell r="A690" t="str">
            <v>Soldadura exotermica 150G</v>
          </cell>
        </row>
        <row r="691">
          <cell r="A691" t="str">
            <v>Soldadura exotermica 115G</v>
          </cell>
        </row>
        <row r="692">
          <cell r="A692" t="str">
            <v>Soldadura exotermica 90G</v>
          </cell>
        </row>
        <row r="693">
          <cell r="A693" t="str">
            <v>grapa para tierra de redes baja tension</v>
          </cell>
        </row>
        <row r="694">
          <cell r="A694" t="str">
            <v>Conector Transv. Univ. Nº4-1/0 AL</v>
          </cell>
        </row>
        <row r="695">
          <cell r="A695" t="str">
            <v>Tiranta Angular de 48"</v>
          </cell>
        </row>
        <row r="696">
          <cell r="A696" t="str">
            <v>Conector de prensa universal</v>
          </cell>
        </row>
        <row r="697">
          <cell r="A697" t="str">
            <v>Estribo norma RA6-009</v>
          </cell>
        </row>
        <row r="698">
          <cell r="A698" t="str">
            <v>Tornillo 5/8x1 1/2"</v>
          </cell>
        </row>
        <row r="699">
          <cell r="A699" t="str">
            <v>Cruceta metalica 3x3x1/4x2.40mts</v>
          </cell>
        </row>
        <row r="700">
          <cell r="A700" t="str">
            <v>Fusible caja primaria</v>
          </cell>
        </row>
        <row r="701">
          <cell r="A701" t="str">
            <v>Caja Pirmaria 100A-15KV -20KA</v>
          </cell>
        </row>
        <row r="702">
          <cell r="A702" t="str">
            <v>Puesta a tierra norma RA6-010</v>
          </cell>
        </row>
        <row r="703">
          <cell r="A703" t="str">
            <v>tornillo maquina 1/2"x300</v>
          </cell>
        </row>
        <row r="704">
          <cell r="A704" t="str">
            <v>tornillo maquina 5/8"x300</v>
          </cell>
        </row>
        <row r="705">
          <cell r="A705" t="str">
            <v>alambre de cu. desnudo # 4</v>
          </cell>
        </row>
        <row r="706">
          <cell r="A706" t="str">
            <v>alambre de cu. desnudo # 6</v>
          </cell>
        </row>
        <row r="707">
          <cell r="A707" t="str">
            <v>terminal prem. uso ext. Taico 15kv</v>
          </cell>
        </row>
        <row r="708">
          <cell r="A708" t="str">
            <v>conector en C cable 4</v>
          </cell>
        </row>
        <row r="709">
          <cell r="A709" t="str">
            <v>conector transv. univ. 2/0-4/0</v>
          </cell>
        </row>
        <row r="710">
          <cell r="A710" t="str">
            <v>cruceta de 3x3x1/4" 2.40 mt.</v>
          </cell>
        </row>
        <row r="711">
          <cell r="A711" t="str">
            <v>diagonal en v de 48"</v>
          </cell>
        </row>
        <row r="712">
          <cell r="A712" t="str">
            <v>fusible primario 25k-70k</v>
          </cell>
        </row>
        <row r="713">
          <cell r="A713" t="str">
            <v>tornillo maquina 1/2"x10</v>
          </cell>
        </row>
        <row r="714">
          <cell r="A714" t="str">
            <v>tornillo maquina 1/2"x1 1/2"</v>
          </cell>
        </row>
        <row r="715">
          <cell r="A715" t="str">
            <v>tornillo maquina 5/8"x8"</v>
          </cell>
        </row>
        <row r="716">
          <cell r="A716" t="str">
            <v>Caja primaria 15kv-20kv</v>
          </cell>
        </row>
        <row r="717">
          <cell r="A717" t="str">
            <v>pararrayo 10kv-10k mcov:8.4kv oxido</v>
          </cell>
        </row>
        <row r="718">
          <cell r="A718" t="str">
            <v>o.v.  Tuberia poliet amarillas</v>
          </cell>
        </row>
        <row r="719">
          <cell r="A719" t="str">
            <v>m.o   ra2 017</v>
          </cell>
        </row>
        <row r="720">
          <cell r="A720" t="str">
            <v>ra6 009</v>
          </cell>
        </row>
        <row r="721">
          <cell r="A721" t="str">
            <v>ra6 010</v>
          </cell>
        </row>
        <row r="729">
          <cell r="A729" t="str">
            <v>BENTONITA POR BULTO</v>
          </cell>
        </row>
        <row r="730">
          <cell r="A730" t="str">
            <v>CONECTOR OB10-10</v>
          </cell>
        </row>
        <row r="731">
          <cell r="A731" t="str">
            <v>ABRAZADERA AJUSTABLE DE 2" ZINC</v>
          </cell>
        </row>
        <row r="732">
          <cell r="A732" t="str">
            <v>Soporte tipo Snap de 36mm</v>
          </cell>
        </row>
        <row r="733">
          <cell r="A733" t="str">
            <v>Punta captadora de 5/8x60cm</v>
          </cell>
        </row>
        <row r="734">
          <cell r="A734" t="str">
            <v>CONECTOR BIMETALICO PARA CABLE 1/0 AWG</v>
          </cell>
        </row>
        <row r="735">
          <cell r="A735" t="str">
            <v>Soporte para cables en tejado con altura de 0.066m.</v>
          </cell>
        </row>
        <row r="736">
          <cell r="A736" t="str">
            <v>Punta captadora 16mmx150cm aluminio con base</v>
          </cell>
        </row>
        <row r="737">
          <cell r="A737" t="str">
            <v>Punta captadora 16mmx100cm aluminio con base</v>
          </cell>
        </row>
        <row r="738">
          <cell r="A738" t="str">
            <v xml:space="preserve">Punta captadora 16mmx40cm aluminio con base </v>
          </cell>
        </row>
        <row r="739">
          <cell r="A739" t="str">
            <v xml:space="preserve">Punta captadora 16mmx30cm aluminio con base </v>
          </cell>
        </row>
        <row r="740">
          <cell r="A740" t="str">
            <v>SOPORTE PARARRAYOS MOVIL PATA LARGA 3/4, REF SMPL808 MARCA GALCO.</v>
          </cell>
        </row>
        <row r="741">
          <cell r="A741" t="str">
            <v>CONDUCTOR SOLIDO (ALAMBRON) PARA CAPTACION EN ANILLO SUPERIOR DE 8MM DE DIAMETRO REF RD8/ALU-T MARCA OBO BETTERMAN O EQUIVALENTE</v>
          </cell>
        </row>
        <row r="742">
          <cell r="A742" t="str">
            <v>SOPORTE PLASTICO TIPO CLIP PARA CONDUCTOR SOLIDO REF 177/55-DIN MARCA OBO BETTERMAN O EQUIVALENTE</v>
          </cell>
        </row>
        <row r="743">
          <cell r="A743" t="str">
            <v>BASE PARA SOPORTE TIPO CLIC MARCA OBO BETTERMAN O EQUIVALENTE</v>
          </cell>
        </row>
        <row r="744">
          <cell r="A744" t="str">
            <v>CONECTOR DE ALUMINIO VARIABLE REF 249/ALU MARCA OBO BETTERMAN O EQUIVALENTE</v>
          </cell>
        </row>
        <row r="745">
          <cell r="A745" t="str">
            <v>CONECTOR LINEAL DE ACERO REF237/N MARCA OBO BETTERMAN O EQUIVALENTE</v>
          </cell>
        </row>
        <row r="746">
          <cell r="A746" t="str">
            <v>CARTUCHO X 300ML DE ADHECIVO ELASTICO UNIVERSAL DE BASE QUIMICA DE POLIMERO MARCA OBO WEICON O EQUIVALENTE</v>
          </cell>
        </row>
        <row r="747">
          <cell r="A747" t="str">
            <v>CABLE CU No 1/0 AWG DESNUDO</v>
          </cell>
        </row>
        <row r="748">
          <cell r="A748" t="str">
            <v>CONECTOR VARIABLE BIMETALICO REF 249/ZV MARCA OBO BETTERMAN O EQUIVALENTE</v>
          </cell>
        </row>
        <row r="749">
          <cell r="A749" t="str">
            <v>DPS TIPO I+II, 8kA EN (10/350µs) Y 50kA EN (8/20µs) POR POLO, VOLTAJE DE OPERACIÓN CONTINUA 120V 3 FASES 4 HILOS, Vp&lt;600V</v>
          </cell>
        </row>
        <row r="753">
          <cell r="A753" t="str">
            <v>Punta captadora aleación de aluminio de 0,6 m</v>
          </cell>
        </row>
        <row r="754">
          <cell r="A754" t="str">
            <v>Punta captadora aleación de aluminio de 0,8 m</v>
          </cell>
        </row>
        <row r="755">
          <cell r="A755" t="str">
            <v>Punta captadora aleación de aluminio de 1,0 m</v>
          </cell>
        </row>
        <row r="756">
          <cell r="A756" t="str">
            <v>base plastica para punta captadora</v>
          </cell>
        </row>
        <row r="757">
          <cell r="A757" t="str">
            <v>BASE PARA UNION DE APANTALLAMIENTO EN ACERO INOXIDABLE</v>
          </cell>
        </row>
        <row r="758">
          <cell r="A758" t="str">
            <v>GABINETES Y SUBESTACIONES</v>
          </cell>
        </row>
        <row r="759">
          <cell r="A759" t="str">
            <v xml:space="preserve">GABINETE PARA USO INTERIOR (IP 20),  EN LÁMINA COLD ROLLED CALIBRE 20, ACABADO FINAL CON PINTURA EN POLVO DE APLICACIÓN ELECTROSTÁTICA. CON BARRAJES TRIFÁSICOS EN COBRE ELECTROLÍTICO ROJO DE 300A Y 400A, BARRAS DE NEUTRO Y TIERRA AISLADAS, PARA ALOJAR 4 MEDIDORES MONOFASICOS (1F3H) ELECTRONICOS, UN CONTADOR DE MEDIDA SEMIDIRECTA, TRIFASICO MULTIFUNCIONAL, CON TRANSFORMADORES DE CORRIENTE Y REGLETA DE PUENTEO. INCLUYE TOTALIZADOR GENERAL DE 300A, TOTALIZADOR DE 250A PARA CARGA TOTAL DE ALCALDIA, BREAKERS INDUSTERIALES ASI: 1 DE 3X125A, 1 DE 3X160A, 1 DE 3X100A, 1 DE 3X50A 1 DE 3X80A Y 1 DE 3X40A, 3 MINIBREAKERS DE 2X40A PARA LOCALES Y RESERVAS SEGUN DIAGRAMA UNIFILAR. ESTE GABINETE DEBE ESTAR COMPLETAMENTE CABLEADO </v>
          </cell>
        </row>
        <row r="760">
          <cell r="A760" t="str">
            <v xml:space="preserve">TABLERO PARA USO INTERIOR (IP 20),  EN LÁMINA COLD ROLLED CALIBRE 20, ACABADO FINAL EN PINTURA EN POLVO DE APLICACIÓN ELECTROSTÁTICA. CON BARRAJE TRIFÁSICO EN COBRE ELECTROLÍTICO ROJO DE 400A, BARRAS DE NEUTRO Y TIERRA AISLADAS, PARA ALOJAR 30 MEDIDORES TIPO PARRILLA, ESPACIO PARA TOTALIZADOR Y MEDIDOR ELECTRONICO DE TIPO INDIRECTO, COMPLETAMENTE CABLEADO </v>
          </cell>
        </row>
        <row r="761">
          <cell r="A761" t="str">
            <v xml:space="preserve">TABLERO PARA USO INTERIOR (IP 20),  EN LÁMINA COLD ROLLED CALIBRE 18, ACABADO FINAL EN PINTURA EN POLVO DE APLICACIÓN ELECTROSTÁTICA. CON BARRAJE TRIFÁSICO EN COBRE ELECTROLÍTICO ROJO DE 520A, BARRAS DE NEUTRO Y TIERRA AISLADAS, COMPLETAMENTE CABLEADO </v>
          </cell>
        </row>
        <row r="762">
          <cell r="A762" t="str">
            <v xml:space="preserve">TC TIPO VENTANA 400/5A CALIBRADO </v>
          </cell>
        </row>
        <row r="763">
          <cell r="A763" t="str">
            <v>CONTADOR ELECTRONICO 3F 5A CON MODEM CALIBRADO</v>
          </cell>
        </row>
        <row r="764">
          <cell r="A764" t="str">
            <v>BRK 3X(350-500)A 40KA/220V SCH CVS TMD500, LV563305</v>
          </cell>
        </row>
        <row r="765">
          <cell r="A765" t="str">
            <v xml:space="preserve">BORNERA DE INTERCONEXION CONTADORES </v>
          </cell>
        </row>
        <row r="766">
          <cell r="A766" t="str">
            <v>BORNERA DE INTERCONEXION CABLEADO DE SONIDO DE 10 PARES</v>
          </cell>
        </row>
        <row r="767">
          <cell r="A767" t="str">
            <v>TABLERO PARA USO INTERIOR (IP 20), EN LÁMINA COLD ROLLED CALIBRE 18, CON BARRAJE EN COBRE ELECTROLÍTICO DE 520 A. TIPO ML DE 10 CIRCUITOS, BARRAS DE NEUTRO Y TIERRA AISLADAS Y
COMPLETAMENTE CABLEADO</v>
          </cell>
        </row>
        <row r="768">
          <cell r="A768" t="str">
            <v>BRK 3X30A 25KA/240V, 12.5KA/440V, SCH, EZC100N3030</v>
          </cell>
        </row>
        <row r="769">
          <cell r="A769" t="str">
            <v>BRK 3X50A 25KA/240V, 12.5KA/440V, SCH, EZC100N3050</v>
          </cell>
        </row>
        <row r="770">
          <cell r="A770" t="str">
            <v>BRK 3X80A 25KA/240V, 12.5KA/440V, SCH, EZC100N3080</v>
          </cell>
        </row>
        <row r="771">
          <cell r="A771" t="str">
            <v>BRK 3X125A 50KA/240V, 25KA/440V, SCH, EZC250N3125</v>
          </cell>
        </row>
        <row r="772">
          <cell r="A772" t="str">
            <v>CONTADOR ELECTRONICO 3F 20(100)A CALIBRADO</v>
          </cell>
        </row>
        <row r="773">
          <cell r="A773" t="str">
            <v>CONTADOR ELECTRONICO 1F3H 15(60)A CALIBRADO</v>
          </cell>
        </row>
        <row r="774">
          <cell r="A774" t="str">
            <v>CONTADOR CICLOM. PARRILLA 20(100)A CALIBRADO</v>
          </cell>
        </row>
        <row r="775">
          <cell r="A775" t="str">
            <v>CONTADOR ELECTRONICO BICUERPO</v>
          </cell>
        </row>
        <row r="776">
          <cell r="A776" t="str">
            <v>DPS OBO V25-B+C/3+NPE-FS 150</v>
          </cell>
        </row>
        <row r="777">
          <cell r="A777" t="str">
            <v xml:space="preserve">TABLERO PARA USO INTERIOR (IP 20) EN LÁMINA COLD ROLLED CALIBRE 18 CON BARRAJE EN COBRE ELECTROLÍTICO DE 250 A. </v>
          </cell>
        </row>
        <row r="778">
          <cell r="A778" t="str">
            <v>BRK 3X150A 50KA/240V, 25KA/440V, SCH, EZC250N3150</v>
          </cell>
        </row>
        <row r="779">
          <cell r="A779" t="str">
            <v>BRK 3X250A 50KA/240V, 25KA/440V, SCH, EZC250N3250</v>
          </cell>
        </row>
        <row r="780">
          <cell r="A780" t="str">
            <v>TABLERO PARA USO INTERIOR (IP 20) EN LÁMINA COLD ROLLED CALIBRE 18 CON BARRAJE EN COBRE ELECTROLÍTICO DE 170 A. TIPO ML DE 2 CIRCUITOS, CABLEADO DE CONTROL Y ACCESORIOS PARA TRANSFERENCIA AUTOMATICA</v>
          </cell>
        </row>
        <row r="781">
          <cell r="A781" t="str">
            <v>CONTACTOR 55A/AC3 220V MITSUBISHI SERIE S , S-N50</v>
          </cell>
        </row>
        <row r="782">
          <cell r="A782" t="str">
            <v>ENCLAV MEC PARA CONTACTOR SUNML21 MIT, UNML-21</v>
          </cell>
        </row>
        <row r="783">
          <cell r="A783" t="str">
            <v>UND DE TRANSFERENCIA AUT. DE CARGA 3F 220V VORKOM</v>
          </cell>
        </row>
        <row r="784">
          <cell r="A784" t="str">
            <v>BREAKER 3X32A MAGNETICO 3VT1703-2DB36</v>
          </cell>
        </row>
        <row r="785">
          <cell r="A785" t="str">
            <v>BREAKER 3X50A MAGNETICO 3VT1705-2DB36</v>
          </cell>
        </row>
        <row r="788">
          <cell r="A788" t="str">
            <v>CABLE THHN/THWN # 4</v>
          </cell>
        </row>
        <row r="789">
          <cell r="A789" t="str">
            <v>Tablero monofasico de 2 ctos</v>
          </cell>
        </row>
        <row r="790">
          <cell r="A790" t="str">
            <v>Chazo Golpe C/tornillo 1/4*1 1/4"</v>
          </cell>
        </row>
        <row r="791">
          <cell r="A791" t="str">
            <v>CAJA DE EMPALME 20x20x15 Schneider</v>
          </cell>
        </row>
        <row r="792">
          <cell r="A792" t="str">
            <v>CAJA DE EMPALME 40x40x15 Schneider</v>
          </cell>
        </row>
        <row r="793">
          <cell r="A793" t="str">
            <v xml:space="preserve">Strep telefonico 100x120x15 </v>
          </cell>
        </row>
        <row r="794">
          <cell r="A794" t="str">
            <v xml:space="preserve">Strep telefonico 60x80x20 </v>
          </cell>
        </row>
        <row r="795">
          <cell r="A795" t="str">
            <v>Caja telefonica 40x40x15</v>
          </cell>
        </row>
        <row r="796">
          <cell r="A796" t="str">
            <v xml:space="preserve">BREAKER ENCHUFABLE 1x15A </v>
          </cell>
        </row>
        <row r="797">
          <cell r="A797" t="str">
            <v xml:space="preserve">BREAKER ENCHUF. THQL 3x20A G.E. </v>
          </cell>
        </row>
        <row r="798">
          <cell r="A798" t="str">
            <v xml:space="preserve">BREAKER ENCHUF. 3x60A  </v>
          </cell>
        </row>
        <row r="799">
          <cell r="A799" t="str">
            <v xml:space="preserve">BREAKER ENCHUF. 3x100A  </v>
          </cell>
        </row>
        <row r="800">
          <cell r="A800" t="str">
            <v xml:space="preserve">BREAKER ENCHUF. 3x125A  </v>
          </cell>
        </row>
        <row r="801">
          <cell r="A801" t="str">
            <v>Caja para breaker industrial 44x23x24</v>
          </cell>
        </row>
        <row r="802">
          <cell r="A802" t="str">
            <v>Instalacion Luminarias</v>
          </cell>
        </row>
        <row r="803">
          <cell r="A803" t="str">
            <v xml:space="preserve">Cable XLPE Nº2 </v>
          </cell>
        </row>
        <row r="804">
          <cell r="A804" t="str">
            <v>Juego de conos premoldeados uso exterior</v>
          </cell>
        </row>
        <row r="805">
          <cell r="A805" t="str">
            <v xml:space="preserve">Varilla copperweld 5/8 2.4m </v>
          </cell>
        </row>
        <row r="806">
          <cell r="A806" t="str">
            <v>Soldadura exotermica 90G</v>
          </cell>
        </row>
        <row r="807">
          <cell r="A807" t="str">
            <v>Vestida primaria, valor global</v>
          </cell>
        </row>
        <row r="808">
          <cell r="A808" t="str">
            <v>Pararrayos 15KV</v>
          </cell>
        </row>
        <row r="809">
          <cell r="A809" t="str">
            <v>Caja primaria 15KV</v>
          </cell>
        </row>
        <row r="810">
          <cell r="A810" t="str">
            <v>Bajante primario en 3"</v>
          </cell>
        </row>
        <row r="811">
          <cell r="A811" t="str">
            <v>CONECTOR ALAMBRE-VARILLA BIMETALICO</v>
          </cell>
        </row>
        <row r="812">
          <cell r="A812" t="str">
            <v>CONECTOR ALAMBRE-PLATINA ACERO INOX Ancho: Rd 8-10 FL30-40</v>
          </cell>
        </row>
        <row r="813">
          <cell r="A813" t="str">
            <v>CINTA DE ACERO DE 2,5MM</v>
          </cell>
        </row>
        <row r="814">
          <cell r="A814" t="str">
            <v>PERCHA DE UN PUESTO CON AISLADOR</v>
          </cell>
        </row>
        <row r="815">
          <cell r="A815" t="str">
            <v>POSTE DE CONCERTO DE 8 METROS</v>
          </cell>
        </row>
        <row r="816">
          <cell r="A816" t="str">
            <v>POSTE DE CONCERTO DE 12 METROS 510KGF</v>
          </cell>
        </row>
        <row r="817">
          <cell r="A817" t="str">
            <v>POSTE DE CONCERTO DE 12 METROS</v>
          </cell>
        </row>
        <row r="818">
          <cell r="A818" t="str">
            <v>POSTE DE CONCERTO DE 14 METROS</v>
          </cell>
        </row>
        <row r="819">
          <cell r="A819" t="str">
            <v>POSTE DE CONCERTO DE 16 METROS</v>
          </cell>
        </row>
        <row r="820">
          <cell r="A820" t="str">
            <v>Luminaria fluorescente 60x60 4x17</v>
          </cell>
        </row>
        <row r="821">
          <cell r="A821" t="str">
            <v>CINTA LED DE ALTO FLUJO DE 20W/m OSRAM</v>
          </cell>
        </row>
        <row r="822">
          <cell r="A822" t="str">
            <v>DRIVER PARA CINTA LED DE ALTO FLUJO DE 20W/m OSRAM</v>
          </cell>
        </row>
        <row r="823">
          <cell r="A823" t="str">
            <v>reflector vertical led de forma circular de 25W</v>
          </cell>
        </row>
        <row r="824">
          <cell r="A824" t="str">
            <v xml:space="preserve">reflector vertical led de forma circular de 50W </v>
          </cell>
        </row>
        <row r="825">
          <cell r="A825" t="str">
            <v xml:space="preserve">reflector vertical led de forma circular de 70W </v>
          </cell>
        </row>
        <row r="826">
          <cell r="A826" t="str">
            <v>Luminaria tipo penumbra 9W</v>
          </cell>
        </row>
        <row r="827">
          <cell r="A827" t="str">
            <v>Luminaria marcadora 5W</v>
          </cell>
        </row>
        <row r="828">
          <cell r="A828" t="str">
            <v>Luminaria LED ojo de buey para piso</v>
          </cell>
        </row>
        <row r="829">
          <cell r="A829" t="str">
            <v>TUBO  TIPO LED DE 1X22W SIN PANTALLA PARA INSTALACION SUSPENDIDA</v>
          </cell>
        </row>
        <row r="830">
          <cell r="A830" t="str">
            <v>CHASIS INDUSTRIAL TIPO ALETA 1X32W PARA CONEXIÓN DIRECTA110Vac</v>
          </cell>
        </row>
        <row r="831">
          <cell r="A831" t="str">
            <v>CHASIS INDUSTRIAL ACRILICO HERMETOC 1X32W PARA CONEXIÓN DIRECTA110Vac</v>
          </cell>
        </row>
        <row r="832">
          <cell r="A832" t="str">
            <v>Luminaria fluorescente hermetica 1x28W/T5/HO de descolgar o sobreponer, con difusor de policarbonato,balasto electronico.LITHONIA o equivalente.</v>
          </cell>
        </row>
        <row r="833">
          <cell r="A833" t="str">
            <v>Luminaria fluorescente 4x32W/T8/HO de descolgar o sobreponer, balasto electronico.LITHONIA o equivalente.</v>
          </cell>
        </row>
        <row r="834">
          <cell r="A834" t="str">
            <v>Luminaria fluorescente hermetica 2x54W/T5/HO de descolgar o incrustar, con difusor de policarbonato,balasto electronico.LITHONIA o equivalente.</v>
          </cell>
        </row>
        <row r="835">
          <cell r="A835" t="str">
            <v>Luminaria fluorescente hermetica 2x32W/T8 de descolgar o incrustar, con difusor de policarbonato,balasto electronico.LITHONIA o equivalente.</v>
          </cell>
        </row>
        <row r="836">
          <cell r="A836" t="str">
            <v xml:space="preserve">Luminaria fluorescente hermetica 2x32W/T8 </v>
          </cell>
        </row>
        <row r="837">
          <cell r="A837" t="str">
            <v>lámpara fluorescente 2x32 WAF-RS, Tipo comercial, chasis metálico blanco calibre 22, balasto electrónico ahorrador</v>
          </cell>
        </row>
        <row r="838">
          <cell r="A838" t="str">
            <v>lámpara fluorescente 1x32 WAF-RS, Tipo comercial, chasis metálico blanco calibre 22, balasto electrónico ahorrador</v>
          </cell>
        </row>
        <row r="839">
          <cell r="A839" t="str">
            <v>lámpara fluorescente 2x32, Tipo comercial, chasis metálico blanco calibre 22, balasto electrónico ahorradorcon rejilla semiespecular</v>
          </cell>
        </row>
        <row r="840">
          <cell r="A840" t="str">
            <v>lámpara fluorescente 2x32 WAF-RS, lineal (2,4m)Tipo comercial, chasis metálico blanco calibre 22, balasto electrónico ahorrador</v>
          </cell>
        </row>
        <row r="841">
          <cell r="A841" t="str">
            <v>lámpara fluorescente 3x32 WAF-RS, lineal (3,6m)Tipo comercial, chasis metálico blanco calibre 22, balasto electrónico ahorrador</v>
          </cell>
        </row>
        <row r="842">
          <cell r="A842" t="str">
            <v>lámpara fluorescente 4x32 WAF-RS, lineal (4,8m)Tipo comercial, chasis metálico blanco calibre 22, balasto electrónico ahorrador</v>
          </cell>
        </row>
        <row r="843">
          <cell r="A843" t="str">
            <v>Reflector metal halide de 250W, 240Vac, con portabombilla ED28 balasto tipo transformador, cofre incorporado, condensador, arrancador</v>
          </cell>
        </row>
        <row r="844">
          <cell r="A844" t="str">
            <v>Reflector metal halide de 400W, 240Vac, con portabombilla ED28 balasto tipo transformador, cofre incorporado, condensador, arrancador</v>
          </cell>
        </row>
        <row r="845">
          <cell r="A845" t="str">
            <v>Reflector metal halide de 1000W, 240Vac, con portabombilla ED28 balasto tipo transformador, cofre incorporado, condensador, arrancador</v>
          </cell>
        </row>
        <row r="846">
          <cell r="A846" t="str">
            <v>Fotocelda 110-230Vac con base</v>
          </cell>
        </row>
        <row r="847">
          <cell r="A847" t="str">
            <v>Aplique en Acrilico IP 56 2X11W</v>
          </cell>
        </row>
        <row r="848">
          <cell r="A848" t="str">
            <v>Aplique tipo tortuga fluorescente compacto 1x26w</v>
          </cell>
        </row>
        <row r="849">
          <cell r="A849" t="str">
            <v>Aplique tipo tortuga fluorescente compacto 2x13wbombilla tipo pin</v>
          </cell>
        </row>
        <row r="850">
          <cell r="A850" t="str">
            <v>Luminaria tipo CYLINDER 2x32W/REFLECTOR SEMIESPECULAR LITHONIA o equivalente</v>
          </cell>
        </row>
        <row r="851">
          <cell r="A851" t="str">
            <v>Luminaria tipo CYLINDER 2x32W/REFLECTOR SEMIESPECULAR LITHONIA o equivalente</v>
          </cell>
        </row>
        <row r="852">
          <cell r="A852" t="str">
            <v>Luminaria ISOLUX 602032 EASY PRO 1X28/T5 Blanco -acrilico-BALASTO DIMERIZABLE o equivalente con difusor de policarbonato,balasto electronico</v>
          </cell>
        </row>
        <row r="853">
          <cell r="A853" t="str">
            <v>Luminaria tipo CYLINDER 1x26W/REFLECTOR ESPECULAR LITHONIA o equivalente,con difusor de policarbonato,balasto electronico.</v>
          </cell>
        </row>
        <row r="854">
          <cell r="A854" t="str">
            <v>Luminaria fluorescente TIPO BALA 2X32 W LITHONIA o equivalente,con difusor de policarbonato,balasto electronico.</v>
          </cell>
        </row>
        <row r="855">
          <cell r="A855" t="str">
            <v>Ojo de Buey de sobreponer en cielo falso TIPO LED</v>
          </cell>
        </row>
        <row r="856">
          <cell r="A856" t="str">
            <v>Ojo de Buey de empotrar en cielo falso 15w TIPO LED</v>
          </cell>
        </row>
        <row r="857">
          <cell r="A857" t="str">
            <v>Ojo de Buey de empotrar en cielo falso 7w TIPO LED</v>
          </cell>
        </row>
        <row r="858">
          <cell r="A858" t="str">
            <v>Ojo de Buey de empotrar en cielo falso 9w TIPO LED</v>
          </cell>
        </row>
        <row r="859">
          <cell r="A859" t="str">
            <v>Ojo de Buey de empotrar en cielo falso 11w TIPO LED</v>
          </cell>
        </row>
        <row r="860">
          <cell r="A860" t="str">
            <v>Ojo de Buey escualizable de empotrar en cielo falso 15w TIPO LED</v>
          </cell>
        </row>
        <row r="861">
          <cell r="A861" t="str">
            <v>Ojo de Buey 2X26 DE SOBREPONER CILINDER BAJO</v>
          </cell>
        </row>
        <row r="862">
          <cell r="A862" t="str">
            <v xml:space="preserve">Ojo de Buey 2X26 DE INCRUSTAR </v>
          </cell>
        </row>
        <row r="863">
          <cell r="A863" t="str">
            <v xml:space="preserve">Ojo de Buey 1X26 DE INCRUSTAR </v>
          </cell>
        </row>
        <row r="864">
          <cell r="A864" t="str">
            <v>Luminaria de descolgar 1x18W decorativa</v>
          </cell>
        </row>
        <row r="865">
          <cell r="A865" t="str">
            <v>bombilla tipo pin de 26W</v>
          </cell>
        </row>
        <row r="866">
          <cell r="A866" t="str">
            <v>Balasto electronico para bombilleria tipo pin 2x26W</v>
          </cell>
        </row>
        <row r="867">
          <cell r="A867" t="str">
            <v>Luminaria autonoma de emergencia</v>
          </cell>
        </row>
        <row r="868">
          <cell r="A868" t="str">
            <v>AVISO DE SALIDA TIPO LED</v>
          </cell>
        </row>
        <row r="869">
          <cell r="A869" t="str">
            <v>Modulo de emergencia UFO-LP2 para luminaria 2x54W/T5/HO y tipo RIEL TC 4X54</v>
          </cell>
        </row>
        <row r="870">
          <cell r="A870" t="str">
            <v>Modulo de emergencia UFO-12W para luminaria tipo CILINDER</v>
          </cell>
        </row>
        <row r="871">
          <cell r="A871" t="str">
            <v>ANCLAJE LMINARIA DE ALUMBRADO PUBLICO EN POSTE</v>
          </cell>
        </row>
        <row r="872">
          <cell r="A872" t="str">
            <v xml:space="preserve">Luminaria TERRAZ 150W </v>
          </cell>
        </row>
        <row r="873">
          <cell r="A873" t="str">
            <v>Luminaria CELSA VENUS Horizontal Cerrada Sodio 150W Con base</v>
          </cell>
        </row>
        <row r="874">
          <cell r="A874" t="str">
            <v>Luminaria CELSA VENUS Horizontal Cerrada Sodio 70W Con base</v>
          </cell>
        </row>
        <row r="875">
          <cell r="A875" t="str">
            <v>Luminaria de alumbrado publico 250W</v>
          </cell>
        </row>
        <row r="876">
          <cell r="A876" t="str">
            <v>Sistema de planta de emergencia de 300KVA con cabina insonorizada y transferencia</v>
          </cell>
        </row>
        <row r="877">
          <cell r="A877" t="str">
            <v>BRAZO TIPO CARABOBO SENCILLO</v>
          </cell>
        </row>
        <row r="878">
          <cell r="A878" t="str">
            <v>BRAZO TIPO CARABOBO DOBLE</v>
          </cell>
        </row>
        <row r="879">
          <cell r="A879" t="str">
            <v>BOMBILLO SODIO 70W TUBULAR</v>
          </cell>
        </row>
        <row r="880">
          <cell r="A880" t="str">
            <v>FOTOCELDA ELECTRONICA FISHER 90/305W</v>
          </cell>
        </row>
        <row r="881">
          <cell r="A881" t="str">
            <v>BOMBILLO SODIO 150W TUBULAR</v>
          </cell>
        </row>
        <row r="882">
          <cell r="A882" t="str">
            <v>POSTE TIPO CARABOBO</v>
          </cell>
        </row>
        <row r="883">
          <cell r="A883" t="str">
            <v>Cruceta de 3 x 1/4 x 2,40 mts. </v>
          </cell>
        </row>
        <row r="884">
          <cell r="A884" t="str">
            <v>Diagonal en V Cruceta Metalica de 1,20 mts. </v>
          </cell>
        </row>
        <row r="885">
          <cell r="A885" t="str">
            <v>Abrazadera o Collarin de (1) Una Salida 7 - 8 - pl. 1/4 Idem 180 mm</v>
          </cell>
        </row>
        <row r="886">
          <cell r="A886" t="str">
            <v>Esparrago de 5/8 x 18 - 4 T</v>
          </cell>
        </row>
      </sheetData>
      <sheetData sheetId="4"/>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FECHAS DE CORTE"/>
      <sheetName val="Informacion General"/>
      <sheetName val="Itemes Renovación"/>
      <sheetName val="2103mar "/>
      <sheetName val="TRAYECTO 1"/>
      <sheetName val="A. P. U."/>
      <sheetName val="Insumos"/>
      <sheetName val="Hoja1"/>
      <sheetName val="PR_1"/>
      <sheetName val="Equipo"/>
      <sheetName val="materiales"/>
      <sheetName val="otros"/>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 val="Análisis de precios"/>
      <sheetName val="BASE"/>
      <sheetName val="1_Preliminares"/>
      <sheetName val="M.Obra"/>
      <sheetName val="días habiles 2015"/>
      <sheetName val="INS"/>
      <sheetName val="Ppto"/>
      <sheetName val="Plan auditoría"/>
      <sheetName val="PLAN DE INVERSION ANTICIPO"/>
      <sheetName val="inv mensual"/>
      <sheetName val="borrador flujo inv"/>
      <sheetName val="social-ambiental"/>
      <sheetName val="AU"/>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TITULOS"/>
      <sheetName val="LISTA"/>
      <sheetName val="Ibagué-Linea"/>
      <sheetName val="CUADRO"/>
      <sheetName val="PRECIOS"/>
      <sheetName val="PR 1"/>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450.28</v>
          </cell>
          <cell r="D101">
            <v>450</v>
          </cell>
          <cell r="E101" t="str">
            <v>450P-1</v>
          </cell>
          <cell r="F101" t="str">
            <v xml:space="preserve">Mezcla densa en caliente tipo MDC-3 </v>
          </cell>
          <cell r="G101" t="str">
            <v>m3</v>
          </cell>
          <cell r="H101" t="str">
            <v>Incluye estudios y diseños y suministro y transporte del cemento asfáltico</v>
          </cell>
        </row>
        <row r="102">
          <cell r="C102">
            <v>451.1</v>
          </cell>
          <cell r="D102">
            <v>451</v>
          </cell>
          <cell r="F102" t="str">
            <v>Mezcla abierta en caliente tipo MAC-1</v>
          </cell>
          <cell r="G102" t="str">
            <v>m3</v>
          </cell>
        </row>
        <row r="103">
          <cell r="C103">
            <v>451.2</v>
          </cell>
          <cell r="D103">
            <v>451</v>
          </cell>
          <cell r="F103" t="str">
            <v>Mezcla abierta en caliente tipo MAC-2</v>
          </cell>
          <cell r="G103" t="str">
            <v>m3</v>
          </cell>
        </row>
        <row r="104">
          <cell r="C104">
            <v>451.3</v>
          </cell>
          <cell r="D104">
            <v>451</v>
          </cell>
          <cell r="E104">
            <v>0</v>
          </cell>
          <cell r="F104" t="str">
            <v>Mezcla abierta en caliente tipo MAC-3</v>
          </cell>
          <cell r="G104" t="str">
            <v>m3</v>
          </cell>
          <cell r="H104">
            <v>0</v>
          </cell>
        </row>
        <row r="105">
          <cell r="C105">
            <v>451.4</v>
          </cell>
          <cell r="D105">
            <v>451</v>
          </cell>
          <cell r="E105" t="str">
            <v>451P</v>
          </cell>
          <cell r="F105" t="str">
            <v>Mezcla abierta en caliente tipo MAC-3</v>
          </cell>
          <cell r="G105" t="str">
            <v>m3</v>
          </cell>
          <cell r="H105" t="str">
            <v>Incluye suministro y transporte del cemento asfáltico</v>
          </cell>
        </row>
        <row r="106">
          <cell r="C106">
            <v>460</v>
          </cell>
          <cell r="D106">
            <v>460</v>
          </cell>
          <cell r="E106">
            <v>0</v>
          </cell>
          <cell r="F106" t="str">
            <v>Fresado de pavimento asfáltico</v>
          </cell>
          <cell r="G106" t="str">
            <v>m2</v>
          </cell>
          <cell r="H106">
            <v>0</v>
          </cell>
        </row>
        <row r="107">
          <cell r="C107">
            <v>460.1</v>
          </cell>
          <cell r="D107">
            <v>460</v>
          </cell>
          <cell r="E107" t="str">
            <v>460P</v>
          </cell>
          <cell r="F107" t="str">
            <v>Fresado de pavimento asfáltico</v>
          </cell>
          <cell r="G107" t="str">
            <v>m³</v>
          </cell>
          <cell r="H107" t="str">
            <v>La unidad de medida es el metro cúbico</v>
          </cell>
        </row>
        <row r="108">
          <cell r="C108">
            <v>461</v>
          </cell>
          <cell r="D108">
            <v>461</v>
          </cell>
          <cell r="E108">
            <v>0</v>
          </cell>
          <cell r="F108" t="str">
            <v>Pavimento asfáltico reciclado en frío</v>
          </cell>
          <cell r="G108" t="str">
            <v>m3</v>
          </cell>
          <cell r="H108" t="str">
            <v>No incluye suministro y almacenamiento del cemento asfáltico o la emulsión.</v>
          </cell>
        </row>
        <row r="109">
          <cell r="C109">
            <v>461.1</v>
          </cell>
          <cell r="D109">
            <v>461</v>
          </cell>
          <cell r="E109" t="str">
            <v>461P</v>
          </cell>
          <cell r="F109" t="str">
            <v>Pavimento asfáltico reciclado en frío</v>
          </cell>
          <cell r="G109" t="str">
            <v>m3</v>
          </cell>
          <cell r="H109" t="str">
            <v>Incluye el cemento asfáltico o la emulsión asfáltica</v>
          </cell>
        </row>
        <row r="110">
          <cell r="C110">
            <v>461.2</v>
          </cell>
          <cell r="D110">
            <v>461</v>
          </cell>
          <cell r="E110" t="str">
            <v>461P-1</v>
          </cell>
          <cell r="F110" t="str">
            <v>Pavimento asfáltico reciclado en frío</v>
          </cell>
          <cell r="G110" t="str">
            <v>m3</v>
          </cell>
          <cell r="H110" t="str">
            <v>Incluye estudios y diseños</v>
          </cell>
        </row>
        <row r="111">
          <cell r="C111">
            <v>461.3</v>
          </cell>
          <cell r="D111">
            <v>461</v>
          </cell>
          <cell r="E111" t="str">
            <v>461P-1</v>
          </cell>
          <cell r="F111" t="str">
            <v>Pavimento asfáltico reciclado en frío</v>
          </cell>
          <cell r="G111" t="str">
            <v>m3</v>
          </cell>
          <cell r="H111" t="str">
            <v>Incluye estudios y diseños y el cemento asfáltico o la emulsión.</v>
          </cell>
        </row>
        <row r="112">
          <cell r="C112">
            <v>462.1</v>
          </cell>
          <cell r="D112">
            <v>462</v>
          </cell>
          <cell r="F112" t="str">
            <v>Pavimento asfáltico reciclado en caliente tipo MDC-1</v>
          </cell>
          <cell r="G112" t="str">
            <v>m3</v>
          </cell>
          <cell r="H112" t="str">
            <v>No incluye suministro y almacenamiento del cemento asfáltico o la emulsión. Tampoco el agente rejuvenecedor</v>
          </cell>
        </row>
        <row r="113">
          <cell r="C113">
            <v>462.2</v>
          </cell>
          <cell r="D113">
            <v>462</v>
          </cell>
          <cell r="F113" t="str">
            <v>Pavimento asfáltico reciclado en caliente tipo MDC-2</v>
          </cell>
          <cell r="G113" t="str">
            <v>m3</v>
          </cell>
        </row>
        <row r="114">
          <cell r="C114">
            <v>462.3</v>
          </cell>
          <cell r="D114">
            <v>462</v>
          </cell>
          <cell r="F114" t="str">
            <v>Pavimento asfáltico reciclado en caliente tipo MDC-3</v>
          </cell>
          <cell r="G114" t="str">
            <v>m3</v>
          </cell>
        </row>
        <row r="115">
          <cell r="C115">
            <v>462.4</v>
          </cell>
          <cell r="D115">
            <v>462</v>
          </cell>
          <cell r="E115">
            <v>0</v>
          </cell>
          <cell r="F115" t="str">
            <v>Pavimento asfáltico reciclado en caliente para bacheo</v>
          </cell>
          <cell r="G115" t="str">
            <v>m3</v>
          </cell>
        </row>
        <row r="116">
          <cell r="C116">
            <v>470</v>
          </cell>
          <cell r="D116">
            <v>0</v>
          </cell>
          <cell r="E116" t="str">
            <v>470P</v>
          </cell>
          <cell r="F116" t="str">
            <v>Asfalto Natural (Asfaltita)</v>
          </cell>
          <cell r="G116" t="str">
            <v>m3</v>
          </cell>
          <cell r="H116">
            <v>0</v>
          </cell>
        </row>
        <row r="117">
          <cell r="C117">
            <v>500</v>
          </cell>
          <cell r="D117">
            <v>500</v>
          </cell>
          <cell r="E117">
            <v>0</v>
          </cell>
          <cell r="F117" t="str">
            <v>Pavimento de concreto hidráulico</v>
          </cell>
          <cell r="G117" t="str">
            <v>m3</v>
          </cell>
          <cell r="H117" t="str">
            <v>No incluye la preparación de la superficie existente</v>
          </cell>
        </row>
        <row r="118">
          <cell r="C118">
            <v>501</v>
          </cell>
          <cell r="D118">
            <v>0</v>
          </cell>
          <cell r="E118" t="str">
            <v>501P</v>
          </cell>
          <cell r="F118" t="str">
            <v>Corte en losas de pavimento rígido</v>
          </cell>
          <cell r="G118" t="str">
            <v>ml</v>
          </cell>
          <cell r="H118">
            <v>0</v>
          </cell>
        </row>
        <row r="119">
          <cell r="C119">
            <v>510</v>
          </cell>
          <cell r="D119">
            <v>510</v>
          </cell>
          <cell r="E119">
            <v>0</v>
          </cell>
          <cell r="F119" t="str">
            <v>Pavimento de adoquines de concreto</v>
          </cell>
          <cell r="G119" t="str">
            <v>m2</v>
          </cell>
          <cell r="H119" t="str">
            <v>No incluye la preparación de la superficie existente. Tampoco las obras de confinamiento del pavimento.</v>
          </cell>
        </row>
        <row r="120">
          <cell r="C120">
            <v>510.1</v>
          </cell>
          <cell r="D120">
            <v>510</v>
          </cell>
          <cell r="E120" t="str">
            <v>510P</v>
          </cell>
          <cell r="F120" t="str">
            <v>Andenes en adoquín peatonal</v>
          </cell>
          <cell r="G120" t="str">
            <v>m2</v>
          </cell>
        </row>
        <row r="121">
          <cell r="C121">
            <v>510.2</v>
          </cell>
          <cell r="D121">
            <v>510</v>
          </cell>
          <cell r="E121" t="str">
            <v>510P</v>
          </cell>
          <cell r="F121" t="str">
            <v>Andenes en adoquín estructural vehicular Tipo 1</v>
          </cell>
          <cell r="G121" t="str">
            <v>m2</v>
          </cell>
        </row>
        <row r="122">
          <cell r="C122">
            <v>510.3</v>
          </cell>
          <cell r="D122">
            <v>510</v>
          </cell>
          <cell r="E122" t="str">
            <v>510P</v>
          </cell>
          <cell r="F122" t="str">
            <v>Andenes en adoquín estructural vehicular Tipo 2</v>
          </cell>
          <cell r="G122" t="str">
            <v>m2</v>
          </cell>
        </row>
        <row r="123">
          <cell r="C123">
            <v>600.1</v>
          </cell>
          <cell r="D123">
            <v>600</v>
          </cell>
          <cell r="F123" t="str">
            <v>Excavaciones varias sin clasificar</v>
          </cell>
          <cell r="G123" t="str">
            <v>m3</v>
          </cell>
        </row>
        <row r="124">
          <cell r="C124">
            <v>600.20000000000005</v>
          </cell>
          <cell r="D124">
            <v>600</v>
          </cell>
          <cell r="F124" t="str">
            <v>Excavaciones varias en roca en seco</v>
          </cell>
          <cell r="G124" t="str">
            <v>m3</v>
          </cell>
        </row>
        <row r="125">
          <cell r="C125">
            <v>600.29999999999995</v>
          </cell>
          <cell r="D125">
            <v>600</v>
          </cell>
          <cell r="F125" t="str">
            <v>Excavaciones varias en roca bajo agua</v>
          </cell>
          <cell r="G125" t="str">
            <v>m3</v>
          </cell>
        </row>
        <row r="126">
          <cell r="C126">
            <v>600.4</v>
          </cell>
          <cell r="D126">
            <v>600</v>
          </cell>
          <cell r="F126" t="str">
            <v>Excavaciones varias en material común en seco</v>
          </cell>
          <cell r="G126" t="str">
            <v>m3</v>
          </cell>
        </row>
        <row r="127">
          <cell r="C127">
            <v>600.5</v>
          </cell>
          <cell r="D127">
            <v>600</v>
          </cell>
          <cell r="E127">
            <v>0</v>
          </cell>
          <cell r="F127" t="str">
            <v>Excavaciones varias en material común bajo agua</v>
          </cell>
          <cell r="G127" t="str">
            <v>m3</v>
          </cell>
          <cell r="H127">
            <v>0</v>
          </cell>
        </row>
        <row r="128">
          <cell r="C128">
            <v>600.6</v>
          </cell>
          <cell r="D128">
            <v>600</v>
          </cell>
          <cell r="E128" t="str">
            <v>600P</v>
          </cell>
          <cell r="F128" t="str">
            <v>Excavaciones varias sin clasificar</v>
          </cell>
          <cell r="G128" t="str">
            <v>m3</v>
          </cell>
          <cell r="H128" t="str">
            <v>Tiene en cuenta el programa PICO y PALA</v>
          </cell>
        </row>
        <row r="129">
          <cell r="C129">
            <v>600.70000000000005</v>
          </cell>
          <cell r="D129">
            <v>600</v>
          </cell>
          <cell r="E129" t="str">
            <v>600P</v>
          </cell>
          <cell r="F129" t="str">
            <v>Excavaciones varias en material común en seco</v>
          </cell>
          <cell r="G129" t="str">
            <v>m3</v>
          </cell>
          <cell r="H129" t="str">
            <v>Tiene en cuenta el programa PICO y PALA</v>
          </cell>
        </row>
        <row r="130">
          <cell r="C130">
            <v>600.79999999999995</v>
          </cell>
          <cell r="D130">
            <v>600</v>
          </cell>
          <cell r="E130" t="str">
            <v>600P</v>
          </cell>
          <cell r="F130" t="str">
            <v>Excavaciones varias en material común bajo agua</v>
          </cell>
          <cell r="G130" t="str">
            <v>m3</v>
          </cell>
          <cell r="H130" t="str">
            <v>Tiene en cuenta el programa PICO y PALA</v>
          </cell>
        </row>
        <row r="131">
          <cell r="C131">
            <v>600.9</v>
          </cell>
          <cell r="D131">
            <v>600</v>
          </cell>
          <cell r="E131" t="str">
            <v>600P</v>
          </cell>
          <cell r="F131" t="str">
            <v>Excavaciones varias en roca bajo agua</v>
          </cell>
          <cell r="G131" t="str">
            <v>m³</v>
          </cell>
          <cell r="H131" t="str">
            <v>Tiene en cuenta el programa PICO y PALA</v>
          </cell>
        </row>
        <row r="132">
          <cell r="C132">
            <v>601.1</v>
          </cell>
          <cell r="D132">
            <v>601</v>
          </cell>
          <cell r="F132" t="str">
            <v>Excavaciones varias en roca en seco</v>
          </cell>
          <cell r="G132" t="str">
            <v>m3</v>
          </cell>
        </row>
        <row r="133">
          <cell r="C133">
            <v>601.20000000000005</v>
          </cell>
          <cell r="D133">
            <v>601</v>
          </cell>
          <cell r="F133" t="str">
            <v>Excavaciones varias en roca bajo agua</v>
          </cell>
          <cell r="G133" t="str">
            <v>m3</v>
          </cell>
        </row>
        <row r="134">
          <cell r="C134">
            <v>601.29999999999995</v>
          </cell>
          <cell r="D134">
            <v>601</v>
          </cell>
          <cell r="F134" t="str">
            <v>Excavaciones varias en material común en seco</v>
          </cell>
          <cell r="G134" t="str">
            <v>m3</v>
          </cell>
        </row>
        <row r="135">
          <cell r="C135">
            <v>601.4</v>
          </cell>
          <cell r="D135">
            <v>601</v>
          </cell>
          <cell r="F135" t="str">
            <v>Excavaciones varias en material común bajo agua</v>
          </cell>
          <cell r="G135" t="str">
            <v>m3</v>
          </cell>
          <cell r="H135">
            <v>0</v>
          </cell>
        </row>
        <row r="136">
          <cell r="C136">
            <v>610.1</v>
          </cell>
          <cell r="D136">
            <v>610</v>
          </cell>
          <cell r="F136" t="str">
            <v>Rellenos para estructuras</v>
          </cell>
          <cell r="G136" t="str">
            <v>m3</v>
          </cell>
          <cell r="H136" t="str">
            <v>No incluye la preparación de la superficie sobre la que irá el relleno.</v>
          </cell>
        </row>
        <row r="137">
          <cell r="C137">
            <v>610.20000000000005</v>
          </cell>
          <cell r="D137">
            <v>610</v>
          </cell>
          <cell r="E137">
            <v>0</v>
          </cell>
          <cell r="F137" t="str">
            <v>Material filtrante</v>
          </cell>
          <cell r="G137" t="str">
            <v>m3</v>
          </cell>
        </row>
        <row r="138">
          <cell r="C138">
            <v>612</v>
          </cell>
          <cell r="D138">
            <v>0</v>
          </cell>
          <cell r="E138" t="str">
            <v>612P</v>
          </cell>
          <cell r="F138" t="str">
            <v>Geobloques</v>
          </cell>
          <cell r="G138" t="str">
            <v>m3</v>
          </cell>
        </row>
        <row r="139">
          <cell r="C139">
            <v>620.1</v>
          </cell>
          <cell r="D139">
            <v>620</v>
          </cell>
          <cell r="F139" t="str">
            <v>Pilotes prefabricados de concreto</v>
          </cell>
          <cell r="G139" t="str">
            <v>ml</v>
          </cell>
        </row>
        <row r="140">
          <cell r="C140">
            <v>620.20000000000005</v>
          </cell>
          <cell r="D140">
            <v>620</v>
          </cell>
          <cell r="F140" t="str">
            <v>Extensión de pilotes</v>
          </cell>
          <cell r="G140" t="str">
            <v>ml</v>
          </cell>
        </row>
        <row r="141">
          <cell r="C141">
            <v>620.29999999999995</v>
          </cell>
          <cell r="D141">
            <v>620</v>
          </cell>
          <cell r="F141" t="str">
            <v>Prueba de carga</v>
          </cell>
          <cell r="G141" t="str">
            <v>Un</v>
          </cell>
        </row>
        <row r="142">
          <cell r="C142">
            <v>621.1</v>
          </cell>
          <cell r="D142">
            <v>621</v>
          </cell>
          <cell r="F142" t="str">
            <v>Pilote de concreto fundido in-situ de diámetro____</v>
          </cell>
          <cell r="G142" t="str">
            <v>ml</v>
          </cell>
        </row>
        <row r="143">
          <cell r="C143">
            <v>621.20000000000005</v>
          </cell>
          <cell r="D143">
            <v>621</v>
          </cell>
          <cell r="F143" t="str">
            <v>Base acampanada</v>
          </cell>
          <cell r="G143" t="str">
            <v>m3</v>
          </cell>
        </row>
        <row r="144">
          <cell r="C144">
            <v>621.29999999999995</v>
          </cell>
          <cell r="D144">
            <v>621</v>
          </cell>
          <cell r="F144" t="str">
            <v>Pilote de prueba de diámetro ____</v>
          </cell>
          <cell r="G144" t="str">
            <v>ml</v>
          </cell>
        </row>
        <row r="145">
          <cell r="C145">
            <v>621.4</v>
          </cell>
          <cell r="D145">
            <v>621</v>
          </cell>
          <cell r="F145" t="str">
            <v>Base acampanada de prueba</v>
          </cell>
          <cell r="G145" t="str">
            <v>m3</v>
          </cell>
        </row>
        <row r="146">
          <cell r="C146">
            <v>621.5</v>
          </cell>
          <cell r="D146">
            <v>621</v>
          </cell>
          <cell r="F146" t="str">
            <v>Camisa permanente de diámetro exterior ____</v>
          </cell>
          <cell r="G146" t="str">
            <v>ml</v>
          </cell>
        </row>
        <row r="147">
          <cell r="C147">
            <v>621.6</v>
          </cell>
          <cell r="D147">
            <v>621</v>
          </cell>
          <cell r="F147" t="str">
            <v>Prueba de carga</v>
          </cell>
          <cell r="G147" t="str">
            <v>Un</v>
          </cell>
        </row>
        <row r="148">
          <cell r="C148">
            <v>622.1</v>
          </cell>
          <cell r="D148">
            <v>622</v>
          </cell>
          <cell r="F148" t="str">
            <v>Tablestacado de madera</v>
          </cell>
          <cell r="G148" t="str">
            <v>m2</v>
          </cell>
        </row>
        <row r="149">
          <cell r="C149">
            <v>622.20000000000005</v>
          </cell>
          <cell r="D149">
            <v>622</v>
          </cell>
          <cell r="F149" t="str">
            <v>Tablestacado metálico</v>
          </cell>
          <cell r="G149" t="str">
            <v>m2</v>
          </cell>
        </row>
        <row r="150">
          <cell r="C150">
            <v>622.29999999999995</v>
          </cell>
          <cell r="D150">
            <v>622</v>
          </cell>
          <cell r="F150" t="str">
            <v>Tablestacado de concreto reforzado</v>
          </cell>
          <cell r="G150" t="str">
            <v>m2</v>
          </cell>
        </row>
        <row r="151">
          <cell r="C151">
            <v>622.4</v>
          </cell>
          <cell r="D151">
            <v>622</v>
          </cell>
          <cell r="F151" t="str">
            <v>Tablestacado de concreto preesforzado</v>
          </cell>
          <cell r="G151" t="str">
            <v>m2</v>
          </cell>
        </row>
        <row r="152">
          <cell r="C152">
            <v>622.5</v>
          </cell>
          <cell r="D152">
            <v>622</v>
          </cell>
          <cell r="E152">
            <v>0</v>
          </cell>
          <cell r="F152" t="str">
            <v>Corte del extremo superior del elemento</v>
          </cell>
          <cell r="G152" t="str">
            <v>ml</v>
          </cell>
          <cell r="H152">
            <v>0</v>
          </cell>
        </row>
        <row r="153">
          <cell r="C153">
            <v>622.6</v>
          </cell>
          <cell r="D153">
            <v>622</v>
          </cell>
          <cell r="E153" t="str">
            <v>622P</v>
          </cell>
          <cell r="F153" t="str">
            <v>Tablestacado metálico</v>
          </cell>
          <cell r="G153" t="str">
            <v>ml</v>
          </cell>
          <cell r="H153" t="str">
            <v>La unidad de medida es el metro lineal</v>
          </cell>
        </row>
        <row r="154">
          <cell r="C154">
            <v>623.1</v>
          </cell>
          <cell r="E154" t="str">
            <v>623P</v>
          </cell>
          <cell r="F154" t="str">
            <v>Suministro e hincamiento de rieles</v>
          </cell>
          <cell r="G154" t="str">
            <v>ml</v>
          </cell>
        </row>
        <row r="155">
          <cell r="C155">
            <v>623.20000000000005</v>
          </cell>
          <cell r="D155">
            <v>0</v>
          </cell>
          <cell r="E155" t="str">
            <v>623P</v>
          </cell>
          <cell r="F155" t="str">
            <v>Suministro e instalación de rieles</v>
          </cell>
          <cell r="G155" t="str">
            <v>ml</v>
          </cell>
        </row>
        <row r="156">
          <cell r="C156">
            <v>630.1</v>
          </cell>
          <cell r="D156">
            <v>630</v>
          </cell>
          <cell r="F156" t="str">
            <v>Concreto Clase A</v>
          </cell>
          <cell r="G156" t="str">
            <v>m3</v>
          </cell>
        </row>
        <row r="157">
          <cell r="C157">
            <v>630.20000000000005</v>
          </cell>
          <cell r="D157">
            <v>630</v>
          </cell>
          <cell r="F157" t="str">
            <v>Concreto Clase B</v>
          </cell>
          <cell r="G157" t="str">
            <v>m3</v>
          </cell>
        </row>
        <row r="158">
          <cell r="C158">
            <v>630.29999999999995</v>
          </cell>
          <cell r="D158">
            <v>630</v>
          </cell>
          <cell r="F158" t="str">
            <v>Concreto Clase C</v>
          </cell>
          <cell r="G158" t="str">
            <v>m3</v>
          </cell>
        </row>
        <row r="159">
          <cell r="C159">
            <v>630.4</v>
          </cell>
          <cell r="D159">
            <v>630</v>
          </cell>
          <cell r="F159" t="str">
            <v>Concreto Clase D</v>
          </cell>
          <cell r="G159" t="str">
            <v>m3</v>
          </cell>
        </row>
        <row r="160">
          <cell r="C160">
            <v>630.5</v>
          </cell>
          <cell r="D160">
            <v>630</v>
          </cell>
          <cell r="F160" t="str">
            <v>Concreto Clase E</v>
          </cell>
          <cell r="G160" t="str">
            <v>m3</v>
          </cell>
        </row>
        <row r="161">
          <cell r="C161">
            <v>630.6</v>
          </cell>
          <cell r="D161">
            <v>630</v>
          </cell>
          <cell r="F161" t="str">
            <v>Concreto Clase F</v>
          </cell>
          <cell r="G161" t="str">
            <v>m3</v>
          </cell>
        </row>
        <row r="162">
          <cell r="C162">
            <v>630.70000000000005</v>
          </cell>
          <cell r="D162">
            <v>630</v>
          </cell>
          <cell r="E162">
            <v>0</v>
          </cell>
          <cell r="F162" t="str">
            <v>Concreto Clase G</v>
          </cell>
          <cell r="G162" t="str">
            <v>m3</v>
          </cell>
        </row>
        <row r="163">
          <cell r="C163">
            <v>630.79999999999995</v>
          </cell>
          <cell r="D163">
            <v>630</v>
          </cell>
          <cell r="E163" t="str">
            <v>630P</v>
          </cell>
          <cell r="F163" t="str">
            <v>Concreto Clase A con aditivo</v>
          </cell>
          <cell r="G163" t="str">
            <v>m3</v>
          </cell>
        </row>
        <row r="164">
          <cell r="C164">
            <v>630.9</v>
          </cell>
          <cell r="D164">
            <v>630</v>
          </cell>
          <cell r="E164" t="str">
            <v>630P</v>
          </cell>
          <cell r="F164" t="str">
            <v>Concreto Clase D con aditivo</v>
          </cell>
          <cell r="G164" t="str">
            <v>m3</v>
          </cell>
        </row>
        <row r="165">
          <cell r="C165">
            <v>630.1</v>
          </cell>
          <cell r="D165">
            <v>630</v>
          </cell>
          <cell r="E165" t="str">
            <v>630P-1</v>
          </cell>
          <cell r="F165" t="str">
            <v>Realce de cabezotes de alcantarillas</v>
          </cell>
          <cell r="G165" t="str">
            <v>m3</v>
          </cell>
        </row>
        <row r="166">
          <cell r="C166">
            <v>630.11</v>
          </cell>
          <cell r="D166">
            <v>630</v>
          </cell>
          <cell r="E166" t="str">
            <v>630P-2</v>
          </cell>
          <cell r="F166" t="str">
            <v>Realce de bordillo de cunetas</v>
          </cell>
          <cell r="G166" t="str">
            <v>m3</v>
          </cell>
        </row>
        <row r="167">
          <cell r="C167">
            <v>630.12</v>
          </cell>
          <cell r="D167">
            <v>630</v>
          </cell>
          <cell r="E167" t="str">
            <v>630P-3</v>
          </cell>
          <cell r="F167" t="str">
            <v>Concreto Clase G para cimientos</v>
          </cell>
          <cell r="G167" t="str">
            <v>m3</v>
          </cell>
        </row>
        <row r="168">
          <cell r="C168">
            <v>630.13</v>
          </cell>
          <cell r="D168">
            <v>630</v>
          </cell>
          <cell r="E168" t="str">
            <v>630P-3</v>
          </cell>
          <cell r="F168" t="str">
            <v>Concreto Clase G para elevaciones</v>
          </cell>
          <cell r="G168" t="str">
            <v>m3</v>
          </cell>
        </row>
        <row r="169">
          <cell r="C169">
            <v>630.14</v>
          </cell>
          <cell r="D169">
            <v>630</v>
          </cell>
          <cell r="E169" t="str">
            <v>630P-4</v>
          </cell>
          <cell r="F169" t="str">
            <v>Recubrimiento con malla y mortero 1:4, e=5cm</v>
          </cell>
          <cell r="G169" t="str">
            <v>m2</v>
          </cell>
          <cell r="H169">
            <v>0</v>
          </cell>
        </row>
        <row r="170">
          <cell r="C170">
            <v>632</v>
          </cell>
          <cell r="D170">
            <v>632</v>
          </cell>
          <cell r="E170">
            <v>0</v>
          </cell>
          <cell r="F170" t="str">
            <v>Baranda de concreto</v>
          </cell>
          <cell r="G170" t="str">
            <v>ml</v>
          </cell>
          <cell r="H170" t="str">
            <v>No incluye el acero de refuerzo</v>
          </cell>
        </row>
        <row r="171">
          <cell r="C171">
            <v>632.1</v>
          </cell>
          <cell r="D171">
            <v>0</v>
          </cell>
          <cell r="E171" t="str">
            <v>632P</v>
          </cell>
          <cell r="F171" t="str">
            <v>Baranda metálica tubular</v>
          </cell>
          <cell r="G171" t="str">
            <v>ml</v>
          </cell>
        </row>
        <row r="172">
          <cell r="C172">
            <v>640.1</v>
          </cell>
          <cell r="D172">
            <v>640</v>
          </cell>
          <cell r="F172" t="str">
            <v>Acero de refuerzo Grado 37</v>
          </cell>
          <cell r="G172" t="str">
            <v>Kg</v>
          </cell>
        </row>
        <row r="173">
          <cell r="C173">
            <v>640.20000000000005</v>
          </cell>
          <cell r="D173">
            <v>640</v>
          </cell>
          <cell r="F173" t="str">
            <v>Acero de refuerzo Grado 40</v>
          </cell>
          <cell r="G173" t="str">
            <v>Kg</v>
          </cell>
        </row>
        <row r="174">
          <cell r="C174">
            <v>640.29999999999995</v>
          </cell>
          <cell r="D174">
            <v>640</v>
          </cell>
          <cell r="F174" t="str">
            <v>Acero de refuerzo Grado 60</v>
          </cell>
          <cell r="G174" t="str">
            <v>Kg</v>
          </cell>
        </row>
        <row r="175">
          <cell r="C175">
            <v>641</v>
          </cell>
          <cell r="D175">
            <v>641</v>
          </cell>
          <cell r="F175" t="str">
            <v>Acero de preesfuerzo</v>
          </cell>
          <cell r="G175" t="str">
            <v>t-m</v>
          </cell>
        </row>
        <row r="176">
          <cell r="C176">
            <v>642.1</v>
          </cell>
          <cell r="D176">
            <v>642</v>
          </cell>
          <cell r="F176" t="str">
            <v>Apoyo elastomérico</v>
          </cell>
          <cell r="G176" t="str">
            <v>Un</v>
          </cell>
        </row>
        <row r="177">
          <cell r="C177">
            <v>642.20000000000005</v>
          </cell>
          <cell r="D177">
            <v>642</v>
          </cell>
          <cell r="E177">
            <v>0</v>
          </cell>
          <cell r="F177" t="str">
            <v>Sello para juntas de puentes</v>
          </cell>
          <cell r="G177" t="str">
            <v>ml</v>
          </cell>
        </row>
        <row r="178">
          <cell r="C178">
            <v>643</v>
          </cell>
          <cell r="E178" t="str">
            <v>643P</v>
          </cell>
          <cell r="F178" t="str">
            <v>Suministro e instalación de juntas de dilatación</v>
          </cell>
          <cell r="G178" t="str">
            <v>ml</v>
          </cell>
        </row>
        <row r="179">
          <cell r="C179">
            <v>644</v>
          </cell>
          <cell r="E179" t="str">
            <v>644P</v>
          </cell>
          <cell r="F179" t="str">
            <v>Suministro e instalación de sellos para juntas de puentes</v>
          </cell>
          <cell r="G179" t="str">
            <v>ml</v>
          </cell>
        </row>
        <row r="180">
          <cell r="C180">
            <v>645</v>
          </cell>
          <cell r="E180" t="str">
            <v>645P</v>
          </cell>
          <cell r="F180" t="str">
            <v>Rejilla en varilla (2.0m x 2.52 m), D=1".</v>
          </cell>
          <cell r="G180" t="str">
            <v>Un</v>
          </cell>
        </row>
        <row r="181">
          <cell r="C181">
            <v>646</v>
          </cell>
          <cell r="D181">
            <v>0</v>
          </cell>
          <cell r="E181" t="str">
            <v>646P</v>
          </cell>
          <cell r="F181" t="str">
            <v>Anclajes o Tiebacks</v>
          </cell>
          <cell r="G181" t="str">
            <v>ml</v>
          </cell>
        </row>
        <row r="182">
          <cell r="C182">
            <v>650.1</v>
          </cell>
          <cell r="D182">
            <v>650</v>
          </cell>
          <cell r="F182" t="str">
            <v>Diseño y fabricación de estructura metálica</v>
          </cell>
          <cell r="G182" t="str">
            <v>Kg</v>
          </cell>
        </row>
        <row r="183">
          <cell r="C183">
            <v>650.20000000000005</v>
          </cell>
          <cell r="D183">
            <v>650</v>
          </cell>
          <cell r="F183" t="str">
            <v>Fabricación de la estructura metálica</v>
          </cell>
          <cell r="G183" t="str">
            <v>Kg</v>
          </cell>
        </row>
        <row r="184">
          <cell r="C184">
            <v>650.29999999999995</v>
          </cell>
          <cell r="D184">
            <v>650</v>
          </cell>
          <cell r="F184" t="str">
            <v>Transporte de estructura metálica</v>
          </cell>
          <cell r="G184" t="str">
            <v>Kg</v>
          </cell>
        </row>
        <row r="185">
          <cell r="C185">
            <v>650.4</v>
          </cell>
          <cell r="D185">
            <v>650</v>
          </cell>
          <cell r="F185" t="str">
            <v>Montaje y pintura de estructura metálica</v>
          </cell>
          <cell r="G185" t="str">
            <v>Kg</v>
          </cell>
        </row>
        <row r="186">
          <cell r="C186">
            <v>660.1</v>
          </cell>
          <cell r="D186">
            <v>660</v>
          </cell>
          <cell r="F186" t="str">
            <v>Tubería de concreto simple de diámetro 450 mm</v>
          </cell>
          <cell r="G186" t="str">
            <v>ml</v>
          </cell>
        </row>
        <row r="187">
          <cell r="C187">
            <v>660.2</v>
          </cell>
          <cell r="D187">
            <v>660</v>
          </cell>
          <cell r="F187" t="str">
            <v>Tubería de concreto simple de diámetro 600 mm</v>
          </cell>
          <cell r="G187" t="str">
            <v>ml</v>
          </cell>
        </row>
        <row r="188">
          <cell r="C188">
            <v>660.3</v>
          </cell>
          <cell r="D188">
            <v>660</v>
          </cell>
          <cell r="E188">
            <v>0</v>
          </cell>
          <cell r="F188" t="str">
            <v>Tubería de concreto simple de diámetro 750 mm</v>
          </cell>
          <cell r="G188" t="str">
            <v>ml</v>
          </cell>
        </row>
        <row r="189">
          <cell r="C189">
            <v>660.4</v>
          </cell>
          <cell r="D189">
            <v>0</v>
          </cell>
          <cell r="E189" t="str">
            <v>660P</v>
          </cell>
          <cell r="F189" t="str">
            <v>Tubería perforada de gres de 6 pulgadas de diámetro</v>
          </cell>
          <cell r="G189" t="str">
            <v>ml</v>
          </cell>
        </row>
        <row r="190">
          <cell r="C190">
            <v>661</v>
          </cell>
          <cell r="D190">
            <v>661</v>
          </cell>
          <cell r="F190" t="str">
            <v>Tubería de concreto reforzado de 900 mm diámetro interior</v>
          </cell>
          <cell r="G190" t="str">
            <v>ml</v>
          </cell>
        </row>
        <row r="191">
          <cell r="C191">
            <v>662.1</v>
          </cell>
          <cell r="D191">
            <v>662</v>
          </cell>
          <cell r="F191" t="str">
            <v>Tubería corrugada de acero galvanizado de lámina calibre __ y diámetro __ mm</v>
          </cell>
          <cell r="G191" t="str">
            <v>ml</v>
          </cell>
        </row>
        <row r="192">
          <cell r="C192">
            <v>662.2</v>
          </cell>
          <cell r="D192">
            <v>662</v>
          </cell>
          <cell r="E192">
            <v>0</v>
          </cell>
          <cell r="F192" t="str">
            <v>Tubería corrugada de acero con recubrimiento bituminoso de lámina calibre __ y diámetro __ mm</v>
          </cell>
          <cell r="G192" t="str">
            <v>ml</v>
          </cell>
        </row>
        <row r="193">
          <cell r="C193">
            <v>669.1</v>
          </cell>
          <cell r="D193">
            <v>0</v>
          </cell>
          <cell r="E193" t="str">
            <v>669P</v>
          </cell>
          <cell r="F193" t="str">
            <v>Andenes de sección 2m de ancho x 0.12 m de espesor</v>
          </cell>
          <cell r="G193" t="str">
            <v>m2</v>
          </cell>
        </row>
        <row r="194">
          <cell r="C194">
            <v>670.1</v>
          </cell>
          <cell r="D194">
            <v>670</v>
          </cell>
          <cell r="F194" t="str">
            <v>Disipadores de energía y sedimentadores en gaviones</v>
          </cell>
          <cell r="G194" t="str">
            <v>m3</v>
          </cell>
        </row>
        <row r="195">
          <cell r="C195">
            <v>670.2</v>
          </cell>
          <cell r="D195">
            <v>670</v>
          </cell>
          <cell r="F195" t="str">
            <v>Disipadores de energía y sedimentadores en concreto ciclópeo</v>
          </cell>
          <cell r="G195" t="str">
            <v>m3</v>
          </cell>
        </row>
        <row r="196">
          <cell r="C196">
            <v>671</v>
          </cell>
          <cell r="D196">
            <v>671</v>
          </cell>
          <cell r="E196">
            <v>0</v>
          </cell>
          <cell r="F196" t="str">
            <v>Cunetas revestidas en concreto</v>
          </cell>
          <cell r="G196" t="str">
            <v>m3</v>
          </cell>
        </row>
        <row r="197">
          <cell r="C197">
            <v>671.1</v>
          </cell>
          <cell r="D197">
            <v>671</v>
          </cell>
          <cell r="E197" t="str">
            <v>671P</v>
          </cell>
          <cell r="F197" t="str">
            <v>Cunetas revestidas en concreto clase D, Sección # 1 y Sección No. 2</v>
          </cell>
          <cell r="G197" t="str">
            <v>m3</v>
          </cell>
        </row>
        <row r="198">
          <cell r="C198">
            <v>672</v>
          </cell>
          <cell r="D198">
            <v>672</v>
          </cell>
          <cell r="E198">
            <v>0</v>
          </cell>
          <cell r="F198" t="str">
            <v>Bordillo</v>
          </cell>
          <cell r="G198" t="str">
            <v>ml</v>
          </cell>
        </row>
        <row r="199">
          <cell r="C199">
            <v>672.1</v>
          </cell>
          <cell r="D199">
            <v>672</v>
          </cell>
          <cell r="E199" t="str">
            <v>672P</v>
          </cell>
          <cell r="F199" t="str">
            <v>Realce de bordillo</v>
          </cell>
          <cell r="G199" t="str">
            <v>ml</v>
          </cell>
        </row>
        <row r="200">
          <cell r="C200">
            <v>673</v>
          </cell>
          <cell r="D200">
            <v>673</v>
          </cell>
          <cell r="E200">
            <v>0</v>
          </cell>
          <cell r="F200" t="str">
            <v>Material filtrante</v>
          </cell>
          <cell r="G200" t="str">
            <v>m3</v>
          </cell>
        </row>
        <row r="201">
          <cell r="C201">
            <v>673.1</v>
          </cell>
          <cell r="D201">
            <v>673</v>
          </cell>
          <cell r="E201" t="str">
            <v>673P</v>
          </cell>
          <cell r="F201" t="str">
            <v>Dren horizontal 0-10 m</v>
          </cell>
          <cell r="G201" t="str">
            <v>ml</v>
          </cell>
        </row>
        <row r="202">
          <cell r="C202">
            <v>673.2</v>
          </cell>
          <cell r="D202">
            <v>673</v>
          </cell>
          <cell r="E202" t="str">
            <v>673P</v>
          </cell>
          <cell r="F202" t="str">
            <v>Dren horizontal 0-30 m</v>
          </cell>
          <cell r="G202" t="str">
            <v>ml</v>
          </cell>
        </row>
        <row r="203">
          <cell r="C203">
            <v>673.3</v>
          </cell>
          <cell r="D203">
            <v>673</v>
          </cell>
          <cell r="E203" t="str">
            <v>673P-1</v>
          </cell>
          <cell r="F203" t="str">
            <v>Filtros geocompuestos Tipo Geodren o Pack drain</v>
          </cell>
          <cell r="G203" t="str">
            <v>ml</v>
          </cell>
        </row>
        <row r="204">
          <cell r="C204">
            <v>673.4</v>
          </cell>
          <cell r="D204">
            <v>673</v>
          </cell>
          <cell r="E204" t="str">
            <v>673P-2</v>
          </cell>
          <cell r="F204" t="str">
            <v>Material filtrante, entre 3" y 6", para dren profundo</v>
          </cell>
          <cell r="G204" t="str">
            <v>ml</v>
          </cell>
        </row>
        <row r="205">
          <cell r="C205">
            <v>674.1</v>
          </cell>
          <cell r="E205" t="str">
            <v>674P</v>
          </cell>
          <cell r="F205" t="str">
            <v>Nivelación y reconstrucción de pozos de inspección</v>
          </cell>
          <cell r="G205" t="str">
            <v>Un</v>
          </cell>
        </row>
        <row r="206">
          <cell r="C206">
            <v>674.2</v>
          </cell>
          <cell r="E206" t="str">
            <v>674P</v>
          </cell>
          <cell r="F206" t="str">
            <v>Nivelación y reconstrucción de sumideros</v>
          </cell>
          <cell r="G206" t="str">
            <v>Un</v>
          </cell>
        </row>
        <row r="207">
          <cell r="C207">
            <v>674.3</v>
          </cell>
          <cell r="E207" t="str">
            <v>674P</v>
          </cell>
          <cell r="F207" t="str">
            <v>Nivelación y reconstrucción de cajas de válvulas de la EAAB</v>
          </cell>
          <cell r="G207" t="str">
            <v>Un</v>
          </cell>
        </row>
        <row r="208">
          <cell r="C208">
            <v>674.4</v>
          </cell>
          <cell r="E208" t="str">
            <v>674P</v>
          </cell>
          <cell r="F208" t="str">
            <v>Nivelación y reconstrucción de cajas de energía de CODENSA</v>
          </cell>
          <cell r="G208" t="str">
            <v>Un</v>
          </cell>
        </row>
        <row r="209">
          <cell r="C209">
            <v>674.5</v>
          </cell>
          <cell r="E209" t="str">
            <v>674P</v>
          </cell>
          <cell r="F209" t="str">
            <v>Nivelación y reconstrucción de cajas de la ETB</v>
          </cell>
          <cell r="G209" t="str">
            <v>Un</v>
          </cell>
        </row>
        <row r="210">
          <cell r="C210">
            <v>675</v>
          </cell>
          <cell r="E210" t="str">
            <v>675P</v>
          </cell>
          <cell r="F210" t="str">
            <v>Caja de inspección para alumbrado público</v>
          </cell>
          <cell r="G210" t="str">
            <v>Un</v>
          </cell>
        </row>
        <row r="211">
          <cell r="C211">
            <v>678.1</v>
          </cell>
          <cell r="D211">
            <v>0</v>
          </cell>
          <cell r="E211" t="str">
            <v>678P</v>
          </cell>
          <cell r="F211" t="str">
            <v>Suministro y colocación de ductos de PVC o similar</v>
          </cell>
          <cell r="G211" t="str">
            <v>ml</v>
          </cell>
        </row>
        <row r="212">
          <cell r="C212">
            <v>680.1</v>
          </cell>
          <cell r="D212">
            <v>680</v>
          </cell>
          <cell r="F212" t="str">
            <v>Escamas en concreto</v>
          </cell>
          <cell r="G212" t="str">
            <v>m2</v>
          </cell>
        </row>
        <row r="213">
          <cell r="C213">
            <v>680.2</v>
          </cell>
          <cell r="D213">
            <v>680</v>
          </cell>
          <cell r="F213" t="str">
            <v>Armadura galvanizada</v>
          </cell>
          <cell r="G213" t="str">
            <v>ml</v>
          </cell>
        </row>
        <row r="214">
          <cell r="C214">
            <v>680.3</v>
          </cell>
          <cell r="D214">
            <v>680</v>
          </cell>
          <cell r="F214" t="str">
            <v>Relleno granular para tierra armada</v>
          </cell>
          <cell r="G214" t="str">
            <v>m3</v>
          </cell>
        </row>
        <row r="215">
          <cell r="C215">
            <v>681.1</v>
          </cell>
          <cell r="D215">
            <v>681</v>
          </cell>
          <cell r="F215" t="str">
            <v>Gaviones</v>
          </cell>
          <cell r="G215" t="str">
            <v>m3</v>
          </cell>
          <cell r="H215">
            <v>0</v>
          </cell>
        </row>
        <row r="216">
          <cell r="C216">
            <v>682</v>
          </cell>
          <cell r="D216">
            <v>682</v>
          </cell>
          <cell r="E216">
            <v>0</v>
          </cell>
          <cell r="F216" t="str">
            <v>Muro de contención de suelo reforzado con geotextil</v>
          </cell>
          <cell r="G216" t="str">
            <v>m3</v>
          </cell>
          <cell r="H216" t="str">
            <v>No incluye geotextil ni recubrimiento del muro</v>
          </cell>
        </row>
        <row r="217">
          <cell r="C217">
            <v>682.1</v>
          </cell>
          <cell r="E217" t="str">
            <v>682P</v>
          </cell>
          <cell r="F217" t="str">
            <v>Geotextil para refuerzo</v>
          </cell>
          <cell r="G217" t="str">
            <v>m²</v>
          </cell>
        </row>
        <row r="218">
          <cell r="C218">
            <v>682.2</v>
          </cell>
          <cell r="E218" t="str">
            <v>682P</v>
          </cell>
          <cell r="F218" t="str">
            <v>Suministro y colocación de malla de gallinero recubierta con mortero</v>
          </cell>
          <cell r="G218" t="str">
            <v>m²</v>
          </cell>
        </row>
        <row r="219">
          <cell r="C219">
            <v>682.3</v>
          </cell>
          <cell r="E219" t="str">
            <v>682P</v>
          </cell>
          <cell r="F219" t="str">
            <v>Relleno para muro de tierra</v>
          </cell>
          <cell r="G219" t="str">
            <v>m³</v>
          </cell>
        </row>
        <row r="220">
          <cell r="C220">
            <v>683</v>
          </cell>
          <cell r="E220" t="str">
            <v>683P</v>
          </cell>
          <cell r="F220" t="str">
            <v>Bolsacretos en concreto Clase F</v>
          </cell>
          <cell r="G220" t="str">
            <v>m3</v>
          </cell>
        </row>
        <row r="221">
          <cell r="C221">
            <v>683.1</v>
          </cell>
          <cell r="D221">
            <v>0</v>
          </cell>
          <cell r="E221" t="str">
            <v>683P-1</v>
          </cell>
          <cell r="F221" t="str">
            <v>Bolsacretos en concreto Clase D</v>
          </cell>
          <cell r="G221" t="str">
            <v>m³</v>
          </cell>
        </row>
        <row r="222">
          <cell r="C222">
            <v>700.1</v>
          </cell>
          <cell r="D222">
            <v>700</v>
          </cell>
          <cell r="F222" t="str">
            <v>Línea de demarcación</v>
          </cell>
          <cell r="G222" t="str">
            <v>ml</v>
          </cell>
        </row>
        <row r="223">
          <cell r="C223">
            <v>700.2</v>
          </cell>
          <cell r="D223">
            <v>700</v>
          </cell>
          <cell r="E223">
            <v>0</v>
          </cell>
          <cell r="F223" t="str">
            <v>Marca vial</v>
          </cell>
          <cell r="G223" t="str">
            <v>m2</v>
          </cell>
        </row>
        <row r="224">
          <cell r="C224">
            <v>700.3</v>
          </cell>
          <cell r="D224">
            <v>700</v>
          </cell>
          <cell r="E224" t="str">
            <v>700P</v>
          </cell>
          <cell r="F224" t="str">
            <v>Línea de demarcación sobre concreto rígido</v>
          </cell>
          <cell r="G224" t="str">
            <v>ml</v>
          </cell>
        </row>
        <row r="225">
          <cell r="C225">
            <v>701</v>
          </cell>
          <cell r="D225">
            <v>701</v>
          </cell>
          <cell r="F225" t="str">
            <v>Tacha reflectiva</v>
          </cell>
          <cell r="G225" t="str">
            <v>Un</v>
          </cell>
        </row>
        <row r="226">
          <cell r="C226">
            <v>710.1</v>
          </cell>
          <cell r="D226">
            <v>710</v>
          </cell>
          <cell r="F226" t="str">
            <v>Señal de tránsito grupo I</v>
          </cell>
          <cell r="G226" t="str">
            <v>Un</v>
          </cell>
        </row>
        <row r="227">
          <cell r="C227">
            <v>710.2</v>
          </cell>
          <cell r="D227">
            <v>710</v>
          </cell>
          <cell r="F227" t="str">
            <v>Señal de tránsito grupo II</v>
          </cell>
          <cell r="G227" t="str">
            <v>Un</v>
          </cell>
        </row>
        <row r="228">
          <cell r="C228">
            <v>710.3</v>
          </cell>
          <cell r="D228">
            <v>710</v>
          </cell>
          <cell r="F228" t="str">
            <v>Señal de tránsito grupo III</v>
          </cell>
          <cell r="G228" t="str">
            <v>Un</v>
          </cell>
        </row>
        <row r="229">
          <cell r="C229">
            <v>710.4</v>
          </cell>
          <cell r="D229">
            <v>710</v>
          </cell>
          <cell r="F229" t="str">
            <v>Señal de tránsito grupo IV</v>
          </cell>
          <cell r="G229" t="str">
            <v>Un</v>
          </cell>
        </row>
        <row r="230">
          <cell r="C230">
            <v>710.5</v>
          </cell>
          <cell r="D230">
            <v>710</v>
          </cell>
          <cell r="E230">
            <v>0</v>
          </cell>
          <cell r="F230" t="str">
            <v>Señal de tránsito grupo V</v>
          </cell>
          <cell r="G230" t="str">
            <v>m2</v>
          </cell>
        </row>
        <row r="231">
          <cell r="C231">
            <v>710.6</v>
          </cell>
          <cell r="D231">
            <v>710</v>
          </cell>
          <cell r="E231" t="str">
            <v>710P</v>
          </cell>
          <cell r="F231" t="str">
            <v>Suministro e intalación de pasavías</v>
          </cell>
          <cell r="G231" t="str">
            <v>Un</v>
          </cell>
        </row>
        <row r="232">
          <cell r="C232">
            <v>720</v>
          </cell>
          <cell r="D232">
            <v>720</v>
          </cell>
          <cell r="F232" t="str">
            <v>Poste de kilometraje</v>
          </cell>
          <cell r="G232" t="str">
            <v>Un</v>
          </cell>
        </row>
        <row r="233">
          <cell r="C233">
            <v>730.1</v>
          </cell>
          <cell r="D233">
            <v>730</v>
          </cell>
          <cell r="F233" t="str">
            <v>Defensa metálica</v>
          </cell>
          <cell r="G233" t="str">
            <v>ml</v>
          </cell>
        </row>
        <row r="234">
          <cell r="C234">
            <v>730.2</v>
          </cell>
          <cell r="D234">
            <v>730</v>
          </cell>
          <cell r="F234" t="str">
            <v>Sección final</v>
          </cell>
          <cell r="G234" t="str">
            <v>Un</v>
          </cell>
        </row>
        <row r="235">
          <cell r="C235">
            <v>730.3</v>
          </cell>
          <cell r="D235">
            <v>730</v>
          </cell>
          <cell r="E235">
            <v>0</v>
          </cell>
          <cell r="F235" t="str">
            <v>Sección de tope</v>
          </cell>
          <cell r="G235" t="str">
            <v>Un</v>
          </cell>
        </row>
        <row r="236">
          <cell r="C236">
            <v>731</v>
          </cell>
          <cell r="D236">
            <v>0</v>
          </cell>
          <cell r="E236" t="str">
            <v>731P</v>
          </cell>
          <cell r="F236" t="str">
            <v>Amortiguadores para defensa metálica</v>
          </cell>
          <cell r="G236" t="str">
            <v>Un</v>
          </cell>
        </row>
        <row r="237">
          <cell r="C237">
            <v>740</v>
          </cell>
          <cell r="D237">
            <v>740</v>
          </cell>
          <cell r="E237">
            <v>0</v>
          </cell>
          <cell r="F237" t="str">
            <v>Captafaros</v>
          </cell>
          <cell r="G237" t="str">
            <v>Un</v>
          </cell>
        </row>
        <row r="238">
          <cell r="C238">
            <v>741</v>
          </cell>
          <cell r="E238" t="str">
            <v>741P</v>
          </cell>
          <cell r="F238" t="str">
            <v>Pintura de muros</v>
          </cell>
          <cell r="G238" t="str">
            <v>m2</v>
          </cell>
        </row>
        <row r="239">
          <cell r="C239">
            <v>741.1</v>
          </cell>
          <cell r="E239" t="str">
            <v>741P-1</v>
          </cell>
          <cell r="F239" t="str">
            <v>Pintura de muros</v>
          </cell>
          <cell r="G239" t="str">
            <v>m2</v>
          </cell>
        </row>
        <row r="240">
          <cell r="C240">
            <v>750</v>
          </cell>
          <cell r="D240">
            <v>0</v>
          </cell>
          <cell r="E240" t="str">
            <v>750P</v>
          </cell>
          <cell r="F240" t="str">
            <v>Bandas sonoras reductoras de velocidad</v>
          </cell>
          <cell r="G240" t="str">
            <v>m2</v>
          </cell>
        </row>
        <row r="241">
          <cell r="C241">
            <v>800.1</v>
          </cell>
          <cell r="D241">
            <v>800</v>
          </cell>
          <cell r="F241" t="str">
            <v>Cerca de alambre de púas con postes de madera</v>
          </cell>
          <cell r="G241" t="str">
            <v>ml</v>
          </cell>
        </row>
        <row r="242">
          <cell r="C242">
            <v>800.2</v>
          </cell>
          <cell r="D242">
            <v>800</v>
          </cell>
          <cell r="F242" t="str">
            <v>Cerca de alambre de púas con postes de concreto</v>
          </cell>
          <cell r="G242" t="str">
            <v>ml</v>
          </cell>
        </row>
        <row r="243">
          <cell r="C243">
            <v>800.3</v>
          </cell>
          <cell r="D243">
            <v>800</v>
          </cell>
          <cell r="F243" t="str">
            <v>Cerca de malla con postes de madera</v>
          </cell>
          <cell r="G243" t="str">
            <v>ml</v>
          </cell>
        </row>
        <row r="244">
          <cell r="C244">
            <v>800.4</v>
          </cell>
          <cell r="D244">
            <v>800</v>
          </cell>
          <cell r="F244" t="str">
            <v>Cerca de malla con postes de concreto</v>
          </cell>
          <cell r="G244" t="str">
            <v>ml</v>
          </cell>
          <cell r="H244">
            <v>0</v>
          </cell>
        </row>
        <row r="245">
          <cell r="C245">
            <v>810.1</v>
          </cell>
          <cell r="D245">
            <v>810</v>
          </cell>
          <cell r="F245" t="str">
            <v>Empradización de taludes con bloques de césped</v>
          </cell>
          <cell r="G245" t="str">
            <v>m2</v>
          </cell>
          <cell r="H245" t="str">
            <v>No incluye transporte de materiales</v>
          </cell>
        </row>
        <row r="246">
          <cell r="C246">
            <v>810.2</v>
          </cell>
          <cell r="D246">
            <v>810</v>
          </cell>
          <cell r="E246">
            <v>0</v>
          </cell>
          <cell r="F246" t="str">
            <v>Empradización de taludes con tierra orgánica y semillas</v>
          </cell>
          <cell r="G246" t="str">
            <v>m2</v>
          </cell>
          <cell r="H246" t="str">
            <v>No incluye transporte de materiales</v>
          </cell>
        </row>
        <row r="247">
          <cell r="C247">
            <v>810.3</v>
          </cell>
          <cell r="D247">
            <v>810</v>
          </cell>
          <cell r="E247" t="str">
            <v>810P</v>
          </cell>
          <cell r="F247" t="str">
            <v>Empradización de taludes con bloques de césped</v>
          </cell>
          <cell r="G247" t="str">
            <v>m2</v>
          </cell>
          <cell r="H247" t="str">
            <v>Incluye transporte de materiales</v>
          </cell>
        </row>
        <row r="248">
          <cell r="C248">
            <v>810.4</v>
          </cell>
          <cell r="D248">
            <v>810</v>
          </cell>
          <cell r="E248" t="str">
            <v>810P</v>
          </cell>
          <cell r="F248" t="str">
            <v>Empradización de taludes con tierra orgánica y semillas</v>
          </cell>
          <cell r="G248" t="str">
            <v>m2</v>
          </cell>
          <cell r="H248" t="str">
            <v>Incluye transporte de materiales</v>
          </cell>
        </row>
        <row r="249">
          <cell r="C249">
            <v>820.1</v>
          </cell>
          <cell r="D249">
            <v>820</v>
          </cell>
          <cell r="F249" t="str">
            <v>Geotextil</v>
          </cell>
          <cell r="G249" t="str">
            <v>m2</v>
          </cell>
        </row>
        <row r="250">
          <cell r="C250">
            <v>820.2</v>
          </cell>
          <cell r="D250">
            <v>820</v>
          </cell>
          <cell r="E250">
            <v>0</v>
          </cell>
          <cell r="F250" t="str">
            <v>Geotextil para refuerzo del pavimento</v>
          </cell>
          <cell r="G250" t="str">
            <v>m2</v>
          </cell>
        </row>
        <row r="251">
          <cell r="C251">
            <v>830</v>
          </cell>
          <cell r="D251">
            <v>0</v>
          </cell>
          <cell r="E251" t="str">
            <v>830P</v>
          </cell>
          <cell r="F251" t="str">
            <v>Limpieza de bermas, incluye cargue y retiro del material sobrante</v>
          </cell>
          <cell r="G251" t="str">
            <v>m2</v>
          </cell>
        </row>
        <row r="252">
          <cell r="C252">
            <v>900.1</v>
          </cell>
          <cell r="D252">
            <v>900</v>
          </cell>
          <cell r="F252" t="str">
            <v>Transporte de materiales provenientes de excavación de la explanación, canales y préstamos, entre 100m y 1000m</v>
          </cell>
          <cell r="G252" t="str">
            <v>m³-E</v>
          </cell>
        </row>
        <row r="253">
          <cell r="C253">
            <v>900.2</v>
          </cell>
          <cell r="D253">
            <v>900</v>
          </cell>
          <cell r="F253" t="str">
            <v>Transporte de materiales provenientes de la excavación de la explanación, canales y préstamos para distancias mayores de 1000m</v>
          </cell>
          <cell r="G253" t="str">
            <v>m³-km</v>
          </cell>
        </row>
        <row r="254">
          <cell r="C254">
            <v>900.3</v>
          </cell>
          <cell r="D254">
            <v>900</v>
          </cell>
          <cell r="E254">
            <v>0</v>
          </cell>
          <cell r="F254" t="str">
            <v>Transporte de materiales provenientes de derrumbes</v>
          </cell>
          <cell r="G254" t="str">
            <v>m³-km</v>
          </cell>
        </row>
        <row r="255">
          <cell r="C255">
            <v>1000.1</v>
          </cell>
          <cell r="E255" t="str">
            <v>1000P</v>
          </cell>
          <cell r="F255" t="str">
            <v>Retroexcavadora sobre orugas de capacidad mínima 1.5 yardas cúbicas</v>
          </cell>
          <cell r="G255" t="str">
            <v>H-maq</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 val="Hoja1"/>
      <sheetName val="Acta ejec y deduc"/>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 val="todos"/>
    </sheetNames>
    <sheetDataSet>
      <sheetData sheetId="0">
        <row r="15">
          <cell r="N15" t="str">
            <v>Alto</v>
          </cell>
        </row>
        <row r="16">
          <cell r="N16" t="str">
            <v>Medio-Alto</v>
          </cell>
        </row>
        <row r="17">
          <cell r="N17" t="str">
            <v>Medio-Bajo</v>
          </cell>
        </row>
        <row r="18">
          <cell r="N18" t="str">
            <v>Bajo</v>
          </cell>
        </row>
      </sheetData>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para estructural PHR</v>
          </cell>
        </row>
        <row r="18">
          <cell r="A18" t="str">
            <v>Acero refuerzo G-60 figurado</v>
          </cell>
        </row>
        <row r="19">
          <cell r="A19" t="str">
            <v>Acero refuerzo G-60 sin figurar</v>
          </cell>
        </row>
        <row r="20">
          <cell r="A20" t="str">
            <v>Acero refuerzo sin figurar*</v>
          </cell>
        </row>
        <row r="21">
          <cell r="A21" t="str">
            <v>Acido nitrico</v>
          </cell>
        </row>
        <row r="22">
          <cell r="A22" t="str">
            <v>Acido nitrico x 200 litros</v>
          </cell>
        </row>
        <row r="23">
          <cell r="A23" t="str">
            <v>Acondicionador de Superficie Novafort x 250cc. - Pavco o equivalente.</v>
          </cell>
        </row>
        <row r="24">
          <cell r="A24" t="str">
            <v>Acondicionador de superficies Tipo Wash Primer o equivalente</v>
          </cell>
        </row>
        <row r="25">
          <cell r="A25" t="str">
            <v>Acondicionador de voltaje 10 KW monofasico</v>
          </cell>
        </row>
        <row r="26">
          <cell r="A26" t="str">
            <v>Acondicionador de voltaje trabajo pesado de 10KVA trifasico</v>
          </cell>
        </row>
        <row r="27">
          <cell r="A27" t="str">
            <v>Adaptador EMT 1"</v>
          </cell>
        </row>
        <row r="28">
          <cell r="A28" t="str">
            <v>Adaptador EMT 1/2"</v>
          </cell>
        </row>
        <row r="29">
          <cell r="A29" t="str">
            <v>Adaptador EMT 1-1/2"</v>
          </cell>
        </row>
        <row r="30">
          <cell r="A30" t="str">
            <v>Adaptador EMT 2"</v>
          </cell>
        </row>
        <row r="31">
          <cell r="A31" t="str">
            <v>Adaptador EMT 3/4"</v>
          </cell>
        </row>
        <row r="32">
          <cell r="A32" t="str">
            <v>Adaptador hembra de Cobre, d= 1"</v>
          </cell>
        </row>
        <row r="33">
          <cell r="A33" t="str">
            <v>Adaptador hembra de Cobre, d= 1/2".</v>
          </cell>
        </row>
        <row r="34">
          <cell r="A34" t="str">
            <v>Adaptador hembra de Cobre, d= 3/4".</v>
          </cell>
        </row>
        <row r="35">
          <cell r="A35" t="str">
            <v>Adaptador hembra PVC-P d= 1/2" - Pavco o equivalente.</v>
          </cell>
        </row>
        <row r="36">
          <cell r="A36" t="str">
            <v>Adaptador macho en cobre de 1"</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Adobe 10 x 20 x 40</v>
          </cell>
        </row>
        <row r="60">
          <cell r="A60" t="str">
            <v>Adobe 15 x 20 x 40</v>
          </cell>
        </row>
        <row r="61">
          <cell r="A61" t="str">
            <v>Adoquin color Amarillo, fuego, blanco arena 20*20*6</v>
          </cell>
        </row>
        <row r="62">
          <cell r="A62" t="str">
            <v>Adoquin cuadrado gris de 20x20x6 cm.</v>
          </cell>
        </row>
        <row r="63">
          <cell r="A63" t="str">
            <v>Adoquin rectangular amarillo de 20x10x6 cm.</v>
          </cell>
        </row>
        <row r="64">
          <cell r="A64" t="str">
            <v>Adoquin rectangular amarillo de 20x10x8 cm.</v>
          </cell>
        </row>
        <row r="65">
          <cell r="A65" t="str">
            <v>Adoquin rectangular gris de 20x10x6 cm.</v>
          </cell>
        </row>
        <row r="66">
          <cell r="A66" t="str">
            <v>Adoquin rectangular gris de 20x10x8 cm.</v>
          </cell>
        </row>
        <row r="67">
          <cell r="A67" t="str">
            <v>Adoquin tactil guia o alerta 20 x 20 x 6. Color amarilla</v>
          </cell>
        </row>
        <row r="68">
          <cell r="A68" t="str">
            <v>Adoquin tactil guia o alerta 20 x 20 x 6. Color gris.</v>
          </cell>
        </row>
        <row r="69">
          <cell r="A69" t="str">
            <v>Alambre de puas</v>
          </cell>
        </row>
        <row r="70">
          <cell r="A70" t="str">
            <v>Alambre galv C. 12</v>
          </cell>
        </row>
        <row r="71">
          <cell r="A71" t="str">
            <v>Alambre No 10 AWG-CU-THHN/THWN-90ºC</v>
          </cell>
        </row>
        <row r="72">
          <cell r="A72" t="str">
            <v>Alambre No 12 AWG-CU-THHN/THWN-90 ºC</v>
          </cell>
        </row>
        <row r="73">
          <cell r="A73" t="str">
            <v>Alambre recocido C 18</v>
          </cell>
        </row>
        <row r="74">
          <cell r="A74" t="str">
            <v>Alambron  de aleacion de aluminio, silicio 8mm 50mm2</v>
          </cell>
        </row>
        <row r="75">
          <cell r="A75" t="str">
            <v>Alcorque maint de 40 (interno)</v>
          </cell>
        </row>
        <row r="76">
          <cell r="A76" t="str">
            <v>Alcorque prefabricado esquinero de 40cm</v>
          </cell>
        </row>
        <row r="77">
          <cell r="A77" t="str">
            <v xml:space="preserve">Alfarda 21/2" x 6 comercial </v>
          </cell>
        </row>
        <row r="78">
          <cell r="A78" t="str">
            <v>Alfombra modular 50x50xreferencia 1 st avenue color camel numero 8148</v>
          </cell>
        </row>
        <row r="79">
          <cell r="A79" t="str">
            <v>Amarres teja Ajota</v>
          </cell>
        </row>
        <row r="80">
          <cell r="A80" t="str">
            <v>Amarres teja eternit</v>
          </cell>
        </row>
        <row r="81">
          <cell r="A81" t="str">
            <v>Amarres y costales de fique para siembra y transplante de árboles</v>
          </cell>
        </row>
        <row r="82">
          <cell r="A82" t="str">
            <v>Amplificador 270 W a 70/100v x 2, 270 W a 4 Ohmios x 2, 135 W a 8 ohmios x 2. Filtros hi-pass en 50 Hz, o 300Hz.</v>
          </cell>
        </row>
        <row r="83">
          <cell r="A83" t="str">
            <v>Amplificador de Potencia, para red de sonido de 1.600-WTS - RMS.</v>
          </cell>
        </row>
        <row r="84">
          <cell r="A84" t="str">
            <v>Anclaje Cuña de expansión de 1/2" x 3 3/4"</v>
          </cell>
        </row>
        <row r="85">
          <cell r="A85" t="str">
            <v>Anclaje epoxico RE500 de 1/2" para refuerzo de d=5/8" profundidad=0,15 m.</v>
          </cell>
        </row>
        <row r="86">
          <cell r="A86" t="str">
            <v>Anclaje para PTS en losa de STEELDECK</v>
          </cell>
        </row>
        <row r="87">
          <cell r="A87" t="str">
            <v>Angulo de 1 1/2" x 3/16"</v>
          </cell>
        </row>
        <row r="88">
          <cell r="A88" t="str">
            <v>Angulo de 1" x 1/8"</v>
          </cell>
        </row>
        <row r="89">
          <cell r="A89" t="str">
            <v>Angulo de 1" x3,16"</v>
          </cell>
        </row>
        <row r="90">
          <cell r="A90" t="str">
            <v>Angulo de 11/4" x 3/16"</v>
          </cell>
        </row>
        <row r="91">
          <cell r="A91" t="str">
            <v>Angulo de 2" x 3/16"</v>
          </cell>
        </row>
        <row r="92">
          <cell r="A92" t="str">
            <v>Angulo de cuelga</v>
          </cell>
        </row>
        <row r="93">
          <cell r="A93" t="str">
            <v>Angulo metalico de 2" x 1/4"</v>
          </cell>
        </row>
        <row r="94">
          <cell r="A94" t="str">
            <v>Angulo metalico de 4"x4"x3/8"</v>
          </cell>
        </row>
        <row r="95">
          <cell r="A95" t="str">
            <v>Angulo perimetral calibre 26, longitud 2.44 m,  para cielo raso en Drywall</v>
          </cell>
        </row>
        <row r="96">
          <cell r="A96" t="str">
            <v>Angulo sup de 11/2" x 11/2" x 1/8"</v>
          </cell>
        </row>
        <row r="97">
          <cell r="A97" t="str">
            <v>Arbol Guayacan de H= 3.00 m.</v>
          </cell>
        </row>
        <row r="98">
          <cell r="A98" t="str">
            <v>Arena de cuarzo 12-20 con transporte</v>
          </cell>
        </row>
        <row r="99">
          <cell r="A99" t="str">
            <v>Arena de pega con transporte</v>
          </cell>
        </row>
        <row r="100">
          <cell r="A100" t="str">
            <v>Arena de revoque con transporte</v>
          </cell>
        </row>
        <row r="101">
          <cell r="A101" t="str">
            <v>Arena fina de concreto con transporte</v>
          </cell>
        </row>
        <row r="102">
          <cell r="A102" t="str">
            <v xml:space="preserve">Arenilla con transporte </v>
          </cell>
        </row>
        <row r="103">
          <cell r="A103" t="str">
            <v>Arenon chino</v>
          </cell>
        </row>
        <row r="104">
          <cell r="A104" t="str">
            <v>Aviso acralico abierto-cerrado para gas</v>
          </cell>
        </row>
        <row r="105">
          <cell r="A105" t="str">
            <v>Aviso acrilico para regulacion de gas</v>
          </cell>
        </row>
        <row r="106">
          <cell r="A106" t="str">
            <v>Aviso en acero inoxidable 304</v>
          </cell>
        </row>
        <row r="107">
          <cell r="A107" t="str">
            <v>Bafle de 5"- 15/20-Wts en linea  RMS, Con identificacion del cable polarizado y con TAPS de impedancia.       o s</v>
          </cell>
        </row>
        <row r="108">
          <cell r="A108" t="str">
            <v>Baldosa de Grano Monocapa fondo crema T-1-2-C, de 30x30 cm e= 2 cm.</v>
          </cell>
        </row>
        <row r="109">
          <cell r="A109" t="str">
            <v>Baldosa grano trani 1-2 roca</v>
          </cell>
        </row>
        <row r="110">
          <cell r="A110" t="str">
            <v>Baldosa Monocapa en Grano Lavado Travertino No 1-2, Fondo Crema, de 30x30 cm e= 2 cm.</v>
          </cell>
        </row>
        <row r="111">
          <cell r="A111" t="str">
            <v xml:space="preserve">Baldosa monocolor 25 x25 </v>
          </cell>
        </row>
        <row r="112">
          <cell r="A112" t="str">
            <v>Baldosin tipo Corona 25 x 25 cm</v>
          </cell>
        </row>
        <row r="113">
          <cell r="A113" t="str">
            <v>Banca tipo Socoda o equivalente con espaldar en tuberia 2" Cal 16 acero inoxidable, soporte lamina col rolle y acero inoxidable</v>
          </cell>
        </row>
        <row r="114">
          <cell r="A114" t="str">
            <v>Bandeja de equipos para rack 34</v>
          </cell>
        </row>
        <row r="115">
          <cell r="A115" t="str">
            <v>Bandeja para cable de fibra</v>
          </cell>
        </row>
        <row r="116">
          <cell r="A116" t="str">
            <v>Bandeja portacable de 20X8 CMS</v>
          </cell>
        </row>
        <row r="117">
          <cell r="A117" t="str">
            <v>Barniz</v>
          </cell>
        </row>
        <row r="118">
          <cell r="A118" t="str">
            <v>Barra discapacitados de 18" acero inox de 11/4"</v>
          </cell>
        </row>
        <row r="119">
          <cell r="A119" t="str">
            <v>Barra discapacitados de 30" acero inox de 11/4"</v>
          </cell>
        </row>
        <row r="120">
          <cell r="A120" t="str">
            <v>Barra discapacitados de L = 150 mm. En  acero inox de 11/4"</v>
          </cell>
        </row>
        <row r="121">
          <cell r="A121" t="str">
            <v>Barra para discapacitados en acero inoxidable L=0.6 m x 1/4"</v>
          </cell>
        </row>
        <row r="122">
          <cell r="A122" t="str">
            <v>Barrade puesta a tierra</v>
          </cell>
        </row>
        <row r="123">
          <cell r="A123" t="str">
            <v>Base anticorrosiva y adherente</v>
          </cell>
        </row>
        <row r="124">
          <cell r="A124" t="str">
            <v>Base anticorrosiva y adherente</v>
          </cell>
        </row>
        <row r="125">
          <cell r="A125" t="str">
            <v>Base de concreto 80x40x30 cm</v>
          </cell>
        </row>
        <row r="126">
          <cell r="A126" t="str">
            <v>Base Granular con transporte</v>
          </cell>
        </row>
        <row r="127">
          <cell r="A127" t="str">
            <v>Base para microfono tripode c/boom</v>
          </cell>
        </row>
        <row r="128">
          <cell r="A128" t="str">
            <v>Base Wash primer (1/2 galon)</v>
          </cell>
        </row>
        <row r="129">
          <cell r="A129" t="str">
            <v>Bateria 12v - 7 ah</v>
          </cell>
        </row>
        <row r="130">
          <cell r="A130" t="str">
            <v>Bisagra metalica trabajo pesado en platina  de 4" x1"</v>
          </cell>
        </row>
        <row r="131">
          <cell r="A131" t="str">
            <v>Bloque de concreto catalan color blanco de 10x15x30. Incluye transporte hasta la obra</v>
          </cell>
        </row>
        <row r="132">
          <cell r="A132" t="str">
            <v>Bloque de concreto R-10 Mpa (2p intermedio) de 0,15 x 0,20 x 0,40 m.</v>
          </cell>
        </row>
        <row r="133">
          <cell r="A133" t="str">
            <v>Bloque de concreto R-10 Mpa (3p intermedio) de 0,10 x 0,20 x 0,40 m.</v>
          </cell>
        </row>
        <row r="134">
          <cell r="A134" t="str">
            <v>Bloque de concreto R-10 Mpa (3p intermedio) de 0,20 x 0,20 x 0,40 m.</v>
          </cell>
        </row>
        <row r="135">
          <cell r="A135" t="str">
            <v>Bloque de concreto R-13 Mpa (2p intermedio) de 0,15 x 0,20 x 0,40 m.</v>
          </cell>
        </row>
        <row r="136">
          <cell r="A136" t="str">
            <v>Bloque de concreto R-8 Mpa (3p intermedio) de 0,10 x 0,20 x 0,40 m.</v>
          </cell>
        </row>
        <row r="137">
          <cell r="A137" t="str">
            <v>Bloque ecologico gramoquin 16x16x8</v>
          </cell>
        </row>
        <row r="138">
          <cell r="A138" t="str">
            <v>Bloque insulux dekora traslucido</v>
          </cell>
        </row>
        <row r="139">
          <cell r="A139" t="str">
            <v>Bloque terminal Doble para procesamiento de señal digital fantasma. ( Incluye fuente de 24 VDC, 10 filtros de entrada)</v>
          </cell>
        </row>
        <row r="140">
          <cell r="A140" t="str">
            <v>Bloque terminal Salidas balanceadas Doble para procesamiento digital de señal. ( Incluye fuente de 24 VDC, 10 filtros</v>
          </cell>
        </row>
        <row r="141">
          <cell r="A141" t="str">
            <v>Bombeo Concreto</v>
          </cell>
        </row>
        <row r="142">
          <cell r="A142" t="str">
            <v>Bombilla ahorradora 20W</v>
          </cell>
        </row>
        <row r="143">
          <cell r="A143" t="str">
            <v>Boquilla 1"</v>
          </cell>
        </row>
        <row r="144">
          <cell r="A144" t="str">
            <v>Boquilla 1/2"</v>
          </cell>
        </row>
        <row r="145">
          <cell r="A145" t="str">
            <v>Boquilla 2"</v>
          </cell>
        </row>
        <row r="146">
          <cell r="A146" t="str">
            <v>Boquilla 3/4"</v>
          </cell>
        </row>
        <row r="147">
          <cell r="A147" t="str">
            <v>Boquilla Blanca (concolor 5-15)- Sumicol</v>
          </cell>
        </row>
        <row r="148">
          <cell r="A148" t="str">
            <v xml:space="preserve">Boquilla concolor </v>
          </cell>
        </row>
        <row r="149">
          <cell r="A149" t="str">
            <v>Boquilla de 1 1/2 en bronce</v>
          </cell>
        </row>
        <row r="150">
          <cell r="A150" t="str">
            <v>Boquilla galv C24</v>
          </cell>
        </row>
        <row r="151">
          <cell r="A151" t="str">
            <v>Boquilla galvanizada de 1"</v>
          </cell>
        </row>
        <row r="152">
          <cell r="A152" t="str">
            <v>Boquilla galvanizada de 1-1/2"</v>
          </cell>
        </row>
        <row r="153">
          <cell r="A153" t="str">
            <v>Boquilla Galvanizada de 2"</v>
          </cell>
        </row>
        <row r="154">
          <cell r="A154" t="str">
            <v>Boquilla Galvanizada de 3"</v>
          </cell>
        </row>
        <row r="155">
          <cell r="A155" t="str">
            <v>Boquilla galvanizada de 3/4" con contratuerca</v>
          </cell>
        </row>
        <row r="156">
          <cell r="A156" t="str">
            <v>Borax</v>
          </cell>
        </row>
        <row r="157">
          <cell r="A157" t="str">
            <v>Bordillo para rebaje 60 cm, incluye transporte</v>
          </cell>
        </row>
        <row r="158">
          <cell r="A158" t="str">
            <v>Bordillo rectangular 15 x 45 x 40, incluye transporte</v>
          </cell>
        </row>
        <row r="159">
          <cell r="A159" t="str">
            <v>Bordillo remontable 15 x 45 x80, incluye transporte</v>
          </cell>
        </row>
        <row r="160">
          <cell r="A160" t="str">
            <v>Botonera analoga X5 (00LVS-05W)</v>
          </cell>
        </row>
        <row r="161">
          <cell r="A161" t="str">
            <v>brazo escualizable de 10" para sist VP-3831</v>
          </cell>
        </row>
        <row r="162">
          <cell r="A162" t="str">
            <v>Breaker bipolar enchufable 20-50Amperios</v>
          </cell>
        </row>
        <row r="163">
          <cell r="A163" t="str">
            <v>Breaker industrial ABB 240V - 250A</v>
          </cell>
        </row>
        <row r="164">
          <cell r="A164" t="str">
            <v>Breaker industrial SIEMENS 3x15-2x63A</v>
          </cell>
        </row>
        <row r="165">
          <cell r="A165" t="str">
            <v>Breaker monopolar enchufable 15-50Amperios</v>
          </cell>
        </row>
        <row r="166">
          <cell r="A166" t="str">
            <v>Brida de 4"</v>
          </cell>
        </row>
        <row r="167">
          <cell r="A167" t="str">
            <v>Brida de 6"</v>
          </cell>
        </row>
        <row r="168">
          <cell r="A168" t="str">
            <v>Brida de fijacion 4", sanit incluye tapon roscado y tornillos de fijacion</v>
          </cell>
        </row>
        <row r="169">
          <cell r="A169" t="str">
            <v>Broca de 3/8" para concreto.</v>
          </cell>
        </row>
        <row r="170">
          <cell r="A170" t="str">
            <v>Broca de 3/8" para concreto.(gas)</v>
          </cell>
        </row>
        <row r="171">
          <cell r="A171" t="str">
            <v>Broca HSS de 3/8" para metal tipo Dewalt.</v>
          </cell>
        </row>
        <row r="172">
          <cell r="A172" t="str">
            <v>Buje soldado PVC-P de 1 1/2" a 1 1/4"</v>
          </cell>
        </row>
        <row r="173">
          <cell r="A173" t="str">
            <v>Buje soldado PVC-P de 1 1/2" a 1"</v>
          </cell>
        </row>
        <row r="174">
          <cell r="A174" t="str">
            <v>Buje soldado PVC-P de 1 1/2" a 1/2"</v>
          </cell>
        </row>
        <row r="175">
          <cell r="A175" t="str">
            <v>Buje soldado PVC-P de 1 1/2" a 3/4"</v>
          </cell>
        </row>
        <row r="176">
          <cell r="A176" t="str">
            <v>Buje soldado PVC-P de 1" a 1/2"</v>
          </cell>
        </row>
        <row r="177">
          <cell r="A177" t="str">
            <v>Buje soldado PVC-P de 2 ½" a 1 1½"</v>
          </cell>
        </row>
        <row r="178">
          <cell r="A178" t="str">
            <v>Buje soldado PVC-P de 2 1/2" a 1 1/2"</v>
          </cell>
        </row>
        <row r="179">
          <cell r="A179" t="str">
            <v>Buje soldado PVC-P de 2" a 1 1/4"</v>
          </cell>
        </row>
        <row r="180">
          <cell r="A180" t="str">
            <v>Buje soldado PVC-P de 2" a 1 1½"</v>
          </cell>
        </row>
        <row r="181">
          <cell r="A181" t="str">
            <v>Buje soldado PVC-P de 2" a 1"</v>
          </cell>
        </row>
        <row r="182">
          <cell r="A182" t="str">
            <v>Buje soldado PVC-P de 2" a 1/2"</v>
          </cell>
        </row>
        <row r="183">
          <cell r="A183" t="str">
            <v>Buje soldado PVC-P de 3" a 2 1/2"</v>
          </cell>
        </row>
        <row r="184">
          <cell r="A184" t="str">
            <v>Buje soldado PVC-P de 3/4" a 1/2"</v>
          </cell>
        </row>
        <row r="185">
          <cell r="A185" t="str">
            <v>Buje soldado PVC-S de 2x11/2"</v>
          </cell>
        </row>
        <row r="186">
          <cell r="A186" t="str">
            <v>Buje soldado PVC-S de 3" a 2"</v>
          </cell>
        </row>
        <row r="187">
          <cell r="A187" t="str">
            <v>Buje soldado PVC-S de 4" a 2"</v>
          </cell>
        </row>
        <row r="188">
          <cell r="A188" t="str">
            <v>Buje soldado PVC-S de 4" a 3"</v>
          </cell>
        </row>
        <row r="189">
          <cell r="A189" t="str">
            <v>Caballete eternit</v>
          </cell>
        </row>
        <row r="190">
          <cell r="A190" t="str">
            <v>Cable 50 pares telefonico 0.4mm, barrera contra humedad.</v>
          </cell>
        </row>
        <row r="191">
          <cell r="A191" t="str">
            <v>cable blindado stereo para microfono</v>
          </cell>
        </row>
        <row r="192">
          <cell r="A192" t="str">
            <v>Cable blindado stereo RCA 2x1, Para procesos.</v>
          </cell>
        </row>
        <row r="193">
          <cell r="A193" t="str">
            <v>Cable desnudo de Cu No. 1/0</v>
          </cell>
        </row>
        <row r="194">
          <cell r="A194" t="str">
            <v>Cable encauchetado 2X18 AWG</v>
          </cell>
        </row>
        <row r="195">
          <cell r="A195" t="str">
            <v>Cable encauchetado ST 2X16 AWG</v>
          </cell>
        </row>
        <row r="196">
          <cell r="A196" t="str">
            <v>Cable fibra optica</v>
          </cell>
        </row>
        <row r="197">
          <cell r="A197" t="str">
            <v>Cable neoprene 2x18 doble chaqueta BH, uso exterior</v>
          </cell>
        </row>
        <row r="198">
          <cell r="A198" t="str">
            <v>Cable No 1/0 AWG-CUTHHN/THWN-90ºC</v>
          </cell>
        </row>
        <row r="199">
          <cell r="A199" t="str">
            <v>Cable No 3x14 AWG encauchetado</v>
          </cell>
        </row>
        <row r="200">
          <cell r="A200" t="str">
            <v>Cable No10 AWG-CU-THHN/THWN-90 ºC</v>
          </cell>
        </row>
        <row r="201">
          <cell r="A201" t="str">
            <v>cable No12 AWG-CU-THHN/THWN-90 ºC</v>
          </cell>
        </row>
        <row r="202">
          <cell r="A202" t="str">
            <v>Cable No2 AWG-CU-THHN/THWN-90 ºC</v>
          </cell>
        </row>
        <row r="203">
          <cell r="A203" t="str">
            <v>Cable No2/0 AWG-CU-THHN/THWN-90ºC</v>
          </cell>
        </row>
        <row r="204">
          <cell r="A204" t="str">
            <v>Cable No4 AWG-CU-THHN/THWN-90 ºC</v>
          </cell>
        </row>
        <row r="205">
          <cell r="A205" t="str">
            <v>Cable No6 AWG-CU-THHN/THWN-90 ºC</v>
          </cell>
        </row>
        <row r="206">
          <cell r="A206" t="str">
            <v>Cable No8 AWG-CU-THHN/THWN-90 ºC</v>
          </cell>
        </row>
        <row r="207">
          <cell r="A207" t="str">
            <v>Cable polarizado 2x18 para sonido</v>
          </cell>
        </row>
        <row r="208">
          <cell r="A208" t="str">
            <v>Cable TV, RG-6 al 90%</v>
          </cell>
        </row>
        <row r="209">
          <cell r="A209" t="str">
            <v>Cable UTP cat 6 BH de cuatro pares</v>
          </cell>
        </row>
        <row r="210">
          <cell r="A210" t="str">
            <v>Cable UTP Cat 6 de 4 pares</v>
          </cell>
        </row>
        <row r="211">
          <cell r="A211" t="str">
            <v>Cable UTP, cat 6 incluye plug RJ-45</v>
          </cell>
        </row>
        <row r="212">
          <cell r="A212" t="str">
            <v>Caja  12x12 de sobreponer con tapa suplemento  calibre 20.</v>
          </cell>
        </row>
        <row r="213">
          <cell r="A213" t="str">
            <v>Caja  12x12x5 de sobreponer con tapa lisa calibre 20</v>
          </cell>
        </row>
        <row r="214">
          <cell r="A214" t="str">
            <v>Caja  4"x4" metalica galvanizada con tapa suplemento.</v>
          </cell>
        </row>
        <row r="215">
          <cell r="A215" t="str">
            <v>Caja  4"x4" metalica PVC  con tapa lisa.</v>
          </cell>
        </row>
        <row r="216">
          <cell r="A216" t="str">
            <v>Caja 10x10 cal 20 metalica galvanizada  con tapa atornillada</v>
          </cell>
        </row>
        <row r="217">
          <cell r="A217" t="str">
            <v>Caja 15x15 calibre 20</v>
          </cell>
        </row>
        <row r="218">
          <cell r="A218" t="str">
            <v>Caja 20x20 x15 tornillos</v>
          </cell>
        </row>
        <row r="219">
          <cell r="A219" t="str">
            <v>Caja 30x30 x15 telefónica cal 18</v>
          </cell>
        </row>
        <row r="220">
          <cell r="A220" t="str">
            <v>Caja 40x40 x15 telefonica cal 18</v>
          </cell>
        </row>
        <row r="221">
          <cell r="A221" t="str">
            <v>Caja 40x40 x20 telefonica cal 18</v>
          </cell>
        </row>
        <row r="222">
          <cell r="A222" t="str">
            <v>Caja de Empalme domiciliaria</v>
          </cell>
        </row>
        <row r="223">
          <cell r="A223" t="str">
            <v>Cajas de piso 60x80 para telecomunicaciones</v>
          </cell>
        </row>
        <row r="224">
          <cell r="A224" t="str">
            <v>Cal blanca hidratada por saco de 10 kg</v>
          </cell>
        </row>
        <row r="225">
          <cell r="A225" t="str">
            <v>Calado ceramico de 20 x 20 cm.</v>
          </cell>
        </row>
        <row r="226">
          <cell r="A226" t="str">
            <v>Camara 1/3" super Sony</v>
          </cell>
        </row>
        <row r="227">
          <cell r="A227" t="str">
            <v>Camara analoga, 1/3"  Sony Super HAD CCD, 270K</v>
          </cell>
        </row>
        <row r="228">
          <cell r="A228" t="str">
            <v>Camara IP,  C,CS,VIDEO,DC Auto Iris Lens/ OSD / 4 Programable Privacy Zone/Motion Detection,DNR(Digital Noise Reducti</v>
          </cell>
        </row>
        <row r="229">
          <cell r="A229" t="str">
            <v>Camara, 1/3"  Sony Super HAD CCD, 410K  /    Next 2120 Chipset</v>
          </cell>
        </row>
        <row r="230">
          <cell r="A230" t="str">
            <v>Campanilla tipo industrial</v>
          </cell>
        </row>
        <row r="231">
          <cell r="A231" t="str">
            <v>Canal 90</v>
          </cell>
        </row>
        <row r="232">
          <cell r="A232" t="str">
            <v>Canaleta metalica 12x5 cms, cal No 18 USG</v>
          </cell>
        </row>
        <row r="233">
          <cell r="A233" t="str">
            <v>Canastilla lavaplatos 4" sifon en P - Grival</v>
          </cell>
        </row>
        <row r="234">
          <cell r="A234" t="str">
            <v>Canoa en L  Long =1 m. c 24 +pintura</v>
          </cell>
        </row>
        <row r="235">
          <cell r="A235" t="str">
            <v>Canoa en U L=0,70 m. c 24 +pintura</v>
          </cell>
        </row>
        <row r="236">
          <cell r="A236" t="str">
            <v>Canoa en U L=1 m. c 24 +pintura</v>
          </cell>
        </row>
        <row r="237">
          <cell r="A237" t="str">
            <v>Canoa Galvanizada Cal.24, L= 1.00 m.</v>
          </cell>
        </row>
        <row r="238">
          <cell r="A238" t="str">
            <v xml:space="preserve">Carguera 4" x8" </v>
          </cell>
        </row>
        <row r="239">
          <cell r="A239" t="str">
            <v>Carnaza (bolsa x Kg)</v>
          </cell>
        </row>
        <row r="240">
          <cell r="A240" t="str">
            <v>Carton corrugado proteccion piso ancho 1.33m</v>
          </cell>
        </row>
        <row r="241">
          <cell r="A241" t="str">
            <v>Cascajo sucio con transporte</v>
          </cell>
        </row>
        <row r="242">
          <cell r="A242" t="str">
            <v>Caseton de madera recuperable</v>
          </cell>
        </row>
        <row r="243">
          <cell r="A243" t="str">
            <v>Catalizador para pintura de poliuretano</v>
          </cell>
        </row>
        <row r="244">
          <cell r="A244" t="str">
            <v>Catalizador Para Pintura Epoxico Poliamida</v>
          </cell>
        </row>
        <row r="245">
          <cell r="A245" t="str">
            <v>Cemento blanco (saco 40 kilos)</v>
          </cell>
        </row>
        <row r="246">
          <cell r="A246" t="str">
            <v>Cemento ceramico IPB (25kg)</v>
          </cell>
        </row>
        <row r="247">
          <cell r="A247" t="str">
            <v>Cemento de color, en saco de 25 kg. Incluye transporte.</v>
          </cell>
        </row>
        <row r="248">
          <cell r="A248" t="str">
            <v>Cemento expansivo tipo Cras, No explosivo</v>
          </cell>
        </row>
        <row r="249">
          <cell r="A249" t="str">
            <v>Cemento gris x 50 kg</v>
          </cell>
        </row>
        <row r="250">
          <cell r="A250" t="str">
            <v>Cemento portland tipo 1, por saco de 50 kl</v>
          </cell>
        </row>
        <row r="251">
          <cell r="A251" t="str">
            <v>Cenefa decorada</v>
          </cell>
        </row>
        <row r="252">
          <cell r="A252" t="str">
            <v>Cera Polimérica líquida para pisos.</v>
          </cell>
        </row>
        <row r="253">
          <cell r="A253" t="str">
            <v>Ceramica 20 x 30 Corona o Similar</v>
          </cell>
        </row>
        <row r="254">
          <cell r="A254" t="str">
            <v>Ceramica Duropiso de 33.8x33.8 cm. Color blanco - Corona o equivalente</v>
          </cell>
        </row>
        <row r="255">
          <cell r="A255" t="str">
            <v>Ceramica pared egeo de 0,20 5 x 0,205 m. blanca</v>
          </cell>
        </row>
        <row r="256">
          <cell r="A256" t="str">
            <v>Ceramica Rio de 0.425*0.425</v>
          </cell>
        </row>
        <row r="257">
          <cell r="A257" t="str">
            <v>Cerradura de seguridad yale doble tambor</v>
          </cell>
        </row>
        <row r="258">
          <cell r="A258" t="str">
            <v>cerradura manija sencilla sist VP-3831</v>
          </cell>
        </row>
        <row r="259">
          <cell r="A259" t="str">
            <v>Cerradura Yale embutir pico loro de seguridad</v>
          </cell>
        </row>
        <row r="260">
          <cell r="A260" t="str">
            <v>Chapa catalan 15 x 30 cm.</v>
          </cell>
        </row>
        <row r="261">
          <cell r="A261" t="str">
            <v>Chapa con llave para tablero electrico</v>
          </cell>
        </row>
        <row r="262">
          <cell r="A262" t="str">
            <v>chazos y tornillos</v>
          </cell>
        </row>
        <row r="263">
          <cell r="A263" t="str">
            <v>Chazos y tornillos para inst mueble laboratorio</v>
          </cell>
        </row>
        <row r="264">
          <cell r="A264" t="str">
            <v>Chazos, conectores, encintada, tornillos</v>
          </cell>
        </row>
        <row r="265">
          <cell r="A265" t="str">
            <v>Cheque cortina de 1 1/2"</v>
          </cell>
        </row>
        <row r="266">
          <cell r="A266" t="str">
            <v>Cheque cortina de 1"</v>
          </cell>
        </row>
        <row r="267">
          <cell r="A267" t="str">
            <v>Cheque vertical de 3" para red contra incendio con aprobacion UL FM</v>
          </cell>
        </row>
        <row r="268">
          <cell r="A268" t="str">
            <v>Cicatrizante hormonal</v>
          </cell>
        </row>
        <row r="269">
          <cell r="A269" t="str">
            <v>Cilindro camara 1.20 (ext 0.20m)</v>
          </cell>
        </row>
        <row r="270">
          <cell r="A270" t="str">
            <v>Cilindro camara 1.20 (ext 0.50m)</v>
          </cell>
        </row>
        <row r="271">
          <cell r="A271" t="str">
            <v>Cilindro camara 1.20 (ext 1.00m)</v>
          </cell>
        </row>
        <row r="272">
          <cell r="A272" t="str">
            <v>Cinta 3M 18mm x 10m</v>
          </cell>
        </row>
        <row r="273">
          <cell r="A273" t="str">
            <v>Cinta bandir para bajante, incluye hebillas</v>
          </cell>
        </row>
        <row r="274">
          <cell r="A274" t="str">
            <v>Cinta de papel de 5 cm * 75 m para placas de yeso en el sistema drywall</v>
          </cell>
        </row>
        <row r="275">
          <cell r="A275" t="str">
            <v>Cinta de señalizacion para gas</v>
          </cell>
        </row>
        <row r="276">
          <cell r="A276" t="str">
            <v>Cinta doble faz de 12 mm. x 10 m.</v>
          </cell>
        </row>
        <row r="277">
          <cell r="A277" t="str">
            <v>Cinta en fibra de vidrio 91,5 m.</v>
          </cell>
        </row>
        <row r="278">
          <cell r="A278" t="str">
            <v>Cinta en fibra de vidrio de 50 mm.</v>
          </cell>
        </row>
        <row r="279">
          <cell r="A279" t="str">
            <v>Cinta perimetral para acabado en cielos</v>
          </cell>
        </row>
        <row r="280">
          <cell r="A280" t="str">
            <v>Cinta Sellante Teflon 1/2"x10 m.</v>
          </cell>
        </row>
        <row r="281">
          <cell r="A281" t="str">
            <v>Clavija con polo a tierra</v>
          </cell>
        </row>
        <row r="282">
          <cell r="A282" t="str">
            <v>Clavo comun</v>
          </cell>
        </row>
        <row r="283">
          <cell r="A283" t="str">
            <v>Clavos de 1"</v>
          </cell>
        </row>
        <row r="284">
          <cell r="A284" t="str">
            <v>clavos de 11/2"/2"</v>
          </cell>
        </row>
        <row r="285">
          <cell r="A285" t="str">
            <v>Clip de fijacion</v>
          </cell>
        </row>
        <row r="286">
          <cell r="A286" t="str">
            <v>Cobertura toscana</v>
          </cell>
        </row>
        <row r="287">
          <cell r="A287" t="str">
            <v>Cobertura vegetal con siete cueros, chochos, helechos arboreos. Incluye mano de obra</v>
          </cell>
        </row>
        <row r="288">
          <cell r="A288" t="str">
            <v>Codo 45º de Cobre, Ø= ½".</v>
          </cell>
        </row>
        <row r="289">
          <cell r="A289" t="str">
            <v>Codo 45º de Cobre, Ø= 3/4".</v>
          </cell>
        </row>
        <row r="290">
          <cell r="A290" t="str">
            <v>Codo 45º PVC-P Ø= 2"</v>
          </cell>
        </row>
        <row r="291">
          <cell r="A291" t="str">
            <v>Codo 90º bridado de hierro ductil de d= 4"</v>
          </cell>
        </row>
        <row r="292">
          <cell r="A292" t="str">
            <v>Codo 90º bridado de hierro ductil de d= 6"</v>
          </cell>
        </row>
        <row r="293">
          <cell r="A293" t="str">
            <v>Codo 90º de Cobre, Ø= ½".</v>
          </cell>
        </row>
        <row r="294">
          <cell r="A294" t="str">
            <v>Codo 90º de Cobre, Ø= 3/4".</v>
          </cell>
        </row>
        <row r="295">
          <cell r="A295" t="str">
            <v>Codo 90º de hierro ductil de d= 4"</v>
          </cell>
        </row>
        <row r="296">
          <cell r="A296" t="str">
            <v>Codo 90º PVC-P d= 1 1/2"</v>
          </cell>
        </row>
        <row r="297">
          <cell r="A297" t="str">
            <v>Codo 90º PVC-P d= 1"</v>
          </cell>
        </row>
        <row r="298">
          <cell r="A298" t="str">
            <v>Codo 90º PVC-P d= 1/2"</v>
          </cell>
        </row>
        <row r="299">
          <cell r="A299" t="str">
            <v>Codo 90º PVC-P d= 11/2"</v>
          </cell>
        </row>
        <row r="300">
          <cell r="A300" t="str">
            <v>Codo 90º PVC-P d= 2 1/2"</v>
          </cell>
        </row>
        <row r="301">
          <cell r="A301" t="str">
            <v>Codo 90º PVC-P d= 3/4"</v>
          </cell>
        </row>
        <row r="302">
          <cell r="A302" t="str">
            <v>Codo 90º PVC-P Ø= 2 1/2"</v>
          </cell>
        </row>
        <row r="303">
          <cell r="A303" t="str">
            <v>Codo 90º PVC-P Ø= 2"</v>
          </cell>
        </row>
        <row r="304">
          <cell r="A304" t="str">
            <v>Codo 90º PVC-Presion, d= 1/2" - Pavco o equivalente.</v>
          </cell>
        </row>
        <row r="305">
          <cell r="A305" t="str">
            <v>Codo 90º PVC-Presion, d= 3" - Pavco o equivalente.</v>
          </cell>
        </row>
        <row r="306">
          <cell r="A306" t="str">
            <v>Codo 90º PVC-Presion, d= 3/4" - Pavco o equivalente.</v>
          </cell>
        </row>
        <row r="307">
          <cell r="A307" t="str">
            <v>Codo 90º ranurado d= 1 1/2" UL/FM</v>
          </cell>
        </row>
        <row r="308">
          <cell r="A308" t="str">
            <v>Codo 90º ranurado d= 1 1/4" UL/FM</v>
          </cell>
        </row>
        <row r="309">
          <cell r="A309" t="str">
            <v>Codo 90º ranurado d= 2 1/2" UL/FM</v>
          </cell>
        </row>
        <row r="310">
          <cell r="A310" t="str">
            <v>Codo 90º ranurado d= 3" UL/FM</v>
          </cell>
        </row>
        <row r="311">
          <cell r="A311" t="str">
            <v>Codo cobre para agua caliente 1/2"</v>
          </cell>
        </row>
        <row r="312">
          <cell r="A312" t="str">
            <v>Codo cobre para agua caliente 3/4"</v>
          </cell>
        </row>
        <row r="313">
          <cell r="A313" t="str">
            <v>Codo de 450º en acero galvanizado de 3/4"</v>
          </cell>
        </row>
        <row r="314">
          <cell r="A314" t="str">
            <v>Codo de 45º en acero galvanizado de 1/2"</v>
          </cell>
        </row>
        <row r="315">
          <cell r="A315" t="str">
            <v>Codo de 90º en acero galvanizado de 1/2"</v>
          </cell>
        </row>
        <row r="316">
          <cell r="A316" t="str">
            <v>Codo de 90º en acero galvanizado de 3/4"</v>
          </cell>
        </row>
        <row r="317">
          <cell r="A317" t="str">
            <v>Codo de 90º exterior (calle), en acero galvanizado de 1/2"</v>
          </cell>
        </row>
        <row r="318">
          <cell r="A318" t="str">
            <v>Codo de 90º exterior(calle), en acero galvanizado de 3/4"</v>
          </cell>
        </row>
        <row r="319">
          <cell r="A319" t="str">
            <v>Codo de cobre 45 de 1 1/2"</v>
          </cell>
        </row>
        <row r="320">
          <cell r="A320" t="str">
            <v>Codo de cobre 45 de 1"</v>
          </cell>
        </row>
        <row r="321">
          <cell r="A321" t="str">
            <v>Codo de cobre de 1 1/2"</v>
          </cell>
        </row>
        <row r="322">
          <cell r="A322" t="str">
            <v>Codo de cobre de 1"</v>
          </cell>
        </row>
        <row r="323">
          <cell r="A323" t="str">
            <v>Codo galvanizado 1 1/2" x 90</v>
          </cell>
        </row>
        <row r="324">
          <cell r="A324" t="str">
            <v>Codo GRAN RADIO 11.25 PLATINO, d= 6" - Pavco o equivalente.</v>
          </cell>
        </row>
        <row r="325">
          <cell r="A325" t="str">
            <v>Codo GRAN RADIO 22.5 PLATINO, d= 6" - Pavco o equivalente.</v>
          </cell>
        </row>
        <row r="326">
          <cell r="A326" t="str">
            <v>Codo GRAN RADIO 45 PLATINO, d= 6" - Pavco o equivalente.</v>
          </cell>
        </row>
        <row r="327">
          <cell r="A327" t="str">
            <v>Codo GRAN RADIO 90 PLATINO, d= 6" - Pavco o equivalente.</v>
          </cell>
        </row>
        <row r="328">
          <cell r="A328" t="str">
            <v>Codo PVC-S 45º CxC d= 1 1/2" - Pavco o equivalente.</v>
          </cell>
        </row>
        <row r="329">
          <cell r="A329" t="str">
            <v>Codo PVC-S 45º CxC d= 2" - Pavco o equivalente.</v>
          </cell>
        </row>
        <row r="330">
          <cell r="A330" t="str">
            <v>Codo PVC-S 45º CxC d= 3" - Pavco o equivalente.</v>
          </cell>
        </row>
        <row r="331">
          <cell r="A331" t="str">
            <v>Codo PVC-S 45º CxC d= 4" - Pavco o equivalente.</v>
          </cell>
        </row>
        <row r="332">
          <cell r="A332" t="str">
            <v>Codo PVC-S 45º CxC d= 6" - Pavco o equivalente.</v>
          </cell>
        </row>
        <row r="333">
          <cell r="A333" t="str">
            <v>Codo PVC-S 45º CxC d= 8" - Pavco o equivalente.</v>
          </cell>
        </row>
        <row r="334">
          <cell r="A334" t="str">
            <v>Codo PVC-S 90º CxC d= 1 1/2" - Pavco o equivalente.</v>
          </cell>
        </row>
        <row r="335">
          <cell r="A335" t="str">
            <v>Codo PVC-S 90º CxC d= 2" - Pavco o equivalente.</v>
          </cell>
        </row>
        <row r="336">
          <cell r="A336" t="str">
            <v>Codo PVC-S 90º CxC d= 3" - Pavco o equivalente.</v>
          </cell>
        </row>
        <row r="337">
          <cell r="A337" t="str">
            <v>Codo PVC-S 90º CxC d= 4" - Pavco o equivalente.</v>
          </cell>
        </row>
        <row r="338">
          <cell r="A338" t="str">
            <v>Codo PVC-S 90º CxC d= 6" - Pavco o equivalente.</v>
          </cell>
        </row>
        <row r="339">
          <cell r="A339" t="str">
            <v>Codo PVC-S 90º CxC d= 8" - Pavco o equivalente.</v>
          </cell>
        </row>
        <row r="340">
          <cell r="A340" t="str">
            <v>Codo PVC-S 90º CxE d= 3" - Pavco o equivalente.</v>
          </cell>
        </row>
        <row r="341">
          <cell r="A341" t="str">
            <v>Codo roscado 1 1/2" x 1/2 UL/FM</v>
          </cell>
        </row>
        <row r="342">
          <cell r="A342" t="str">
            <v>Codo roscado 1 UL/FM</v>
          </cell>
        </row>
        <row r="343">
          <cell r="A343" t="str">
            <v>Codo roscado 1 x 1/2 UL/FM</v>
          </cell>
        </row>
        <row r="344">
          <cell r="A344" t="str">
            <v>Color mineral</v>
          </cell>
        </row>
        <row r="345">
          <cell r="A345" t="str">
            <v>Combo dispensador de jabon Spray de 800ml mas jabon 8008 tipo familia o equivalente</v>
          </cell>
        </row>
        <row r="346">
          <cell r="A346" t="str">
            <v>Combo dispensador de papel higienico jumbo mas 1 rollo de papel higienico Ref.7115 tipo familia o equivalente</v>
          </cell>
        </row>
        <row r="347">
          <cell r="A347" t="str">
            <v>Combo dispensador de toallas de manos doblada en Z+2 paquetes de toalla de manos Ref. 7352  tipo familia o equivalente</v>
          </cell>
        </row>
        <row r="348">
          <cell r="A348" t="str">
            <v>Concreto de 14 Mpa preparado en obra</v>
          </cell>
        </row>
        <row r="349">
          <cell r="A349" t="str">
            <v>Concreto de 17.5 Mpa preparado en obra</v>
          </cell>
        </row>
        <row r="350">
          <cell r="A350" t="str">
            <v>Concreto de 21 Mpa preparado en obra</v>
          </cell>
        </row>
        <row r="351">
          <cell r="A351" t="str">
            <v>Concreto de 28 Mpa preparado en obra</v>
          </cell>
        </row>
        <row r="352">
          <cell r="A352" t="str">
            <v>Concreto de 35 Mpa preparado en obra</v>
          </cell>
        </row>
        <row r="353">
          <cell r="A353" t="str">
            <v>Concreto Grouting de 17.5 Mpa preparado en obra</v>
          </cell>
        </row>
        <row r="354">
          <cell r="A354" t="str">
            <v>Concreto Premezclado 3000 (21 Mpa)</v>
          </cell>
        </row>
        <row r="355">
          <cell r="A355" t="str">
            <v>Concreto Premezclado 3500 (28 Mpa)</v>
          </cell>
        </row>
        <row r="356">
          <cell r="A356" t="str">
            <v>Concreto Premezclado 4000 (35 Mpa)</v>
          </cell>
        </row>
        <row r="357">
          <cell r="A357" t="str">
            <v>Conduleta metalicas en L,T o recta</v>
          </cell>
        </row>
        <row r="358">
          <cell r="A358" t="str">
            <v>Conector 1/0</v>
          </cell>
        </row>
        <row r="359">
          <cell r="A359" t="str">
            <v>Conector abrazadera para pipeta</v>
          </cell>
        </row>
        <row r="360">
          <cell r="A360" t="str">
            <v>Conector compresión</v>
          </cell>
        </row>
        <row r="361">
          <cell r="A361" t="str">
            <v>Conector cu No.4-6</v>
          </cell>
        </row>
        <row r="362">
          <cell r="A362" t="str">
            <v>Conector de acero flexible inoxidable enchaquetado de 24"</v>
          </cell>
        </row>
        <row r="363">
          <cell r="A363" t="str">
            <v>Conector de compresion tipo H</v>
          </cell>
        </row>
        <row r="364">
          <cell r="A364" t="str">
            <v>Conector de medidor  MR8</v>
          </cell>
        </row>
        <row r="365">
          <cell r="A365" t="str">
            <v>Conector hembra Cu de Ø= ½"</v>
          </cell>
        </row>
        <row r="366">
          <cell r="A366" t="str">
            <v>Conector hembra de cobre 3/4"</v>
          </cell>
        </row>
        <row r="367">
          <cell r="A367" t="str">
            <v>Conector macho Cu de 3/4"</v>
          </cell>
        </row>
        <row r="368">
          <cell r="A368" t="str">
            <v>Conector macho Cu de Ø= ½".</v>
          </cell>
        </row>
        <row r="369">
          <cell r="A369" t="str">
            <v>conector neutrick speakon nl4fx para  bafle</v>
          </cell>
        </row>
        <row r="370">
          <cell r="A370" t="str">
            <v>Conector OB 1010</v>
          </cell>
        </row>
        <row r="371">
          <cell r="A371" t="str">
            <v>Conector para fibra optica multimodo SC-ST y/o LC-LC</v>
          </cell>
        </row>
        <row r="372">
          <cell r="A372" t="str">
            <v>Conector RG-6</v>
          </cell>
        </row>
        <row r="373">
          <cell r="A373" t="str">
            <v>Conector terminal bimet lico para cables 1/0, marca 3M ref 40032 aluminio con recubrimiento en bronce</v>
          </cell>
        </row>
        <row r="374">
          <cell r="A374" t="str">
            <v>Conectores cobre 1/0 con encintada.</v>
          </cell>
        </row>
        <row r="375">
          <cell r="A375" t="str">
            <v>Conectores cobre 10 y  encintada.</v>
          </cell>
        </row>
        <row r="376">
          <cell r="A376" t="str">
            <v>Conectores cobre 12 y  encintada.</v>
          </cell>
        </row>
        <row r="377">
          <cell r="A377" t="str">
            <v>Conectores cobre 2/0 y  encintada.</v>
          </cell>
        </row>
        <row r="378">
          <cell r="A378" t="str">
            <v>Conectores cobre 4 y  encintada.</v>
          </cell>
        </row>
        <row r="379">
          <cell r="A379" t="str">
            <v>Conectores cobre 6 y  encintada.</v>
          </cell>
        </row>
        <row r="380">
          <cell r="A380" t="str">
            <v>Conectores cobre 8 y  encintada.</v>
          </cell>
        </row>
        <row r="381">
          <cell r="A381" t="str">
            <v>Conectores cobre No 2 y encintada</v>
          </cell>
        </row>
        <row r="382">
          <cell r="A382" t="str">
            <v>Conectores de empalme.</v>
          </cell>
        </row>
        <row r="383">
          <cell r="A383" t="str">
            <v>Cono excentrico para camara de 1.2m</v>
          </cell>
        </row>
        <row r="384">
          <cell r="A384" t="str">
            <v>contacto. magnetico. tipo pesado</v>
          </cell>
        </row>
        <row r="385">
          <cell r="A385" t="str">
            <v>Contador de 1 1/2"</v>
          </cell>
        </row>
        <row r="386">
          <cell r="A386" t="str">
            <v>Contador de 1"</v>
          </cell>
        </row>
        <row r="387">
          <cell r="A387" t="str">
            <v>contador de lectura indirecta 1F-3H 2.5/10A 2x120V</v>
          </cell>
        </row>
        <row r="388">
          <cell r="A388" t="str">
            <v>Controladores de volumen con transformador, hasta 30 wts</v>
          </cell>
        </row>
        <row r="389">
          <cell r="A389" t="str">
            <v>Cordon prefabricado 15 x 45 x 80 cm.</v>
          </cell>
        </row>
        <row r="390">
          <cell r="A390" t="str">
            <v>Cordon prefabricado de  15 x 35 x 80 cm.</v>
          </cell>
        </row>
        <row r="391">
          <cell r="A391" t="str">
            <v>Correa plastica trafo</v>
          </cell>
        </row>
        <row r="392">
          <cell r="A392" t="str">
            <v>Cortacircuitos fusible con accesorios</v>
          </cell>
        </row>
        <row r="393">
          <cell r="A393" t="str">
            <v>Corte de lamina cold rolled de 3/8"</v>
          </cell>
        </row>
        <row r="394">
          <cell r="A394" t="str">
            <v>Cortina enrrollable + tapa rollo</v>
          </cell>
        </row>
        <row r="395">
          <cell r="A395" t="str">
            <v>Costal de fique (Gante para curado)</v>
          </cell>
        </row>
        <row r="396">
          <cell r="A396" t="str">
            <v>cristal claro templado de 6 mm.</v>
          </cell>
        </row>
        <row r="397">
          <cell r="A397" t="str">
            <v>Cristal láminado templado de 3+3mm.</v>
          </cell>
        </row>
        <row r="398">
          <cell r="A398" t="str">
            <v>Cristal templado laminado de 5+5 mm.</v>
          </cell>
        </row>
        <row r="399">
          <cell r="A399" t="str">
            <v>Cristanac cristal color</v>
          </cell>
        </row>
        <row r="400">
          <cell r="A400" t="str">
            <v>Cruceta plastica 2 mm</v>
          </cell>
        </row>
        <row r="401">
          <cell r="A401" t="str">
            <v>cruceta plastica para juntas de 10mm.</v>
          </cell>
        </row>
        <row r="402">
          <cell r="A402" t="str">
            <v>Cubierta acero inox sobre machones</v>
          </cell>
        </row>
        <row r="403">
          <cell r="A403" t="str">
            <v xml:space="preserve">Cubierta con patas + entrepaño AISI C18 </v>
          </cell>
        </row>
        <row r="404">
          <cell r="A404" t="str">
            <v>Cubierta en policarbonato alveolar de 6 mm + estruct T.C.</v>
          </cell>
        </row>
        <row r="405">
          <cell r="A405" t="str">
            <v>Cubierta entrega y recibo AISI c 18</v>
          </cell>
        </row>
        <row r="406">
          <cell r="A406" t="str">
            <v>Cuellos prefabricado  para camara de 1.2m</v>
          </cell>
        </row>
        <row r="407">
          <cell r="A407" t="str">
            <v>Curva EMT 1"</v>
          </cell>
        </row>
        <row r="408">
          <cell r="A408" t="str">
            <v>Curva EMT 1/2"</v>
          </cell>
        </row>
        <row r="409">
          <cell r="A409" t="str">
            <v>Curva EMT 1-1/2"</v>
          </cell>
        </row>
        <row r="410">
          <cell r="A410" t="str">
            <v>Curva EMT 2"</v>
          </cell>
        </row>
        <row r="411">
          <cell r="A411" t="str">
            <v>Curva EMT 3/4"</v>
          </cell>
        </row>
        <row r="412">
          <cell r="A412" t="str">
            <v>Curva horizontal 20x8</v>
          </cell>
        </row>
        <row r="413">
          <cell r="A413" t="str">
            <v>Curva MGC  1"</v>
          </cell>
        </row>
        <row r="414">
          <cell r="A414" t="str">
            <v>Curva MGC  1-1/2"</v>
          </cell>
        </row>
        <row r="415">
          <cell r="A415" t="str">
            <v>Curva plastica de e=4 mm.</v>
          </cell>
        </row>
        <row r="416">
          <cell r="A416" t="str">
            <v>Curva PVC  1"</v>
          </cell>
        </row>
        <row r="417">
          <cell r="A417" t="str">
            <v>Curva PVC  1/2"</v>
          </cell>
        </row>
        <row r="418">
          <cell r="A418" t="str">
            <v>Curva PVC  1-1/2"</v>
          </cell>
        </row>
        <row r="419">
          <cell r="A419" t="str">
            <v>Curva PVC  1-1/4"</v>
          </cell>
        </row>
        <row r="420">
          <cell r="A420" t="str">
            <v>Curva pvc  2"</v>
          </cell>
        </row>
        <row r="421">
          <cell r="A421" t="str">
            <v>Curva pvc  3"</v>
          </cell>
        </row>
        <row r="422">
          <cell r="A422" t="str">
            <v>Curva pvc  3/4"</v>
          </cell>
        </row>
        <row r="423">
          <cell r="A423" t="str">
            <v xml:space="preserve">Demarcaciòn + cinta placa poli </v>
          </cell>
        </row>
        <row r="424">
          <cell r="A424" t="str">
            <v>Desague cromado lavamanos</v>
          </cell>
        </row>
        <row r="425">
          <cell r="A425" t="str">
            <v>detector de mov. antimascota</v>
          </cell>
        </row>
        <row r="426">
          <cell r="A426" t="str">
            <v>detector de mov. doble tec. antimascota new</v>
          </cell>
        </row>
        <row r="427">
          <cell r="A427" t="str">
            <v>Dilataciones en madera 1.5 x 8 cm</v>
          </cell>
        </row>
        <row r="428">
          <cell r="A428" t="str">
            <v>Dimmer sencillo MARK10 1000W T8-T5 3V CUA</v>
          </cell>
        </row>
        <row r="429">
          <cell r="A429" t="str">
            <v>Dinamita y estopines</v>
          </cell>
        </row>
        <row r="430">
          <cell r="A430" t="str">
            <v>Dioxido de titanio</v>
          </cell>
        </row>
        <row r="431">
          <cell r="A431" t="str">
            <v>Disolvente para Pinturas a Base de Aceite.</v>
          </cell>
        </row>
        <row r="432">
          <cell r="A432" t="str">
            <v>Division para orinal de 0.46 x 0.96 m. en acero inoxidable AISI 304, cal 20, e= 3 cm.</v>
          </cell>
        </row>
        <row r="433">
          <cell r="A433" t="str">
            <v>DPS Clase C, ref. LEV 52120-M2</v>
          </cell>
        </row>
        <row r="434">
          <cell r="A434" t="str">
            <v>Ducha cromada</v>
          </cell>
        </row>
        <row r="435">
          <cell r="A435" t="str">
            <v>Ducha Cromada Ref. 01587 Grival o similar+ manija Ref 01752</v>
          </cell>
        </row>
        <row r="436">
          <cell r="A436" t="str">
            <v>Ducto EMT 1"</v>
          </cell>
        </row>
        <row r="437">
          <cell r="A437" t="str">
            <v>Ducto EMT 1/2"</v>
          </cell>
        </row>
        <row r="438">
          <cell r="A438" t="str">
            <v>Ducto EMT 1-1/2"</v>
          </cell>
        </row>
        <row r="439">
          <cell r="A439" t="str">
            <v>Ducto EMT 3/4"</v>
          </cell>
        </row>
        <row r="440">
          <cell r="A440" t="str">
            <v>Elabor planos y legal red gas restaurantes escolares</v>
          </cell>
        </row>
        <row r="441">
          <cell r="A441" t="str">
            <v>Elaboracion de planos de vlo instalado y legalizacion. Incluye:  Actualizacion planos, gestion ante EE.PP</v>
          </cell>
        </row>
        <row r="442">
          <cell r="A442" t="str">
            <v>Elaboracion de Rosca de 1 1/2 con tarraja</v>
          </cell>
        </row>
        <row r="443">
          <cell r="A443" t="str">
            <v>Elaboracion de Rosca de 1 con tarraja</v>
          </cell>
        </row>
        <row r="444">
          <cell r="A444" t="str">
            <v>Elementos fijacion</v>
          </cell>
        </row>
        <row r="445">
          <cell r="A445" t="str">
            <v>Elementos para la soldadura</v>
          </cell>
        </row>
        <row r="446">
          <cell r="A446" t="str">
            <v>Elevador de 25mm</v>
          </cell>
        </row>
        <row r="447">
          <cell r="A447" t="str">
            <v>Embudo galv C16</v>
          </cell>
        </row>
        <row r="448">
          <cell r="A448" t="str">
            <v>Embudo galv C24</v>
          </cell>
        </row>
        <row r="449">
          <cell r="A449" t="str">
            <v>Empaque neopreno</v>
          </cell>
        </row>
        <row r="450">
          <cell r="A450" t="str">
            <v>Empaque neopreno en u</v>
          </cell>
        </row>
        <row r="451">
          <cell r="A451" t="str">
            <v>Empotrada del tablero en la pared o muro</v>
          </cell>
        </row>
        <row r="452">
          <cell r="A452" t="str">
            <v>Emulsión asfaltica</v>
          </cell>
        </row>
        <row r="453">
          <cell r="A453" t="str">
            <v>Entrepaños en acero inoxidable cal 20 AISI 304 (incluye pieamigos para instalacion)</v>
          </cell>
        </row>
        <row r="454">
          <cell r="A454" t="str">
            <v>Esmalte a Base de Aceite</v>
          </cell>
        </row>
        <row r="455">
          <cell r="A455" t="str">
            <v>Espaciador tipo esp rrago de 3/8 por 1metro marca mecano ref. 21E38100</v>
          </cell>
        </row>
        <row r="456">
          <cell r="A456" t="str">
            <v>Esparrago 3/8" para bandeja</v>
          </cell>
        </row>
        <row r="457">
          <cell r="A457" t="str">
            <v>Espejo en cristal de 4 mm.</v>
          </cell>
        </row>
        <row r="458">
          <cell r="A458" t="str">
            <v>Estacion de 10 zonas flex F 410 24 Vdc. ampliable a 20 zonas</v>
          </cell>
        </row>
        <row r="459">
          <cell r="A459" t="str">
            <v>Estacion panico con llave</v>
          </cell>
        </row>
        <row r="460">
          <cell r="A460" t="str">
            <v>Estanteria  plana para despensa acero inox</v>
          </cell>
        </row>
        <row r="461">
          <cell r="A461" t="str">
            <v>Estanteria ollas acero inox</v>
          </cell>
        </row>
        <row r="462">
          <cell r="A462" t="str">
            <v>Estopa</v>
          </cell>
        </row>
        <row r="463">
          <cell r="A463" t="str">
            <v>Estribo según norma RA6-009</v>
          </cell>
        </row>
        <row r="464">
          <cell r="A464" t="str">
            <v>Estrobo rojo de 20-30VDC</v>
          </cell>
        </row>
        <row r="465">
          <cell r="A465" t="str">
            <v>Estucor (25 kg) - Sumicol</v>
          </cell>
        </row>
        <row r="466">
          <cell r="A466" t="str">
            <v>Estufa gas cuatro puestos en acero inox</v>
          </cell>
        </row>
        <row r="467">
          <cell r="A467" t="str">
            <v>Estufa gas tres puestos en acero inox</v>
          </cell>
        </row>
        <row r="468">
          <cell r="A468" t="str">
            <v>Excavacion en roca con explosivo, incluye voladura</v>
          </cell>
        </row>
        <row r="469">
          <cell r="A469" t="str">
            <v>Excavacion y lleno de 0.125 m3</v>
          </cell>
        </row>
        <row r="470">
          <cell r="A470" t="str">
            <v>Extintor tipo ABC multiproposito de 10 lb</v>
          </cell>
        </row>
        <row r="471">
          <cell r="A471" t="str">
            <v>Extractor</v>
          </cell>
        </row>
        <row r="472">
          <cell r="A472" t="str">
            <v>Falleba de 5/8"</v>
          </cell>
        </row>
        <row r="473">
          <cell r="A473" t="str">
            <v>Ficho</v>
          </cell>
        </row>
        <row r="474">
          <cell r="A474" t="str">
            <v>Fijador de 1/2", para tubo de gas, ref FT2AG050, marca MECANO.</v>
          </cell>
        </row>
        <row r="475">
          <cell r="A475" t="str">
            <v>Fijador de 2 1/2, para tubo, ref FT2AG250, marca MECANO.</v>
          </cell>
        </row>
        <row r="476">
          <cell r="A476" t="str">
            <v>Fijador de 2, para tubo, ref FT2AG150, marca MECANO.</v>
          </cell>
        </row>
        <row r="477">
          <cell r="A477" t="str">
            <v>Fijador de 3, para tubo</v>
          </cell>
        </row>
        <row r="478">
          <cell r="A478" t="str">
            <v>Fijador de 3/4", para tubo de gas, ref FT2AG075, marca MECANO.</v>
          </cell>
        </row>
        <row r="479">
          <cell r="A479" t="str">
            <v>Filtro en "Y" roscado de 1"</v>
          </cell>
        </row>
        <row r="480">
          <cell r="A480" t="str">
            <v>Filtro en "Y" roscado de 11/2"</v>
          </cell>
        </row>
        <row r="481">
          <cell r="A481" t="str">
            <v>Formaleta columna circular de 50x2,4m (2t)</v>
          </cell>
        </row>
        <row r="482">
          <cell r="A482" t="str">
            <v>Formaleta para concreto a la vista tipo super T formaleta.19mm</v>
          </cell>
        </row>
        <row r="483">
          <cell r="A483" t="str">
            <v>Formaleta tapa lateral de 5x2 cm</v>
          </cell>
        </row>
        <row r="484">
          <cell r="A484" t="str">
            <v>Formas Mediacaña de aluminio, e=3mm. Incluye transporte.</v>
          </cell>
        </row>
        <row r="485">
          <cell r="A485" t="str">
            <v>Fuente de poder con cargador de bateria</v>
          </cell>
        </row>
        <row r="486">
          <cell r="A486" t="str">
            <v xml:space="preserve">Fundente para soldar cobre, caja </v>
          </cell>
        </row>
        <row r="487">
          <cell r="A487" t="str">
            <v xml:space="preserve">Fundente para soldar cobre, caja x dos onzas </v>
          </cell>
        </row>
        <row r="488">
          <cell r="A488" t="str">
            <v>Fusible cortacircuitos</v>
          </cell>
        </row>
        <row r="489">
          <cell r="A489" t="str">
            <v>Gabinete de 0.30 x 0.30 mt., para vavula y elevador de red de gas.</v>
          </cell>
        </row>
        <row r="490">
          <cell r="A490" t="str">
            <v>Gabinete de 0.50 x 0.50 mt., con espaldar metalico, para regulacion de 1ª etapa.</v>
          </cell>
        </row>
        <row r="491">
          <cell r="A491" t="str">
            <v>Gabinete de 77x99x22 cm con canastilla para manguera red contra incendios</v>
          </cell>
        </row>
        <row r="492">
          <cell r="A492" t="str">
            <v>Gabinete gas de 0,60 x 0,60 x 0,22</v>
          </cell>
        </row>
        <row r="493">
          <cell r="A493" t="str">
            <v>Gancho fij canoa</v>
          </cell>
        </row>
        <row r="494">
          <cell r="A494" t="str">
            <v>Gas para fundente x 40 lb</v>
          </cell>
        </row>
        <row r="495">
          <cell r="A495" t="str">
            <v>Gas propano</v>
          </cell>
        </row>
        <row r="496">
          <cell r="A496" t="str">
            <v>Geotextil No Tejido 2500 (ancho= 3.8 m. X 150 m)</v>
          </cell>
        </row>
        <row r="497">
          <cell r="A497" t="str">
            <v>Geotextil NT1600 - Pavco o equivalente</v>
          </cell>
        </row>
        <row r="498">
          <cell r="A498" t="str">
            <v>Geotextil tejido 2400 pavco o equivalente</v>
          </cell>
        </row>
        <row r="499">
          <cell r="A499" t="str">
            <v>Grama tipo macana puesta en obra</v>
          </cell>
        </row>
        <row r="500">
          <cell r="A500" t="str">
            <v>Grama tipo San Agustin.</v>
          </cell>
        </row>
        <row r="501">
          <cell r="A501" t="str">
            <v>gramoquin liviano de 40x40x8 cm.color gris</v>
          </cell>
        </row>
        <row r="502">
          <cell r="A502" t="str">
            <v>Granito negro 1-2 (San Gil)</v>
          </cell>
        </row>
        <row r="503">
          <cell r="A503" t="str">
            <v>Grano 1 + aglutinante (preparado)</v>
          </cell>
        </row>
        <row r="504">
          <cell r="A504" t="str">
            <v>Grano preparado</v>
          </cell>
        </row>
        <row r="505">
          <cell r="A505" t="str">
            <v>Grano Travertino  Nº 1. Bolsa 25</v>
          </cell>
        </row>
        <row r="506">
          <cell r="A506" t="str">
            <v>Grapa 5/8" para varilla Coperwell</v>
          </cell>
        </row>
        <row r="507">
          <cell r="A507" t="str">
            <v>Grapa doble ala de 1". incluye el chazo y el tornillo</v>
          </cell>
        </row>
        <row r="508">
          <cell r="A508" t="str">
            <v>Grapa doble ala de 1/2". incluye el chazo y el tornillo</v>
          </cell>
        </row>
        <row r="509">
          <cell r="A509" t="str">
            <v>Grapa doble ala de 1-1/2". incluye el chazo y el tornillo</v>
          </cell>
        </row>
        <row r="510">
          <cell r="A510" t="str">
            <v>Grapa doble ala de 2". incluye el chazo y el tornillo</v>
          </cell>
        </row>
        <row r="511">
          <cell r="A511" t="str">
            <v>Grapa doble ala de 3/4". incluye el chazo y el tornillo</v>
          </cell>
        </row>
        <row r="512">
          <cell r="A512" t="str">
            <v>Grapas para soporte de aparatos sanitarios</v>
          </cell>
        </row>
        <row r="513">
          <cell r="A513" t="str">
            <v>Grasa para tarraja</v>
          </cell>
        </row>
        <row r="514">
          <cell r="A514" t="str">
            <v>Gravilla limpia con transporte hasta 15 km</v>
          </cell>
        </row>
        <row r="515">
          <cell r="A515" t="str">
            <v>Grifería automatica de push antivandalica ref 71300</v>
          </cell>
        </row>
        <row r="516">
          <cell r="A516" t="str">
            <v>Griferia cuello de ganso</v>
          </cell>
        </row>
        <row r="517">
          <cell r="A517" t="str">
            <v>Griferia cuello de ganso ref 90500000 grival</v>
          </cell>
        </row>
        <row r="518">
          <cell r="A518" t="str">
            <v>Griferia de Push antivandalica, ref 75121</v>
          </cell>
        </row>
        <row r="519">
          <cell r="A519" t="str">
            <v>Griferia Galaxia</v>
          </cell>
        </row>
        <row r="520">
          <cell r="A520" t="str">
            <v>Griferia lav en acero ref 040-CSLPC Classic</v>
          </cell>
        </row>
        <row r="521">
          <cell r="A521" t="str">
            <v>Griferia marruecos ref 791110001</v>
          </cell>
        </row>
        <row r="522">
          <cell r="A522" t="str">
            <v>Griferia metalica, acabado cromado, tipo marruecos</v>
          </cell>
        </row>
        <row r="523">
          <cell r="A523" t="str">
            <v xml:space="preserve">Griferia orinal sencilla </v>
          </cell>
        </row>
        <row r="524">
          <cell r="A524" t="str">
            <v>Grillete para guaya</v>
          </cell>
        </row>
        <row r="525">
          <cell r="A525" t="str">
            <v>guaya</v>
          </cell>
        </row>
        <row r="526">
          <cell r="A526" t="str">
            <v>Hacha pico de 4 1/2" con cabo de madera</v>
          </cell>
        </row>
        <row r="527">
          <cell r="A527" t="str">
            <v>Herraje Caja Medidor Acueducto de 1 1/2" (60 x 200cm incluye tapa contador)</v>
          </cell>
        </row>
        <row r="528">
          <cell r="A528" t="str">
            <v>Herraje Caja Medidor Acueducto de 1" (60 x 200cm incluye tapa contador)</v>
          </cell>
        </row>
        <row r="529">
          <cell r="A529" t="str">
            <v>Herraje de 120x120 cm. para caja inspeccion de 100x100 cm.</v>
          </cell>
        </row>
        <row r="530">
          <cell r="A530" t="str">
            <v>Herraje de 30x30 cm. para caja inspeccion</v>
          </cell>
        </row>
        <row r="531">
          <cell r="A531" t="str">
            <v>Herraje de 50x50 caja insp</v>
          </cell>
        </row>
        <row r="532">
          <cell r="A532" t="str">
            <v>Herraje de 50x50 cm. para caja inspeccion de 40x40 cm.</v>
          </cell>
        </row>
        <row r="533">
          <cell r="A533" t="str">
            <v>Herraje de 60 x 80 para caja el‚ctrica</v>
          </cell>
        </row>
        <row r="534">
          <cell r="A534" t="str">
            <v>Herraje de 70x70 cm. para caja inspeccion de 60x60 cm.</v>
          </cell>
        </row>
        <row r="535">
          <cell r="A535" t="str">
            <v>Herraje de 80x80 cm. para caja inspeccion de 70x70 cm.</v>
          </cell>
        </row>
        <row r="536">
          <cell r="A536" t="str">
            <v>Hidrante Bridado 6"</v>
          </cell>
        </row>
        <row r="537">
          <cell r="A537" t="str">
            <v>Hidrosello-Novafort d= 200 mm. - Pavco o equivalente.</v>
          </cell>
        </row>
        <row r="538">
          <cell r="A538" t="str">
            <v>Hidrosello-Novafort d= 250 mm. - Pavco o equivalente.</v>
          </cell>
        </row>
        <row r="539">
          <cell r="A539" t="str">
            <v>Hidrosello-Novafort Ø= 160 mm. - Pavco o equivalente.</v>
          </cell>
        </row>
        <row r="540">
          <cell r="A540" t="str">
            <v>Hidrosil concreto</v>
          </cell>
        </row>
        <row r="541">
          <cell r="A541" t="str">
            <v>Hidrosolve</v>
          </cell>
        </row>
        <row r="542">
          <cell r="A542" t="str">
            <v>Hidrosolve x 200 litros</v>
          </cell>
        </row>
        <row r="543">
          <cell r="A543" t="str">
            <v>Hoja de sierra para segueta bimetalica Incolma</v>
          </cell>
        </row>
        <row r="544">
          <cell r="A544" t="str">
            <v>Icopor  D-12 20 mm (lamina de 0,62 x 1,24 m)</v>
          </cell>
        </row>
        <row r="545">
          <cell r="A545" t="str">
            <v>Icopor de 4cm.</v>
          </cell>
        </row>
        <row r="546">
          <cell r="A546" t="str">
            <v>Igol denso</v>
          </cell>
        </row>
        <row r="547">
          <cell r="A547" t="str">
            <v>igol denso *</v>
          </cell>
        </row>
        <row r="548">
          <cell r="A548" t="str">
            <v>Igol imprimante</v>
          </cell>
        </row>
        <row r="549">
          <cell r="A549" t="str">
            <v>Impermeabilizacion de losa en conconcreto con sistema Monolitico en Poliuretano.</v>
          </cell>
        </row>
        <row r="550">
          <cell r="A550" t="str">
            <v>Inmunizante madera incoloro (5 gal)</v>
          </cell>
        </row>
        <row r="551">
          <cell r="A551" t="str">
            <v>Inst Sikaplan 12 GCO+ geotextil  todo costo</v>
          </cell>
        </row>
        <row r="552">
          <cell r="A552" t="str">
            <v>Interruptor Doble Leviton</v>
          </cell>
        </row>
        <row r="553">
          <cell r="A553" t="str">
            <v>Interruptor Sencillo Leviton</v>
          </cell>
        </row>
        <row r="554">
          <cell r="A554" t="str">
            <v>Interruptor Triple Leviton</v>
          </cell>
        </row>
        <row r="555">
          <cell r="A555" t="str">
            <v>jabonera linea economica</v>
          </cell>
        </row>
        <row r="556">
          <cell r="A556" t="str">
            <v>Juego Incrustaciones linea economica</v>
          </cell>
        </row>
        <row r="557">
          <cell r="A557" t="str">
            <v>Juego modular ref Nro. 9 especial + inst</v>
          </cell>
        </row>
        <row r="558">
          <cell r="A558" t="str">
            <v>Kit adaptador LC para bandeja</v>
          </cell>
        </row>
        <row r="559">
          <cell r="A559" t="str">
            <v>Kit sifon pozuelo+ canastilla</v>
          </cell>
        </row>
        <row r="560">
          <cell r="A560" t="str">
            <v>Ladrillo 10 x 20 x 40 rayado</v>
          </cell>
        </row>
        <row r="561">
          <cell r="A561" t="str">
            <v>Ladrillo catalan estructural 10 x 15 x 30 cm.</v>
          </cell>
        </row>
        <row r="562">
          <cell r="A562" t="str">
            <v>Ladrillo catalan estructural 10 x 15 x 30 cm.perforación horizontal</v>
          </cell>
        </row>
        <row r="563">
          <cell r="A563" t="str">
            <v>Lamina Cal.24, para remate en teja METECNO.</v>
          </cell>
        </row>
        <row r="564">
          <cell r="A564" t="str">
            <v>Lamina cold rolled C. 18 de 1,20 x 2,40 m.</v>
          </cell>
        </row>
        <row r="565">
          <cell r="A565" t="str">
            <v>Lamina de 1/2" de 1.20 x 2.40 m.</v>
          </cell>
        </row>
        <row r="566">
          <cell r="A566" t="str">
            <v>Lamina de acero de 1/2"</v>
          </cell>
        </row>
        <row r="567">
          <cell r="A567" t="str">
            <v>Lamina Super board de  6 mm. De 1,22 x 2,44 x 0,06 m.</v>
          </cell>
        </row>
        <row r="568">
          <cell r="A568" t="str">
            <v>Lamina de icopor de 40mm. De 1,0 x1,0 m.</v>
          </cell>
        </row>
        <row r="569">
          <cell r="A569" t="str">
            <v xml:space="preserve">Lamina Galvanizada Cal.20, </v>
          </cell>
        </row>
        <row r="570">
          <cell r="A570" t="str">
            <v>Lamina metalica calibe 20.</v>
          </cell>
        </row>
        <row r="571">
          <cell r="A571" t="str">
            <v>Lamina metalica de 3/16" o 5mm</v>
          </cell>
        </row>
        <row r="572">
          <cell r="A572" t="str">
            <v>Lámina metálica de 3/8" de 1.20 x 2.40 m.</v>
          </cell>
        </row>
        <row r="573">
          <cell r="A573" t="str">
            <v>Lámpara  tipo Wall  Pack para bombillo Na de  150 W  - 240 V</v>
          </cell>
        </row>
        <row r="574">
          <cell r="A574" t="str">
            <v>lampara 2x26W tipo cilinder ovalada dimerizable. Incluye bombillos</v>
          </cell>
        </row>
        <row r="575">
          <cell r="A575" t="str">
            <v>lampara 2x54W 30x120 especular  rejillas. incluye tubos</v>
          </cell>
        </row>
        <row r="576">
          <cell r="A576" t="str">
            <v>lampara 2x54W tipo EASY. Incluye bombillos</v>
          </cell>
        </row>
        <row r="577">
          <cell r="A577" t="str">
            <v>Lámpara circular de lujo doble anillo de 2x13 W</v>
          </cell>
        </row>
        <row r="578">
          <cell r="A578" t="str">
            <v>Lampara de emrgencia ELM2</v>
          </cell>
        </row>
        <row r="579">
          <cell r="A579" t="str">
            <v>Lampara fluorescente 2x54W AF -RS IP65 con balastro electronico. Incluye los bombillos</v>
          </cell>
        </row>
        <row r="580">
          <cell r="A580" t="str">
            <v>Lampara Inser-Rejilla 1 x 13 W</v>
          </cell>
        </row>
        <row r="581">
          <cell r="A581" t="str">
            <v>Lampara Jupiter 4x24W. Incluye bombillos</v>
          </cell>
        </row>
        <row r="582">
          <cell r="A582" t="str">
            <v>Lampara ojo de buey 2x26 W. Incluye los bombillos</v>
          </cell>
        </row>
        <row r="583">
          <cell r="A583" t="str">
            <v>Lampara ojo de buey 2x32 W ISO 49V. Incluye los bombillos y balastro dimerizable 0-10</v>
          </cell>
        </row>
        <row r="584">
          <cell r="A584" t="str">
            <v>Lampara turtuga 1x26W, grande con rejilla, incluye bombillos</v>
          </cell>
        </row>
        <row r="585">
          <cell r="A585" t="str">
            <v>lampra 2x32W - 30x120 con acrilico, incluye tubos</v>
          </cell>
        </row>
        <row r="586">
          <cell r="A586" t="str">
            <v>lampra 2x32W - 30x120 industrial, con kid de emergencia, incluye tubos</v>
          </cell>
        </row>
        <row r="587">
          <cell r="A587" t="str">
            <v>lampra 2x32W - 30x120 industrial, incluye tubos</v>
          </cell>
        </row>
        <row r="588">
          <cell r="A588" t="str">
            <v>Larguero de madera comun de 1" x 1"</v>
          </cell>
        </row>
        <row r="589">
          <cell r="A589" t="str">
            <v>Larguero madera comun 4cmx8cmx2.80m</v>
          </cell>
        </row>
        <row r="590">
          <cell r="A590" t="str">
            <v>Largueros de 2"X2" por 3m</v>
          </cell>
        </row>
        <row r="591">
          <cell r="A591" t="str">
            <v>Lavamanos acuacer de colgar</v>
          </cell>
        </row>
        <row r="592">
          <cell r="A592" t="str">
            <v>Lavamanos Avanti de colgar</v>
          </cell>
        </row>
        <row r="593">
          <cell r="A593" t="str">
            <v>Lavamanos Avanti de colgar *</v>
          </cell>
        </row>
        <row r="594">
          <cell r="A594" t="str">
            <v>Lavamanos con pedal acero inox+ griferia de un puesto</v>
          </cell>
        </row>
        <row r="595">
          <cell r="A595" t="str">
            <v>Lavamanos de colgar para discapacitados, linea Acuajet.</v>
          </cell>
        </row>
        <row r="596">
          <cell r="A596" t="str">
            <v>Lavamanos de empotrar en acero inoxidable cal 20 de d=0.30 m. Incluye transporte</v>
          </cell>
        </row>
        <row r="597">
          <cell r="A597" t="str">
            <v>Lavamanos de empotrar en acero inoxidable cal 20 de d=0.40 m.</v>
          </cell>
        </row>
        <row r="598">
          <cell r="A598" t="str">
            <v>Lavamanos ovalado de sobreponer</v>
          </cell>
        </row>
        <row r="599">
          <cell r="A599" t="str">
            <v>Lavamanos sobreponer *</v>
          </cell>
        </row>
        <row r="600">
          <cell r="A600" t="str">
            <v>Lavaollas acero inox AISI C 16</v>
          </cell>
        </row>
        <row r="601">
          <cell r="A601" t="str">
            <v>lavaplatos de sobreponer socoa de 1,20 x 0,60 m. con pozuelo + transp</v>
          </cell>
        </row>
        <row r="602">
          <cell r="A602" t="str">
            <v>Lecha color crema</v>
          </cell>
        </row>
        <row r="603">
          <cell r="A603" t="str">
            <v>Lechada con boquilla (con-color)</v>
          </cell>
        </row>
        <row r="604">
          <cell r="A604" t="str">
            <v>Lechada con pigmento integral color negro</v>
          </cell>
        </row>
        <row r="605">
          <cell r="A605" t="str">
            <v>Lechada preparada</v>
          </cell>
        </row>
        <row r="606">
          <cell r="A606" t="str">
            <v>Liga pavimentos</v>
          </cell>
        </row>
        <row r="607">
          <cell r="A607" t="str">
            <v>Lija 180</v>
          </cell>
        </row>
        <row r="608">
          <cell r="A608" t="str">
            <v>Lija 200</v>
          </cell>
        </row>
        <row r="609">
          <cell r="A609" t="str">
            <v>Lija de agua 150 super</v>
          </cell>
        </row>
        <row r="610">
          <cell r="A610" t="str">
            <v>Lija de agua 400</v>
          </cell>
        </row>
        <row r="611">
          <cell r="A611" t="str">
            <v>Limpiador Removedor PVC x 1/4 de galon.</v>
          </cell>
        </row>
        <row r="612">
          <cell r="A612" t="str">
            <v>listelo de 0,25 m.</v>
          </cell>
        </row>
        <row r="613">
          <cell r="A613" t="str">
            <v>Listelo tipo Corona 25 x 12.5 cm</v>
          </cell>
        </row>
        <row r="614">
          <cell r="A614" t="str">
            <v>Liston en Teka de 5"x 2"</v>
          </cell>
        </row>
        <row r="615">
          <cell r="A615" t="str">
            <v>Llave bocamanguera 1/2"</v>
          </cell>
        </row>
        <row r="616">
          <cell r="A616" t="str">
            <v>Llave bocamanguera cromada de grival o su equivalente</v>
          </cell>
        </row>
        <row r="617">
          <cell r="A617" t="str">
            <v>Llave de corte universal 1 1/2"</v>
          </cell>
        </row>
        <row r="618">
          <cell r="A618" t="str">
            <v>Llave de corte universal 1"</v>
          </cell>
        </row>
        <row r="619">
          <cell r="A619" t="str">
            <v>Llave metalica con acabado en cromo</v>
          </cell>
        </row>
        <row r="620">
          <cell r="A620" t="str">
            <v>Llave spanner</v>
          </cell>
        </row>
        <row r="621">
          <cell r="A621" t="str">
            <v>Loceta tactil 20x20x6 cm. color amarillo</v>
          </cell>
        </row>
        <row r="622">
          <cell r="A622" t="str">
            <v>Loseta LOST-GU o AL color, tactil 20X20X6</v>
          </cell>
        </row>
        <row r="623">
          <cell r="A623" t="str">
            <v>Lubricante Tyton 500 gr</v>
          </cell>
        </row>
        <row r="624">
          <cell r="A624" t="str">
            <v>Luminaria fluorescente 2x32W STRL 14</v>
          </cell>
        </row>
        <row r="625">
          <cell r="A625" t="str">
            <v>Luminaria rejillas 60x60 4x14W para instalar en cielo falso. incluye bombillos</v>
          </cell>
        </row>
        <row r="626">
          <cell r="A626" t="str">
            <v>Maija acero inoxidable de L= 13 cm.</v>
          </cell>
        </row>
        <row r="627">
          <cell r="A627" t="str">
            <v>Malla electrosoldada D 131</v>
          </cell>
        </row>
        <row r="628">
          <cell r="A628" t="str">
            <v>Malla electrosoldada D-106</v>
          </cell>
        </row>
        <row r="629">
          <cell r="A629" t="str">
            <v>Malla electrosoldada D-188</v>
          </cell>
        </row>
        <row r="630">
          <cell r="A630" t="str">
            <v>Malla electrosoldada D-50</v>
          </cell>
        </row>
        <row r="631">
          <cell r="A631" t="str">
            <v>Malla electrosoldada D-84</v>
          </cell>
        </row>
        <row r="632">
          <cell r="A632" t="str">
            <v>Malla electrosoldada U-50</v>
          </cell>
        </row>
        <row r="633">
          <cell r="A633" t="str">
            <v>Malla ojo 5 C. 10</v>
          </cell>
        </row>
        <row r="634">
          <cell r="A634" t="str">
            <v>malla ondulada plana de 1"x1"</v>
          </cell>
        </row>
        <row r="635">
          <cell r="A635" t="str">
            <v>Manguera de 1 1/2 * 30 M a 250 PSI  DE DOBLE CHAQUETA</v>
          </cell>
        </row>
        <row r="636">
          <cell r="A636" t="str">
            <v>Manija en acero inox de L = 316 mm.</v>
          </cell>
        </row>
        <row r="637">
          <cell r="A637" t="str">
            <v xml:space="preserve">manija en acero inoxidable de 6" x 3/4" </v>
          </cell>
        </row>
        <row r="638">
          <cell r="A638" t="str">
            <v>Manto de 3 mm.</v>
          </cell>
        </row>
        <row r="639">
          <cell r="A639" t="str">
            <v>Manto edil estandar 2 mm</v>
          </cell>
        </row>
        <row r="640">
          <cell r="A640" t="str">
            <v>Manto foil de aluminio de 3 mm.</v>
          </cell>
        </row>
        <row r="641">
          <cell r="A641" t="str">
            <v>Manto Zetal 600x1 de 3 mm. con foil de aluminio</v>
          </cell>
        </row>
        <row r="642">
          <cell r="A642" t="str">
            <v>Marcacion fibra</v>
          </cell>
        </row>
        <row r="643">
          <cell r="A643" t="str">
            <v>Marcacion pach panel</v>
          </cell>
        </row>
        <row r="644">
          <cell r="A644" t="str">
            <v>Marcacion rack</v>
          </cell>
        </row>
        <row r="645">
          <cell r="A645" t="str">
            <v>Marcacion regleta</v>
          </cell>
        </row>
        <row r="646">
          <cell r="A646" t="str">
            <v>Marcacion termica o en acrilico</v>
          </cell>
        </row>
        <row r="647">
          <cell r="A647" t="str">
            <v>Marco DRYWALL con moldura en aluminio</v>
          </cell>
        </row>
        <row r="648">
          <cell r="A648" t="str">
            <v>Marco metalico para puerta en lamina cold rolled</v>
          </cell>
        </row>
        <row r="649">
          <cell r="A649" t="str">
            <v>Mariposa de fijación para reja del carcamo</v>
          </cell>
        </row>
        <row r="650">
          <cell r="A650" t="str">
            <v>Masilla acrilica para interiores en  drywall (5galones)</v>
          </cell>
        </row>
        <row r="651">
          <cell r="A651" t="str">
            <v>Masilla para fij de vidrios</v>
          </cell>
        </row>
        <row r="652">
          <cell r="A652" t="str">
            <v>Masilla topex</v>
          </cell>
        </row>
        <row r="653">
          <cell r="A653" t="str">
            <v>Material granular para filtros de 1" - 1 1/2" para filtros</v>
          </cell>
        </row>
        <row r="654">
          <cell r="A654" t="str">
            <v>Medidor G 1.6 marca METREX, con conectores</v>
          </cell>
        </row>
        <row r="655">
          <cell r="A655" t="str">
            <v>Medidor G 4 marca METREX, con conectores</v>
          </cell>
        </row>
        <row r="656">
          <cell r="A656" t="str">
            <v>Medodor gas MR8 invesys</v>
          </cell>
        </row>
        <row r="657">
          <cell r="A657" t="str">
            <v>Merulex</v>
          </cell>
        </row>
        <row r="658">
          <cell r="A658" t="str">
            <v>Mesa en acero inox de 1,2mx0,69x0,86M</v>
          </cell>
        </row>
        <row r="659">
          <cell r="A659" t="str">
            <v>Mesa movil avero inox + ruedas+trans</v>
          </cell>
        </row>
        <row r="660">
          <cell r="A660" t="str">
            <v>Meson acero Inoxidable con perforacion para pozuelo</v>
          </cell>
        </row>
        <row r="661">
          <cell r="A661" t="str">
            <v>Meson Corian Hot, ancho 0.50 - 0.70 m un espesor de 12mm</v>
          </cell>
        </row>
        <row r="662">
          <cell r="A662" t="str">
            <v>Mezcla asfaltica (Rodadura)</v>
          </cell>
        </row>
        <row r="663">
          <cell r="A663" t="str">
            <v>Mezcla cemento y arena</v>
          </cell>
        </row>
        <row r="664">
          <cell r="A664" t="str">
            <v>Mezclador de audio: Para conexion de perifericos y procesos</v>
          </cell>
        </row>
        <row r="665">
          <cell r="A665" t="str">
            <v>MGB-SX 1000 BASE-SX para modulo LC 10/100/1000mbps</v>
          </cell>
        </row>
        <row r="666">
          <cell r="A666" t="str">
            <v>Microfono alambrico de sobre-poner, para llamados ambientales, doble impedancia, Cardioide,  Incluye cables , terminal</v>
          </cell>
        </row>
        <row r="667">
          <cell r="A667" t="str">
            <v>Microfono inalambrico UHF Profesional de Trabajo pesado, de largo alcance, diversificado.</v>
          </cell>
        </row>
        <row r="668">
          <cell r="A668" t="str">
            <v>Modulo expansor de 8 zonas</v>
          </cell>
        </row>
        <row r="669">
          <cell r="A669" t="str">
            <v>Moldura en madera 1/4 bocel de L=2,80 m.</v>
          </cell>
        </row>
        <row r="670">
          <cell r="A670" t="str">
            <v>Moldura plastica blanco (toro plastico) 2.40m</v>
          </cell>
        </row>
        <row r="671">
          <cell r="A671" t="str">
            <v>Mortero 0.25:1:4 (Cal:cemento:arena) en obra</v>
          </cell>
        </row>
        <row r="672">
          <cell r="A672" t="str">
            <v>Mortero 0.3:1:3.2 (Cal:cemento:arena) en obra</v>
          </cell>
        </row>
        <row r="673">
          <cell r="A673" t="str">
            <v>Mortero 1:3 en obra</v>
          </cell>
        </row>
        <row r="674">
          <cell r="A674" t="str">
            <v>Mortero 1:4 en obra</v>
          </cell>
        </row>
        <row r="675">
          <cell r="A675" t="str">
            <v>Mortero 1:5 en obra</v>
          </cell>
        </row>
        <row r="676">
          <cell r="A676" t="str">
            <v>Mortero 1:6 en obra.</v>
          </cell>
        </row>
        <row r="677">
          <cell r="A677" t="str">
            <v>Multitoma grado Hospitalaria de 6 tomas, con varistores de seguridad</v>
          </cell>
        </row>
        <row r="678">
          <cell r="A678" t="str">
            <v>Multitoma grado Hospitalaria de 6 tomas, con varistores de seguridad</v>
          </cell>
        </row>
        <row r="679">
          <cell r="A679" t="str">
            <v>Niple en acero de carbono de 1/2" x 10 cm</v>
          </cell>
        </row>
        <row r="680">
          <cell r="A680" t="str">
            <v>Niple en acero de carbono de 3/4" x 10 cm.</v>
          </cell>
        </row>
        <row r="681">
          <cell r="A681" t="str">
            <v>Niple en acero de carbono de 3/4" x 5 cm</v>
          </cell>
        </row>
        <row r="682">
          <cell r="A682" t="str">
            <v>Ojo de buey ZAMAK de incrustar, con bombilla dicroica de 50W</v>
          </cell>
        </row>
        <row r="683">
          <cell r="A683" t="str">
            <v>Organizador de cabcableado sonido</v>
          </cell>
        </row>
        <row r="684">
          <cell r="A684" t="str">
            <v>Organizador de cables 40x40</v>
          </cell>
        </row>
        <row r="685">
          <cell r="A685" t="str">
            <v>Organizador vertical delantero de 210cms-45UR en RACK</v>
          </cell>
        </row>
        <row r="686">
          <cell r="A686" t="str">
            <v>Orinal de colgar mediano</v>
          </cell>
        </row>
        <row r="687">
          <cell r="A687" t="str">
            <v>Orinal infantil con griferia blanco - corona</v>
          </cell>
        </row>
        <row r="688">
          <cell r="A688" t="str">
            <v>Orinal infantil corona + transp</v>
          </cell>
        </row>
        <row r="689">
          <cell r="A689" t="str">
            <v>Orinal mediano santa fe + transp</v>
          </cell>
        </row>
        <row r="690">
          <cell r="A690" t="str">
            <v>Orinal Santa Fe para fluxometro</v>
          </cell>
        </row>
        <row r="691">
          <cell r="A691" t="str">
            <v>P-1 de 0,60/0,75x2,10  e = 0,10 m. + marco+chapa+antic+pint</v>
          </cell>
        </row>
        <row r="692">
          <cell r="A692" t="str">
            <v>P-2 de 0,80/1,00x2,10  e = 0,10 m. + marco+chapa+antic+pint</v>
          </cell>
        </row>
        <row r="693">
          <cell r="A693" t="str">
            <v>P-2 de 0,80/1,00x2,10  e = 0,15 m. + marco+chapa+antic+pint</v>
          </cell>
        </row>
        <row r="694">
          <cell r="A694" t="str">
            <v>P-2 de 0,80/1,00x2,10  e = 0,20 m. + marco+chapa+antic+pint</v>
          </cell>
        </row>
        <row r="695">
          <cell r="A695" t="str">
            <v>P-3 de 1,20x2,10  e = 0,10/0,20 m. dos alas+ marco+chapa+antic+pint</v>
          </cell>
        </row>
        <row r="696">
          <cell r="A696" t="str">
            <v>Pach cord de 210 cms preensambado en fabrica</v>
          </cell>
        </row>
        <row r="697">
          <cell r="A697" t="str">
            <v>Pach cord de 90 cms preensambado en fabrica</v>
          </cell>
        </row>
        <row r="698">
          <cell r="A698" t="str">
            <v>Pach cord para cable fibra optica duplex multimodoC-LC, en ambos extremos de 3 pies</v>
          </cell>
        </row>
        <row r="699">
          <cell r="A699" t="str">
            <v>Pach panel cat 6 LEV 69270-24</v>
          </cell>
        </row>
        <row r="700">
          <cell r="A700" t="str">
            <v>Pach panel cat 6, 48 puertos.</v>
          </cell>
        </row>
        <row r="701">
          <cell r="A701" t="str">
            <v>Pach panel cat 6, de 12 puertos REF 1375013</v>
          </cell>
        </row>
        <row r="702">
          <cell r="A702" t="str">
            <v>Pach panel cat 6, REF CJ688tpxx</v>
          </cell>
        </row>
        <row r="703">
          <cell r="A703" t="str">
            <v>Panel 8 zn exp 32 tec pk5501/transf/gabinete</v>
          </cell>
        </row>
        <row r="704">
          <cell r="A704" t="str">
            <v>papelera linea economica</v>
          </cell>
        </row>
        <row r="705">
          <cell r="A705" t="str">
            <v>Paral 89</v>
          </cell>
        </row>
        <row r="706">
          <cell r="A706" t="str">
            <v>Paral central Y/O exterior 1.80 x 0.155 a 0.204 en acero inoxidable AISI 304, cal 20, e= 3 cm. Incluye transporte</v>
          </cell>
        </row>
        <row r="707">
          <cell r="A707" t="str">
            <v>Paral central Y/O exterior 1.80 x 0.305 a 0.334 en acero inoxidable AISI 304, cal 20, e= 3 cm. Incluye transporte</v>
          </cell>
        </row>
        <row r="708">
          <cell r="A708" t="str">
            <v>Paral extremo 1.8 x 0.105 a 0.154 m. En acero inoxidable AISI 304, cal 20, e= 3 cm Incluye transporte</v>
          </cell>
        </row>
        <row r="709">
          <cell r="A709" t="str">
            <v>Pararrayos Norma EPM con accesorios</v>
          </cell>
        </row>
        <row r="710">
          <cell r="A710" t="str">
            <v>Parlante  de 30w/15w/7,5w en 70V y 100V dos vias con altavoz de 6,5" Incluye regilla.Alta eficiencia: 92 dB</v>
          </cell>
        </row>
        <row r="711">
          <cell r="A711" t="str">
            <v>Parlante de impedancia de 8 Ohmios.</v>
          </cell>
        </row>
        <row r="712">
          <cell r="A712" t="str">
            <v>Pasamanos curvo para discapacitados de 0.61 por 0.69 m, en acero inoxidable</v>
          </cell>
        </row>
        <row r="713">
          <cell r="A713" t="str">
            <v>Pega PVC + limpiador</v>
          </cell>
        </row>
        <row r="714">
          <cell r="A714" t="str">
            <v>pegacor</v>
          </cell>
        </row>
        <row r="715">
          <cell r="A715" t="str">
            <v>Pegacor bloque de vidrio</v>
          </cell>
        </row>
        <row r="716">
          <cell r="A716" t="str">
            <v>Pegacor gris exteriores - Sumicol</v>
          </cell>
        </row>
        <row r="717">
          <cell r="A717" t="str">
            <v>Pegante amarillo tipo sacol</v>
          </cell>
        </row>
        <row r="718">
          <cell r="A718" t="str">
            <v>Pegante fino tipo pegaloca</v>
          </cell>
        </row>
        <row r="719">
          <cell r="A719" t="str">
            <v>Perfil adaptador ALN-175 sist VP-3831</v>
          </cell>
        </row>
        <row r="720">
          <cell r="A720" t="str">
            <v>Perfil adaptador ALN-176 sist VP-3831</v>
          </cell>
        </row>
        <row r="721">
          <cell r="A721" t="str">
            <v>Perfil adaptador ALN-177 sist VP-3831</v>
          </cell>
        </row>
        <row r="722">
          <cell r="A722" t="str">
            <v>Perfil cabezal ALN-392 de alumina anodizado nat sist VP-744</v>
          </cell>
        </row>
        <row r="723">
          <cell r="A723" t="str">
            <v>Perfil en z plastico de 3,05 m.</v>
          </cell>
        </row>
        <row r="724">
          <cell r="A724" t="str">
            <v>Perfil enganche ALN-391 de alumina  anodizado nat.sist VP-744</v>
          </cell>
        </row>
        <row r="725">
          <cell r="A725" t="str">
            <v>Perfil jamba ALN-393 de alumina anodizado nat. Sist VP-744</v>
          </cell>
        </row>
        <row r="726">
          <cell r="A726" t="str">
            <v>Perfil Omega 63 Cal 26 de 2,44 m.</v>
          </cell>
        </row>
        <row r="727">
          <cell r="A727" t="str">
            <v>Perfil ranurado sencillo de 0.15m, ref M311A300. marca MECANO</v>
          </cell>
        </row>
        <row r="728">
          <cell r="A728" t="str">
            <v>Perfil ranurado sencillo de DE 2.40m, ref M311A240. marca MECANO</v>
          </cell>
        </row>
        <row r="729">
          <cell r="A729" t="str">
            <v>Perfil sillar ALN-387 de aluminina anodizado natural sist 744</v>
          </cell>
        </row>
        <row r="730">
          <cell r="A730" t="str">
            <v>Perfil sillar cabezal ALN-173 sist VP-3831</v>
          </cell>
        </row>
        <row r="731">
          <cell r="A731" t="str">
            <v>Perfil vertical paral 39 (Viguetas)</v>
          </cell>
        </row>
        <row r="732">
          <cell r="A732" t="str">
            <v>Perforacion de lamina de 3/8"</v>
          </cell>
        </row>
        <row r="733">
          <cell r="A733" t="str">
            <v>Perno de 1/2"</v>
          </cell>
        </row>
        <row r="734">
          <cell r="A734" t="str">
            <v>Perno de 1/2"+arandela+tuerca</v>
          </cell>
        </row>
        <row r="735">
          <cell r="A735" t="str">
            <v>Perno de acero de 1/2" x 3 3/4"</v>
          </cell>
        </row>
        <row r="736">
          <cell r="A736" t="str">
            <v>Perno de expansion ref TEA08x055 de 3/8". marca MECANO</v>
          </cell>
        </row>
        <row r="737">
          <cell r="A737" t="str">
            <v>Perno expansivo de 3/8 x 3"</v>
          </cell>
        </row>
        <row r="738">
          <cell r="A738" t="str">
            <v>Perno expansivo de 3/8" x 4"</v>
          </cell>
        </row>
        <row r="739">
          <cell r="A739" t="str">
            <v>Perno hembra (Tuerca expansiva para esparrago 3/8")</v>
          </cell>
        </row>
        <row r="740">
          <cell r="A740" t="str">
            <v>Pernos de expancion</v>
          </cell>
        </row>
        <row r="741">
          <cell r="A741" t="str">
            <v>Pernos galvanizados de 1/2-1" Laprox.= 10 cm.</v>
          </cell>
        </row>
        <row r="742">
          <cell r="A742" t="str">
            <v>Pieamigos en tub galv de 1,9</v>
          </cell>
        </row>
        <row r="743">
          <cell r="A743" t="str">
            <v>Piedra de buenaventura</v>
          </cell>
        </row>
        <row r="744">
          <cell r="A744" t="str">
            <v>Piedra entresuelo con transporte</v>
          </cell>
        </row>
        <row r="745">
          <cell r="A745" t="str">
            <v>Pintulux</v>
          </cell>
        </row>
        <row r="746">
          <cell r="A746" t="str">
            <v>Pintura Acriltex semimate</v>
          </cell>
        </row>
        <row r="747">
          <cell r="A747" t="str">
            <v>Pintura anticorrosiva pintucoad amarillo ocre</v>
          </cell>
        </row>
        <row r="748">
          <cell r="A748" t="str">
            <v>Pintura anticorrosivo</v>
          </cell>
        </row>
        <row r="749">
          <cell r="A749" t="str">
            <v>Pintura base aceite</v>
          </cell>
        </row>
        <row r="750">
          <cell r="A750" t="str">
            <v>Pintura coraza</v>
          </cell>
        </row>
        <row r="751">
          <cell r="A751" t="str">
            <v>Pintura de señalización amarillo ocre (1/32 gal)</v>
          </cell>
        </row>
        <row r="752">
          <cell r="A752" t="str">
            <v>Pintura epoxica + catalizador</v>
          </cell>
        </row>
        <row r="753">
          <cell r="A753" t="str">
            <v>Pintura Epoxico Poliamida, Rendimiento 67m2/gl</v>
          </cell>
        </row>
        <row r="754">
          <cell r="A754" t="str">
            <v>Pintura poliuretano</v>
          </cell>
        </row>
        <row r="755">
          <cell r="A755" t="str">
            <v>Pintura poliuretano negro</v>
          </cell>
        </row>
        <row r="756">
          <cell r="A756" t="str">
            <v>Pintura vinilo tipo 1 Viniltex o equivalente</v>
          </cell>
        </row>
        <row r="757">
          <cell r="A757" t="str">
            <v>Pipeta de gas de 100 lbas cargada</v>
          </cell>
        </row>
        <row r="758">
          <cell r="A758" t="str">
            <v>Pisavidrios en tuberia cuadrada de 1/2"</v>
          </cell>
        </row>
        <row r="759">
          <cell r="A759" t="str">
            <v>Piso Duropiso 33 x 33</v>
          </cell>
        </row>
        <row r="760">
          <cell r="A760" t="str">
            <v>Pivote de piso</v>
          </cell>
        </row>
        <row r="761">
          <cell r="A761" t="str">
            <v>Pivote metalico</v>
          </cell>
        </row>
        <row r="762">
          <cell r="A762" t="str">
            <v>Placa gyplac de 1/2"</v>
          </cell>
        </row>
        <row r="763">
          <cell r="A763" t="str">
            <v>Placa standar en yeso para paredes y revestimientos de Drywall (1.22*2.44*12.7 m.m (1/2"))</v>
          </cell>
        </row>
        <row r="764">
          <cell r="A764" t="str">
            <v>Plafon loza</v>
          </cell>
        </row>
        <row r="765">
          <cell r="A765" t="str">
            <v>Planta afuga, para cobertura vegetal</v>
          </cell>
        </row>
        <row r="766">
          <cell r="A766" t="str">
            <v>Planta agapanto cobertura</v>
          </cell>
        </row>
        <row r="767">
          <cell r="A767" t="str">
            <v>Planta Psitacuorum para cobertura vegetal</v>
          </cell>
        </row>
        <row r="768">
          <cell r="A768" t="str">
            <v>Planta telefónica digital 3 tron, 8 ext. expandible.</v>
          </cell>
        </row>
        <row r="769">
          <cell r="A769" t="str">
            <v>plastico C. 4</v>
          </cell>
        </row>
        <row r="770">
          <cell r="A770" t="str">
            <v>Plastocrete DM Impermeabilizante para concreto - Sika</v>
          </cell>
        </row>
        <row r="771">
          <cell r="A771" t="str">
            <v>Platina de  2"X1/2"</v>
          </cell>
        </row>
        <row r="772">
          <cell r="A772" t="str">
            <v>Platina de 1 1/2" x 3/16"</v>
          </cell>
        </row>
        <row r="773">
          <cell r="A773" t="str">
            <v>Platina de 1/2" x 1/8"</v>
          </cell>
        </row>
        <row r="774">
          <cell r="A774" t="str">
            <v>Platina de 2 1/2" x 1/2"</v>
          </cell>
        </row>
        <row r="775">
          <cell r="A775" t="str">
            <v>Platina de 2" x 1/2"</v>
          </cell>
        </row>
        <row r="776">
          <cell r="A776" t="str">
            <v>Platina de de 11/2" x 3/16" *</v>
          </cell>
        </row>
        <row r="777">
          <cell r="A777" t="str">
            <v>Platina metalica de 4" x 1/2"</v>
          </cell>
        </row>
        <row r="778">
          <cell r="A778" t="str">
            <v>Plug canon 3117 hembra o similar para microfono</v>
          </cell>
        </row>
        <row r="779">
          <cell r="A779" t="str">
            <v>Plumeria, Habano</v>
          </cell>
        </row>
        <row r="780">
          <cell r="A780" t="str">
            <v>Polietileno negro construccion</v>
          </cell>
        </row>
        <row r="781">
          <cell r="A781" t="str">
            <v>Postes en tub galv de 1,9</v>
          </cell>
        </row>
        <row r="782">
          <cell r="A782" t="str">
            <v>Pozuelo en acero inoxidable de 500x500x250mm.AISI 304 C18 + trans</v>
          </cell>
        </row>
        <row r="783">
          <cell r="A783" t="str">
            <v>Pozuelo en acero inoxidable de 500x500x300mm.AISI 304 C18 + trans</v>
          </cell>
        </row>
        <row r="784">
          <cell r="A784" t="str">
            <v>Prensaestopa</v>
          </cell>
        </row>
        <row r="785">
          <cell r="A785" t="str">
            <v>Proyector orlux MH 150W, 208/220V;  incluye bombillo ROSCA E-27 VENTURA CLARO O FOSFORADO.</v>
          </cell>
        </row>
        <row r="786">
          <cell r="A786" t="str">
            <v>PTS  DE 4" X 4" espesor 3 mm.</v>
          </cell>
        </row>
        <row r="787">
          <cell r="A787" t="str">
            <v>PTS 2" x 1" x 3 mm.</v>
          </cell>
        </row>
        <row r="788">
          <cell r="A788" t="str">
            <v>PTS 40x40 calibre 14</v>
          </cell>
        </row>
        <row r="789">
          <cell r="A789" t="str">
            <v>PTS de 40x40x2mm</v>
          </cell>
        </row>
        <row r="790">
          <cell r="A790" t="str">
            <v>PTS de 50x12.5x2.5 mm</v>
          </cell>
        </row>
        <row r="791">
          <cell r="A791" t="str">
            <v>PTS DE 80X40X2,5 mm-</v>
          </cell>
        </row>
        <row r="792">
          <cell r="A792" t="str">
            <v>PTS metalico de 100x80x3 mm</v>
          </cell>
        </row>
        <row r="793">
          <cell r="A793" t="str">
            <v>PTS metalico de 80x40x2</v>
          </cell>
        </row>
        <row r="794">
          <cell r="A794" t="str">
            <v>Puerta de 0.50 a 0.60 x 1.60 m. en acero inoxidable AISI 304, cal 20, e= 3 cm.</v>
          </cell>
        </row>
        <row r="795">
          <cell r="A795" t="str">
            <v>Puesta a tierra segun norma ANSI/TIA/EIA607</v>
          </cell>
        </row>
        <row r="796">
          <cell r="A796" t="str">
            <v>Pulida bordes vidrios y/o espejos</v>
          </cell>
        </row>
        <row r="797">
          <cell r="A797" t="str">
            <v>Pulsadores antiatraco</v>
          </cell>
        </row>
        <row r="798">
          <cell r="A798" t="str">
            <v>Punta pararrayos 60 cms por 1/2" con base horizontal o vertical</v>
          </cell>
        </row>
        <row r="799">
          <cell r="A799" t="str">
            <v>Rack 60x57.5x45.</v>
          </cell>
        </row>
        <row r="800">
          <cell r="A800" t="str">
            <v>Rack de audio de 1 metro</v>
          </cell>
        </row>
        <row r="801">
          <cell r="A801" t="str">
            <v>Rack de audio de 1.8 metro</v>
          </cell>
        </row>
        <row r="802">
          <cell r="A802" t="str">
            <v>Rack2.1 cerrado</v>
          </cell>
        </row>
        <row r="803">
          <cell r="A803" t="str">
            <v>Reduccion Hierro ductil 4 x 21/2</v>
          </cell>
        </row>
        <row r="804">
          <cell r="A804" t="str">
            <v>Reducciòn PVC-P de 3/4" a 1/2"</v>
          </cell>
        </row>
        <row r="805">
          <cell r="A805" t="str">
            <v>Reducciòn PVC-S DE 4"  a 2"</v>
          </cell>
        </row>
        <row r="806">
          <cell r="A806" t="str">
            <v>Reducciòn PVC-S DE 4"  a 3"</v>
          </cell>
        </row>
        <row r="807">
          <cell r="A807" t="str">
            <v>Reduccion ranurada 1 1/2" x 1 1/4"</v>
          </cell>
        </row>
        <row r="808">
          <cell r="A808" t="str">
            <v>Reduccion ranurada 2 1/2" x 1 1/2"</v>
          </cell>
        </row>
        <row r="809">
          <cell r="A809" t="str">
            <v>Reduccion ranurada 3" x 1 1/2"</v>
          </cell>
        </row>
        <row r="810">
          <cell r="A810" t="str">
            <v>Reduccion roscada 11/2" x 1"</v>
          </cell>
        </row>
        <row r="811">
          <cell r="A811" t="str">
            <v>Reduccion tuerca galvanizada de 2" x 1 1/2"</v>
          </cell>
        </row>
        <row r="812">
          <cell r="A812" t="str">
            <v>Reduccion tuerca galvanizada de 3/4" x 1/2"</v>
          </cell>
        </row>
        <row r="813">
          <cell r="A813" t="str">
            <v>Regleta plastica de 10Ps</v>
          </cell>
        </row>
        <row r="814">
          <cell r="A814" t="str">
            <v>Regleta simons 10 pares con base y fichos.</v>
          </cell>
        </row>
        <row r="815">
          <cell r="A815" t="str">
            <v>Regulador para gas marca Bryan Donkin . Presion salida 140 milibar</v>
          </cell>
        </row>
        <row r="816">
          <cell r="A816" t="str">
            <v>Regulador para gas marca Humcar modelo R4UE, presion de entrada 1-4BAR, presion salida 0.018-0.023BAR</v>
          </cell>
        </row>
        <row r="817">
          <cell r="A817" t="str">
            <v>Regulador para gas marca Humcar modelo R7UE</v>
          </cell>
        </row>
        <row r="818">
          <cell r="A818" t="str">
            <v>Regulador para gas propano, tipo Humcar o equivalente, R-30 GLP</v>
          </cell>
        </row>
        <row r="819">
          <cell r="A819" t="str">
            <v>Reja carcamo en T tipo colrejillas fija de 0,30x3,0m.</v>
          </cell>
        </row>
        <row r="820">
          <cell r="A820" t="str">
            <v>Reja carcamo en T tipo colrejillas removible con marco de 0,30x1,0m.</v>
          </cell>
        </row>
        <row r="821">
          <cell r="A821" t="str">
            <v>Reja para suminedo tipo A</v>
          </cell>
        </row>
        <row r="822">
          <cell r="A822" t="str">
            <v>Reja para suminedo tipo B</v>
          </cell>
        </row>
        <row r="823">
          <cell r="A823" t="str">
            <v>Rejilla bronce y aluminio de 4"</v>
          </cell>
        </row>
        <row r="824">
          <cell r="A824" t="str">
            <v>Rejilla combinada Aluminio bronce de 3x2"</v>
          </cell>
        </row>
        <row r="825">
          <cell r="A825" t="str">
            <v>Rejilla de Piso 3x2 Aluminio/bronce</v>
          </cell>
        </row>
        <row r="826">
          <cell r="A826" t="str">
            <v>Rejilla de Piso 4x3 Aluminio/bronce</v>
          </cell>
        </row>
        <row r="827">
          <cell r="A827" t="str">
            <v>Rejilla de piso 5"x4" en bronce</v>
          </cell>
        </row>
        <row r="828">
          <cell r="A828" t="str">
            <v>Rejilla en acero ASTM A-36 de 0.4x.0.9 m</v>
          </cell>
        </row>
        <row r="829">
          <cell r="A829" t="str">
            <v>Rejilla en Acero ASTM A-36 Fabricadas</v>
          </cell>
        </row>
        <row r="830">
          <cell r="A830" t="str">
            <v>Relay bipolar (relay 002-2pl)</v>
          </cell>
        </row>
        <row r="831">
          <cell r="A831" t="str">
            <v>Relay monopolar 30amp (relay 030)</v>
          </cell>
        </row>
        <row r="832">
          <cell r="A832" t="str">
            <v>Remate TPO para teja METECNO.</v>
          </cell>
        </row>
        <row r="833">
          <cell r="A833" t="str">
            <v>Remates de cubierta Sandwich</v>
          </cell>
        </row>
        <row r="834">
          <cell r="A834" t="str">
            <v>Repelente de agua transparente antimusgo 10 años. (0.15 kg/m2)</v>
          </cell>
        </row>
        <row r="835">
          <cell r="A835" t="str">
            <v>Resanes de las canchas</v>
          </cell>
        </row>
        <row r="836">
          <cell r="A836" t="str">
            <v>Riel metalico en U con dos canales en v</v>
          </cell>
        </row>
        <row r="837">
          <cell r="A837" t="str">
            <v xml:space="preserve">Riel metalico guia </v>
          </cell>
        </row>
        <row r="838">
          <cell r="A838" t="str">
            <v>RL expansion hembra rosca interna de 3/8 marca mecano ref. TEH 38X158</v>
          </cell>
        </row>
        <row r="839">
          <cell r="A839" t="str">
            <v>Rociador concealed QR  K 5,6 pendent</v>
          </cell>
        </row>
        <row r="840">
          <cell r="A840" t="str">
            <v>Rodachin guia</v>
          </cell>
        </row>
        <row r="841">
          <cell r="A841" t="str">
            <v>Rodachin para colgante</v>
          </cell>
        </row>
        <row r="842">
          <cell r="A842" t="str">
            <v>Ruana galvanizada cal. 24 des=33 cm</v>
          </cell>
        </row>
        <row r="843">
          <cell r="A843" t="str">
            <v>Sanitario bajo consumo</v>
          </cell>
        </row>
        <row r="844">
          <cell r="A844" t="str">
            <v>Sanitario bajo consumo avanti</v>
          </cell>
        </row>
        <row r="845">
          <cell r="A845" t="str">
            <v>Sanitario discapacitados, ref. 02640 acuajet de corona + transp</v>
          </cell>
        </row>
        <row r="846">
          <cell r="A846" t="str">
            <v>Sanitario infantil blanco Corona completo con grifería</v>
          </cell>
        </row>
        <row r="847">
          <cell r="A847" t="str">
            <v>Sanitario infantil Corona o similar completo con griferia</v>
          </cell>
        </row>
        <row r="848">
          <cell r="A848" t="str">
            <v>Selector de 12 zonas para la interconexion de los diferentes ramales o señales de audio de todo el sistema.</v>
          </cell>
        </row>
        <row r="849">
          <cell r="A849" t="str">
            <v>Sellador madera ultralac</v>
          </cell>
        </row>
        <row r="850">
          <cell r="A850" t="str">
            <v>Sellalon fondo de junta  de D= 1/2"</v>
          </cell>
        </row>
        <row r="851">
          <cell r="A851" t="str">
            <v>Sellante poliuretano</v>
          </cell>
        </row>
        <row r="852">
          <cell r="A852" t="str">
            <v>Sello elastomerico de 6"</v>
          </cell>
        </row>
        <row r="853">
          <cell r="A853" t="str">
            <v>Sensor fotoelectrico</v>
          </cell>
        </row>
        <row r="854">
          <cell r="A854" t="str">
            <v>Sensor presencia muro</v>
          </cell>
        </row>
        <row r="855">
          <cell r="A855" t="str">
            <v>Separador SSC8AG</v>
          </cell>
        </row>
        <row r="856">
          <cell r="A856" t="str">
            <v>Separol o equivalente</v>
          </cell>
        </row>
        <row r="857">
          <cell r="A857" t="str">
            <v>Siamesa de 3" en Hierro Bronce</v>
          </cell>
        </row>
        <row r="858">
          <cell r="A858" t="str">
            <v>Sifon botella lavamanos</v>
          </cell>
        </row>
        <row r="859">
          <cell r="A859" t="str">
            <v>Sifon botella para orinal</v>
          </cell>
        </row>
        <row r="860">
          <cell r="A860" t="str">
            <v>Sifon en T cromado lavamanos</v>
          </cell>
        </row>
        <row r="861">
          <cell r="A861" t="str">
            <v>Sifon PVC-S 135º 3"</v>
          </cell>
        </row>
        <row r="862">
          <cell r="A862" t="str">
            <v>Sifon PVC-S 135º 4"</v>
          </cell>
        </row>
        <row r="863">
          <cell r="A863" t="str">
            <v>Sifon PVC-S d= 1 1/2" con tapon - pavco o equivalente</v>
          </cell>
        </row>
        <row r="864">
          <cell r="A864" t="str">
            <v>Sifon PVC-S de 2" con registro</v>
          </cell>
        </row>
        <row r="865">
          <cell r="A865" t="str">
            <v>Sika 1- impermeabilizante integral - morteros y concretos</v>
          </cell>
        </row>
        <row r="866">
          <cell r="A866" t="str">
            <v>Sika flex de 300 cm3.</v>
          </cell>
        </row>
        <row r="867">
          <cell r="A867" t="str">
            <v>Sika fluid o equivalente (Rend. 250 gr x bto) x 25 Kg</v>
          </cell>
        </row>
        <row r="868">
          <cell r="A868" t="str">
            <v>Sika rod -espuma de poliolefina de 6 mm.</v>
          </cell>
        </row>
        <row r="869">
          <cell r="A869" t="str">
            <v>Sika Transparente</v>
          </cell>
        </row>
        <row r="870">
          <cell r="A870" t="str">
            <v>Sikadur 32 primer</v>
          </cell>
        </row>
        <row r="871">
          <cell r="A871" t="str">
            <v>Sikadur 42 anclaje</v>
          </cell>
        </row>
        <row r="872">
          <cell r="A872" t="str">
            <v>Silicona antihongos por 300 mm</v>
          </cell>
        </row>
        <row r="873">
          <cell r="A873" t="str">
            <v>Siliconite</v>
          </cell>
        </row>
        <row r="874">
          <cell r="A874" t="str">
            <v>Sillar prefabricado Muro de 15 cm l=40 cm</v>
          </cell>
        </row>
        <row r="875">
          <cell r="A875" t="str">
            <v>silocona antihongos x 300 mm</v>
          </cell>
        </row>
        <row r="876">
          <cell r="A876" t="str">
            <v>Sirena 30w 2 tonos - 6-12 vdc</v>
          </cell>
        </row>
        <row r="877">
          <cell r="A877" t="str">
            <v>Sirena 75 db 12-30 V DC</v>
          </cell>
        </row>
        <row r="878">
          <cell r="A878" t="str">
            <v>Snap 30 mm tipo Dehn</v>
          </cell>
        </row>
        <row r="879">
          <cell r="A879" t="str">
            <v>Soldadura 6011 x 1/8</v>
          </cell>
        </row>
        <row r="880">
          <cell r="A880" t="str">
            <v>Soldadura 6011 x 1/8</v>
          </cell>
        </row>
        <row r="881">
          <cell r="A881" t="str">
            <v>Soldadura 7018</v>
          </cell>
        </row>
        <row r="882">
          <cell r="A882" t="str">
            <v>Soldadura de antimonio (1/2 lb)</v>
          </cell>
        </row>
        <row r="883">
          <cell r="A883" t="str">
            <v>Soldadura de estaño 40-60 para cobre.</v>
          </cell>
        </row>
        <row r="884">
          <cell r="A884" t="str">
            <v>Soldadura electrica</v>
          </cell>
        </row>
        <row r="885">
          <cell r="A885" t="str">
            <v>Soldadura Exotermica CAP No 115</v>
          </cell>
        </row>
        <row r="886">
          <cell r="A886" t="str">
            <v>Soldadura Exotermica CAP No 90</v>
          </cell>
        </row>
        <row r="887">
          <cell r="A887" t="str">
            <v>Soldadura PVC (Union simple)</v>
          </cell>
        </row>
        <row r="888">
          <cell r="A888" t="str">
            <v>Soldadura PVC liquida (1/4) - Pavco o equivalente -</v>
          </cell>
        </row>
        <row r="889">
          <cell r="A889" t="str">
            <v xml:space="preserve">Solera 21/2" x 6 comercial </v>
          </cell>
        </row>
        <row r="890">
          <cell r="A890" t="str">
            <v>Soporte 2B en cercha lateral, soporte para tubo de 1 1/2"</v>
          </cell>
        </row>
        <row r="891">
          <cell r="A891" t="str">
            <v>Soporte de fijación para lav minusvalidos</v>
          </cell>
        </row>
        <row r="892">
          <cell r="A892" t="str">
            <v>Soporte de pared para domo beige marca LG</v>
          </cell>
        </row>
        <row r="893">
          <cell r="A893" t="str">
            <v>Soporte en paral vaciado en aluminio liso</v>
          </cell>
        </row>
        <row r="894">
          <cell r="A894" t="str">
            <v>Soporte mensula SMS025 de 0.25m de longitud</v>
          </cell>
        </row>
        <row r="895">
          <cell r="A895" t="str">
            <v>Soporte tipo 3 para Raiser. soporte para tubo de 2 1/2"</v>
          </cell>
        </row>
        <row r="896">
          <cell r="A896" t="str">
            <v>Soporte tipo 4 en concreto. soporte colgante en losa de concreto para tubo de 1 1/2"</v>
          </cell>
        </row>
        <row r="897">
          <cell r="A897" t="str">
            <v>Soporte tipo 4 en concreto. soporte colgante en losa de concreto para tubo de 2 1/2"</v>
          </cell>
        </row>
        <row r="898">
          <cell r="A898" t="str">
            <v>Soporte tipo C cercha. soporte para tubo de 1 1/4"</v>
          </cell>
        </row>
        <row r="899">
          <cell r="A899" t="str">
            <v>Soporte tipo C en concreto. soporte para tubo de 1"</v>
          </cell>
        </row>
        <row r="900">
          <cell r="A900" t="str">
            <v>Soporte tipo peldaño para bandeja 20x8 cms</v>
          </cell>
        </row>
        <row r="901">
          <cell r="A901" t="str">
            <v>Spliter una entrada dos salidas</v>
          </cell>
        </row>
        <row r="902">
          <cell r="A902" t="str">
            <v>Steeldeck cal 20 de 2"</v>
          </cell>
        </row>
        <row r="903">
          <cell r="A903" t="str">
            <v>Steeldeck cal 22 de 2"</v>
          </cell>
        </row>
        <row r="904">
          <cell r="A904" t="str">
            <v>Stockosorb</v>
          </cell>
        </row>
        <row r="905">
          <cell r="A905" t="str">
            <v>Sub Base Granular con transporte</v>
          </cell>
        </row>
        <row r="906">
          <cell r="A906" t="str">
            <v>Suiche 48 puertos cat + 48 puerto 10/100/1000, con dos puertos a 1000+ 2 slop</v>
          </cell>
        </row>
        <row r="907">
          <cell r="A907" t="str">
            <v>Suiche bipolar de alumbrado</v>
          </cell>
        </row>
        <row r="908">
          <cell r="A908" t="str">
            <v>Suiche monopolar para alumbrado</v>
          </cell>
        </row>
        <row r="909">
          <cell r="A909" t="str">
            <v>Suiche24 puertos 10/100/1000 + 4 puertos SFP ref FGSW2620CS</v>
          </cell>
        </row>
        <row r="910">
          <cell r="A910" t="str">
            <v>Suministro e instalación de basurera acero inoxidable, pivotantes, con dos anclajes.</v>
          </cell>
        </row>
        <row r="911">
          <cell r="A911" t="str">
            <v>Suministro, transporte e instalacion T.C.</v>
          </cell>
        </row>
        <row r="912">
          <cell r="A912" t="str">
            <v>Super T de 19 mm. de 1,53 x 2,44 m.</v>
          </cell>
        </row>
        <row r="913">
          <cell r="A913" t="str">
            <v>Switch de flujo tipo paleta</v>
          </cell>
        </row>
        <row r="914">
          <cell r="A914" t="str">
            <v>Tabique mayor de 1,23m a 1,44m x 1,60m. Para unid sanit</v>
          </cell>
        </row>
        <row r="915">
          <cell r="A915" t="str">
            <v>Tabique paral 1.60 x 1.23-1.44 en acero inoxidable AISI 304, cal 20, e= 3 cm. Incluye transporte</v>
          </cell>
        </row>
        <row r="916">
          <cell r="A916" t="str">
            <v>Tabla madera comun (18 x 1.5 cm)</v>
          </cell>
        </row>
        <row r="917">
          <cell r="A917" t="str">
            <v>Tabla madera común de 2.5 cm x 20cm x 3,0m. Incluye transporte.</v>
          </cell>
        </row>
        <row r="918">
          <cell r="A918" t="str">
            <v>Tablero Bifásico de 24 circuitos.</v>
          </cell>
        </row>
        <row r="919">
          <cell r="A919" t="str">
            <v>Tablero Bifásico de 8 circuitos.</v>
          </cell>
        </row>
        <row r="920">
          <cell r="A920" t="str">
            <v>Tablero lamina acerada cudriculada magnetica ecologica</v>
          </cell>
        </row>
        <row r="921">
          <cell r="A921" t="str">
            <v>Tablero magnetico acerado blanco cuadriculado</v>
          </cell>
        </row>
        <row r="922">
          <cell r="A922" t="str">
            <v>Tablero magnetico acerado verde cuadriculado</v>
          </cell>
        </row>
        <row r="923">
          <cell r="A923" t="str">
            <v>Tablero ml con 12 circuitos, Calibre 16</v>
          </cell>
        </row>
        <row r="924">
          <cell r="A924" t="str">
            <v>Tablero monofasico NTQ-408-STQ de 8 circuitos.</v>
          </cell>
        </row>
        <row r="925">
          <cell r="A925" t="str">
            <v>Tablero monofasico NTQ-412-STQ de 12 circuitos.</v>
          </cell>
        </row>
        <row r="926">
          <cell r="A926" t="str">
            <v>Tablero monofasico NTQ-418-STQ de 18 circuitos.</v>
          </cell>
        </row>
        <row r="927">
          <cell r="A927" t="str">
            <v>Tablero totalizador</v>
          </cell>
        </row>
        <row r="928">
          <cell r="A928" t="str">
            <v>Tablero trifasico NTQ-412-STQ con espacio para totalizador de 12 circuitos.</v>
          </cell>
        </row>
        <row r="929">
          <cell r="A929" t="str">
            <v>Tablero trifasico NTQ-418-STQ con espacio para totalizador de 18 circuitos.</v>
          </cell>
        </row>
        <row r="930">
          <cell r="A930" t="str">
            <v>Tablero trifasico NTQ-424-STQ con espacio para totalizador de 24 circuitos.</v>
          </cell>
        </row>
        <row r="931">
          <cell r="A931" t="str">
            <v>Tablero trifasico NTQ-436-STQ con espacio para totalizador de 36 circuitos.</v>
          </cell>
        </row>
        <row r="932">
          <cell r="A932" t="str">
            <v>Tableta de gres tipo tradicion de 30 x 30 moro/sahara</v>
          </cell>
        </row>
        <row r="933">
          <cell r="A933" t="str">
            <v>Tableta Gres etrusca Sahara de 0,07 x 0,25 m</v>
          </cell>
        </row>
        <row r="934">
          <cell r="A934" t="str">
            <v>Tablilla pino cipres</v>
          </cell>
        </row>
        <row r="935">
          <cell r="A935" t="str">
            <v>tablilla zapan de 10 cm x 1,7 cm</v>
          </cell>
        </row>
        <row r="936">
          <cell r="A936" t="str">
            <v>Tablon vitrificado  antid liso de 25 x25</v>
          </cell>
        </row>
        <row r="937">
          <cell r="A937" t="str">
            <v>Tactil para la instalacion de la alfombra</v>
          </cell>
        </row>
        <row r="938">
          <cell r="A938" t="str">
            <v>Tapa metalica de 20x20cm para caja polivalvula de red de gas en lamina de 6.35mm</v>
          </cell>
        </row>
        <row r="939">
          <cell r="A939" t="str">
            <v>Tapa para MH de 1.2 m</v>
          </cell>
        </row>
        <row r="940">
          <cell r="A940" t="str">
            <v>Tapa para toma intemperie</v>
          </cell>
        </row>
        <row r="941">
          <cell r="A941" t="str">
            <v>Tapa plastica para registro 20 x 20</v>
          </cell>
        </row>
        <row r="942">
          <cell r="A942" t="str">
            <v>Tapa shut en acero inox + tranp</v>
          </cell>
        </row>
        <row r="943">
          <cell r="A943" t="str">
            <v>Tapon de Cobre, d= 1".</v>
          </cell>
        </row>
        <row r="944">
          <cell r="A944" t="str">
            <v>Tapon de Cobre, d= 1/2".</v>
          </cell>
        </row>
        <row r="945">
          <cell r="A945" t="str">
            <v>Tapon de Cobre, d= 3/4".</v>
          </cell>
        </row>
        <row r="946">
          <cell r="A946" t="str">
            <v>Tapon de prueba de 2"</v>
          </cell>
        </row>
        <row r="947">
          <cell r="A947" t="str">
            <v>Tapon de prueba de 3"</v>
          </cell>
        </row>
        <row r="948">
          <cell r="A948" t="str">
            <v>Tapon de prueba de 4"</v>
          </cell>
        </row>
        <row r="949">
          <cell r="A949" t="str">
            <v>Tapon en polietileno de 25mm</v>
          </cell>
        </row>
        <row r="950">
          <cell r="A950" t="str">
            <v>Tapon macho galvanizado 1/2", con tuerca</v>
          </cell>
        </row>
        <row r="951">
          <cell r="A951" t="str">
            <v>Tapon macho galvanizado 3/4" con tuerca</v>
          </cell>
        </row>
        <row r="952">
          <cell r="A952" t="str">
            <v>Tapon macho galvanizado de 1"</v>
          </cell>
        </row>
        <row r="953">
          <cell r="A953" t="str">
            <v>Tapon macho galvanizado de 1/2"</v>
          </cell>
        </row>
        <row r="954">
          <cell r="A954" t="str">
            <v>Tapon macho galvanizado de 3/4"</v>
          </cell>
        </row>
        <row r="955">
          <cell r="A955" t="str">
            <v>Tapon prueba PVC-S d= 2" - Pavco o equivalente</v>
          </cell>
        </row>
        <row r="956">
          <cell r="A956" t="str">
            <v>Tapon prueba PVC-S d= 3" - Pavco o equivalente</v>
          </cell>
        </row>
        <row r="957">
          <cell r="A957" t="str">
            <v>Tapon prueba PVC-S d= 4" - Pavco o equivalente</v>
          </cell>
        </row>
        <row r="958">
          <cell r="A958" t="str">
            <v>Tapon PVC-Filtro 100 mm. - Pavco o equivalente</v>
          </cell>
        </row>
        <row r="959">
          <cell r="A959" t="str">
            <v>Tapon PVC-P ROSCADO d= 1" - Pavco o equivalente</v>
          </cell>
        </row>
        <row r="960">
          <cell r="A960" t="str">
            <v>Tapon PVC-P ROSCADO d= 1/2" - Pavco o equivalente</v>
          </cell>
        </row>
        <row r="961">
          <cell r="A961" t="str">
            <v>Tapon PVC-P ROSCADO d= 1/2" - Pavco o equivalente</v>
          </cell>
        </row>
        <row r="962">
          <cell r="A962" t="str">
            <v>Tapón PVC-P soldado 1"</v>
          </cell>
        </row>
        <row r="963">
          <cell r="A963" t="str">
            <v>Tapon rosca para brida de fijacion</v>
          </cell>
        </row>
        <row r="964">
          <cell r="A964" t="str">
            <v>Taps 9 dbls</v>
          </cell>
        </row>
        <row r="965">
          <cell r="A965" t="str">
            <v>Teclado lcd para serie power</v>
          </cell>
        </row>
        <row r="966">
          <cell r="A966" t="str">
            <v>Tee de cobre de 1"</v>
          </cell>
        </row>
        <row r="967">
          <cell r="A967" t="str">
            <v>Tee de cobre para agua caliente de 1/2"</v>
          </cell>
        </row>
        <row r="968">
          <cell r="A968" t="str">
            <v>Tee de cobre para agua caliente de 3/4"</v>
          </cell>
        </row>
        <row r="969">
          <cell r="A969" t="str">
            <v>Tee de Cu Ø= 1/2"</v>
          </cell>
        </row>
        <row r="970">
          <cell r="A970" t="str">
            <v>Tee de Cu Ø= 3/4"</v>
          </cell>
        </row>
        <row r="971">
          <cell r="A971" t="str">
            <v>Tee en acero galvanizado de 1/2"</v>
          </cell>
        </row>
        <row r="972">
          <cell r="A972" t="str">
            <v>Tee en acero galvanizado de 3/4"</v>
          </cell>
        </row>
        <row r="973">
          <cell r="A973" t="str">
            <v>Tee en polietileno de 25mm</v>
          </cell>
        </row>
        <row r="974">
          <cell r="A974" t="str">
            <v>Tee galv 1 1/2"</v>
          </cell>
        </row>
        <row r="975">
          <cell r="A975" t="str">
            <v>Tee Hierro Ductil 4"</v>
          </cell>
        </row>
        <row r="976">
          <cell r="A976" t="str">
            <v>Tee Hierro ductil reducida de 4" x 2 1/2"</v>
          </cell>
        </row>
        <row r="977">
          <cell r="A977" t="str">
            <v>Tee Hierro ductil reducida de 4" x 3"</v>
          </cell>
        </row>
        <row r="978">
          <cell r="A978" t="str">
            <v>Tee Partida 3 x 1 1/2"-Collar Derivacion 3 x 1 1/2"</v>
          </cell>
        </row>
        <row r="979">
          <cell r="A979" t="str">
            <v>Tee Partida 4 x 1 1/2"-Collar Derivacion 4 x 1 1/2"</v>
          </cell>
        </row>
        <row r="980">
          <cell r="A980" t="str">
            <v>Tee PVC-P d= 1 1/2"</v>
          </cell>
        </row>
        <row r="981">
          <cell r="A981" t="str">
            <v>Tee PVC-P d= 1 1/2"</v>
          </cell>
        </row>
        <row r="982">
          <cell r="A982" t="str">
            <v>Tee PVC-P d= 1"</v>
          </cell>
        </row>
        <row r="983">
          <cell r="A983" t="str">
            <v>Tee PVC-P d= 1/2"</v>
          </cell>
        </row>
        <row r="984">
          <cell r="A984" t="str">
            <v>Tee PVC-P d= 2 1/2"</v>
          </cell>
        </row>
        <row r="985">
          <cell r="A985" t="str">
            <v>Tee PVC-P d= 3/4"</v>
          </cell>
        </row>
        <row r="986">
          <cell r="A986" t="str">
            <v>Tee PVC-P Ø= 2 1/2"</v>
          </cell>
        </row>
        <row r="987">
          <cell r="A987" t="str">
            <v>Tee PVC-P Ø= 2"</v>
          </cell>
        </row>
        <row r="988">
          <cell r="A988" t="str">
            <v>Tee PVC-P reducida  de 1" a 1/2"</v>
          </cell>
        </row>
        <row r="989">
          <cell r="A989" t="str">
            <v>Tee PVC-P reducida  de 3/4" a 1/2"</v>
          </cell>
        </row>
        <row r="990">
          <cell r="A990" t="str">
            <v>Tee PVC-Presion, d= 3" - Pavco o equivalente.</v>
          </cell>
        </row>
        <row r="991">
          <cell r="A991" t="str">
            <v>Tee PVC-S d= 1 1/2" - Pavco o equivalente.</v>
          </cell>
        </row>
        <row r="992">
          <cell r="A992" t="str">
            <v>Tee PVC-S d= 2" - Pavco o equivalente.</v>
          </cell>
        </row>
        <row r="993">
          <cell r="A993" t="str">
            <v>Tee PVC-S d= 2"x1 1/2" - Pavco o equivalente.</v>
          </cell>
        </row>
        <row r="994">
          <cell r="A994" t="str">
            <v>Tee PVC-S d= 3" - Pavco o equivalente.</v>
          </cell>
        </row>
        <row r="995">
          <cell r="A995" t="str">
            <v>Tee PVC-S d= 3"x2" - Pavco o equivalente.</v>
          </cell>
        </row>
        <row r="996">
          <cell r="A996" t="str">
            <v>Tee PVC-S d= 4" - Pavco o equivalente.</v>
          </cell>
        </row>
        <row r="997">
          <cell r="A997" t="str">
            <v>Tee PVC-S d= 4"x2" - Pavco o equivalente.</v>
          </cell>
        </row>
        <row r="998">
          <cell r="A998" t="str">
            <v>Tee PVC-S d= 4"x3" - Pavco o equivalente.</v>
          </cell>
        </row>
        <row r="999">
          <cell r="A999" t="str">
            <v>Tee PVC-S d= 6" - Pavco o equivalente.</v>
          </cell>
        </row>
        <row r="1000">
          <cell r="A1000" t="str">
            <v>Tee PVC-S d= 6"x4" - Pavco o equivalente.</v>
          </cell>
        </row>
        <row r="1001">
          <cell r="A1001" t="str">
            <v>Tee PVC-S d= 8" - Pavco o equivalente.</v>
          </cell>
        </row>
        <row r="1002">
          <cell r="A1002" t="str">
            <v>Tee PVC-S d= 8"x4" - Pavco o equivalente.</v>
          </cell>
        </row>
        <row r="1003">
          <cell r="A1003" t="str">
            <v>Tee ranurada 1 1/2" ul/fm</v>
          </cell>
        </row>
        <row r="1004">
          <cell r="A1004" t="str">
            <v>Tee ranurada 1 1/2" ul/fm</v>
          </cell>
        </row>
        <row r="1005">
          <cell r="A1005" t="str">
            <v>Tee ranurada 1 1/2x1 1/4" ul/fm</v>
          </cell>
        </row>
        <row r="1006">
          <cell r="A1006" t="str">
            <v>Tee ranurada 1x1/2" ul/fm</v>
          </cell>
        </row>
        <row r="1007">
          <cell r="A1007" t="str">
            <v>Tee ranurada 2 1/2" ul/fm</v>
          </cell>
        </row>
        <row r="1008">
          <cell r="A1008" t="str">
            <v>Tee ranurada 3" ul/fm</v>
          </cell>
        </row>
        <row r="1009">
          <cell r="A1009" t="str">
            <v>Tee ranurada 3x2 1/2" ul/fm</v>
          </cell>
        </row>
        <row r="1010">
          <cell r="A1010" t="str">
            <v xml:space="preserve">Teja Ajota translucida </v>
          </cell>
        </row>
        <row r="1011">
          <cell r="A1011" t="str">
            <v>Teja de barro</v>
          </cell>
        </row>
        <row r="1012">
          <cell r="A1012" t="str">
            <v>Teja de paneles Metecno o su equivalente, ref: TECHMET DRY</v>
          </cell>
        </row>
        <row r="1013">
          <cell r="A1013" t="str">
            <v>Teja eternit</v>
          </cell>
        </row>
        <row r="1014">
          <cell r="A1014" t="str">
            <v>Teja monoroof A-42 P1000 G-4 cal 28 e=0,04 m.</v>
          </cell>
        </row>
        <row r="1015">
          <cell r="A1015" t="str">
            <v>Tela asfaltica irrompible de 1,5 mm.</v>
          </cell>
        </row>
        <row r="1016">
          <cell r="A1016" t="str">
            <v>Tela cerramiento obra verde, ancho: 2.10 m.</v>
          </cell>
        </row>
        <row r="1017">
          <cell r="A1017" t="str">
            <v>Telefono analogo de mesa, Suministro e instalacion</v>
          </cell>
        </row>
        <row r="1018">
          <cell r="A1018" t="str">
            <v>Telefono conmutador DT 333, Suministro e instalacion</v>
          </cell>
        </row>
        <row r="1019">
          <cell r="A1019" t="str">
            <v>Telefono IP 1de mesa 603SW 1, Suministro e instalacion</v>
          </cell>
        </row>
        <row r="1020">
          <cell r="A1020" t="str">
            <v>Thinner</v>
          </cell>
        </row>
        <row r="1021">
          <cell r="A1021" t="str">
            <v>Thinner (gas)</v>
          </cell>
        </row>
        <row r="1022">
          <cell r="A1022" t="str">
            <v>Tierra abonada incluye transporte</v>
          </cell>
        </row>
        <row r="1023">
          <cell r="A1023" t="str">
            <v>tiradera doble fin</v>
          </cell>
        </row>
        <row r="1024">
          <cell r="A1024" t="str">
            <v>toallero linea economica</v>
          </cell>
        </row>
        <row r="1025">
          <cell r="A1025" t="str">
            <v>Toma 110 para mueble laboratorio</v>
          </cell>
        </row>
        <row r="1026">
          <cell r="A1026" t="str">
            <v>Toma 220 para mueble laboratorio</v>
          </cell>
        </row>
        <row r="1027">
          <cell r="A1027" t="str">
            <v>Toma doble + Polo a tierra</v>
          </cell>
        </row>
        <row r="1028">
          <cell r="A1028" t="str">
            <v>Toma doble + Polo a tierra, sin tapa</v>
          </cell>
        </row>
        <row r="1029">
          <cell r="A1029" t="str">
            <v>Toma doble con polo a tierra GFCI. Incluye wallplate</v>
          </cell>
        </row>
        <row r="1030">
          <cell r="A1030" t="str">
            <v>Toma doble con polo a tierra IG. Color Naranja</v>
          </cell>
        </row>
        <row r="1031">
          <cell r="A1031" t="str">
            <v>Toma doble para microfono tm 242 o similar</v>
          </cell>
        </row>
        <row r="1032">
          <cell r="A1032" t="str">
            <v>Toma doble polo aislado</v>
          </cell>
        </row>
        <row r="1033">
          <cell r="A1033" t="str">
            <v>Toma doble RJ-11</v>
          </cell>
        </row>
        <row r="1034">
          <cell r="A1034" t="str">
            <v>Toma doble salida sencilla RJ-45</v>
          </cell>
        </row>
        <row r="1035">
          <cell r="A1035" t="str">
            <v>Toma para salida de TV KORA</v>
          </cell>
        </row>
        <row r="1036">
          <cell r="A1036" t="str">
            <v>Toma salida sencilla RJ-45</v>
          </cell>
        </row>
        <row r="1037">
          <cell r="A1037" t="str">
            <v>Toma secillo de piso. Incluye tapa met lica</v>
          </cell>
        </row>
        <row r="1038">
          <cell r="A1038" t="str">
            <v>Toma sonido KORA</v>
          </cell>
        </row>
        <row r="1039">
          <cell r="A1039" t="str">
            <v>Tomacorriente trifilar de 20 amperios de empotrar con tapa.</v>
          </cell>
        </row>
        <row r="1040">
          <cell r="A1040" t="str">
            <v>Tomacorriente trifilar de 30 amperios de empotrar con tapa.</v>
          </cell>
        </row>
        <row r="1041">
          <cell r="A1041" t="str">
            <v>Tornillo</v>
          </cell>
        </row>
        <row r="1042">
          <cell r="A1042" t="str">
            <v>Tornillo 2"</v>
          </cell>
        </row>
        <row r="1043">
          <cell r="A1043" t="str">
            <v>Tornillo 5 x 11/2" para madera +dama</v>
          </cell>
        </row>
        <row r="1044">
          <cell r="A1044" t="str">
            <v>Tornillo Autoperforante zincado cabeza hexagonal Nº 10-16-3/4" con arandela de neopreno.</v>
          </cell>
        </row>
        <row r="1045">
          <cell r="A1045" t="str">
            <v>Tornillo autoroscante de cubierta</v>
          </cell>
        </row>
        <row r="1046">
          <cell r="A1046" t="str">
            <v>Tornillo autoroscante de remate</v>
          </cell>
        </row>
        <row r="1047">
          <cell r="A1047" t="str">
            <v>Tornillo de 7 x 7/16"</v>
          </cell>
        </row>
        <row r="1048">
          <cell r="A1048" t="str">
            <v>Tornillo drywall</v>
          </cell>
        </row>
        <row r="1049">
          <cell r="A1049" t="str">
            <v>Tornillo espaciador 5/8" para transformador</v>
          </cell>
        </row>
        <row r="1050">
          <cell r="A1050" t="str">
            <v>Tornillo estándar de 6 x1 "</v>
          </cell>
        </row>
        <row r="1051">
          <cell r="A1051" t="str">
            <v>tornillo extraplano</v>
          </cell>
        </row>
        <row r="1052">
          <cell r="A1052" t="str">
            <v>Tornillo lamina ranurado de 6x1"</v>
          </cell>
        </row>
        <row r="1053">
          <cell r="A1053" t="str">
            <v>Tornillo para placa 1" (6x1) para drywall</v>
          </cell>
        </row>
        <row r="1054">
          <cell r="A1054" t="str">
            <v>Tornillos</v>
          </cell>
        </row>
        <row r="1055">
          <cell r="A1055" t="str">
            <v>tornillos *</v>
          </cell>
        </row>
        <row r="1056">
          <cell r="A1056" t="str">
            <v>Torre 64 cms, cal No18 USG</v>
          </cell>
        </row>
        <row r="1057">
          <cell r="A1057" t="str">
            <v>Torre en acero inox para laboratorio</v>
          </cell>
        </row>
        <row r="1058">
          <cell r="A1058" t="str">
            <v>Traba quimica fuerza alta para sellos de fuga en tuberia</v>
          </cell>
        </row>
        <row r="1059">
          <cell r="A1059" t="str">
            <v>Traba quimica fuerza media</v>
          </cell>
        </row>
        <row r="1060">
          <cell r="A1060" t="str">
            <v>Traba quimica fuerza media para sello de fugas en tuberia</v>
          </cell>
        </row>
        <row r="1061">
          <cell r="A1061" t="str">
            <v>Tranceiver 1000 Base SX  SFP Multimodo LC</v>
          </cell>
        </row>
        <row r="1062">
          <cell r="A1062" t="str">
            <v>Transformador Monofasico 50KVA-13200V</v>
          </cell>
        </row>
        <row r="1063">
          <cell r="A1063" t="str">
            <v>Transpote de materiales</v>
          </cell>
        </row>
        <row r="1064">
          <cell r="A1064" t="str">
            <v>Triple 15x15x15</v>
          </cell>
        </row>
        <row r="1065">
          <cell r="A1065" t="str">
            <v>Triplex enchapillado tipo roblemayado con vetas verticales de 1 cm</v>
          </cell>
        </row>
        <row r="1066">
          <cell r="A1066" t="str">
            <v>Triturado 1" con transporte</v>
          </cell>
        </row>
        <row r="1067">
          <cell r="A1067" t="str">
            <v>Triturado 3/4" con transporte</v>
          </cell>
        </row>
        <row r="1068">
          <cell r="A1068" t="str">
            <v>Triturado de 1/2" con transporte</v>
          </cell>
        </row>
        <row r="1069">
          <cell r="A1069" t="str">
            <v>Troquel de un solo servicio cal 18</v>
          </cell>
        </row>
        <row r="1070">
          <cell r="A1070" t="str">
            <v>Troquel doble servicio cal 18</v>
          </cell>
        </row>
        <row r="1071">
          <cell r="A1071" t="str">
            <v>Tuberia  EMT 1"</v>
          </cell>
        </row>
        <row r="1072">
          <cell r="A1072" t="str">
            <v>Tuberia  EMT 1/2"</v>
          </cell>
        </row>
        <row r="1073">
          <cell r="A1073" t="str">
            <v>Tuberia  EMT 3/4"</v>
          </cell>
        </row>
        <row r="1074">
          <cell r="A1074" t="str">
            <v>Tuberia Acero Carbono SCH 40 d= 1 1/2"</v>
          </cell>
        </row>
        <row r="1075">
          <cell r="A1075" t="str">
            <v>Tuberia Acero Carbono SCH 40 d= 1 1/4"</v>
          </cell>
        </row>
        <row r="1076">
          <cell r="A1076" t="str">
            <v>Tuberia Acero Carbono SCH 40 d= 1"</v>
          </cell>
        </row>
        <row r="1077">
          <cell r="A1077" t="str">
            <v>Tuberia Acero Carbono SCH 40 d= 2 1/2"</v>
          </cell>
        </row>
        <row r="1078">
          <cell r="A1078" t="str">
            <v>Tuberia Acero Carbono SCH 40 d= 3"</v>
          </cell>
        </row>
        <row r="1079">
          <cell r="A1079" t="str">
            <v>Tuberia Acero Galvanizado 2" Rigid</v>
          </cell>
        </row>
        <row r="1080">
          <cell r="A1080" t="str">
            <v>Tuberia Acero Galvanizado 3" Rigid</v>
          </cell>
        </row>
        <row r="1081">
          <cell r="A1081" t="str">
            <v>Tuberia cobre para agua caliente 1/2"</v>
          </cell>
        </row>
        <row r="1082">
          <cell r="A1082" t="str">
            <v>Tuberia cobre para agua caliente 3/4"</v>
          </cell>
        </row>
        <row r="1083">
          <cell r="A1083" t="str">
            <v>Tuberia cobre Tipo M de 1"</v>
          </cell>
        </row>
        <row r="1084">
          <cell r="A1084" t="str">
            <v>Tuberia Cu rigido Tipo K d= 1"</v>
          </cell>
        </row>
        <row r="1085">
          <cell r="A1085" t="str">
            <v>Tubería de cobre TL de 1/2"</v>
          </cell>
        </row>
        <row r="1086">
          <cell r="A1086" t="str">
            <v>Tubería de cobre TL de 3/4"</v>
          </cell>
        </row>
        <row r="1087">
          <cell r="A1087" t="str">
            <v>Tuberia en acero de carbono SCH40 de 1/2"</v>
          </cell>
        </row>
        <row r="1088">
          <cell r="A1088" t="str">
            <v>Tuberia en acero de carbono SCH40 de 3/4"</v>
          </cell>
        </row>
        <row r="1089">
          <cell r="A1089" t="str">
            <v>Tuberia estructural cerrada PTS de 40x40x2mm.</v>
          </cell>
        </row>
        <row r="1090">
          <cell r="A1090" t="str">
            <v>Tuberia galv de 1,9"</v>
          </cell>
        </row>
        <row r="1091">
          <cell r="A1091" t="str">
            <v>Tuberia Hierro Galvanizado d= 1 1/2"</v>
          </cell>
        </row>
        <row r="1092">
          <cell r="A1092" t="str">
            <v>Tuberia negra de 2" de 2,5 mm.</v>
          </cell>
        </row>
        <row r="1093">
          <cell r="A1093" t="str">
            <v>Tuberia pesada galvanizada ASTM A54 de d=1 1/2"</v>
          </cell>
        </row>
        <row r="1094">
          <cell r="A1094" t="str">
            <v>Tuberia PTS de 40x40x2 mm.</v>
          </cell>
        </row>
        <row r="1095">
          <cell r="A1095" t="str">
            <v>Tuberia PVC - Novafort d= 250 mm - Pavco o equivalente.</v>
          </cell>
        </row>
        <row r="1096">
          <cell r="A1096" t="str">
            <v>Tuberia PVC perforada (filtro) de d=100mm  - Pavco o equivalente.</v>
          </cell>
        </row>
        <row r="1097">
          <cell r="A1097" t="str">
            <v>Tuberia PVC Sanitaria de d =1 1/2".Pavco o similar</v>
          </cell>
        </row>
        <row r="1098">
          <cell r="A1098" t="str">
            <v>Tuberia PVC-Novafort d= 200 mm. - Pavco o equivalente.</v>
          </cell>
        </row>
        <row r="1099">
          <cell r="A1099" t="str">
            <v>Tubería PVC-Novafort Ø= 160 mm. - Pavco o equivalente.</v>
          </cell>
        </row>
        <row r="1100">
          <cell r="A1100" t="str">
            <v>Tuberia PVC-P RDE 11, d= 3/4" - Pavco o equivalente.</v>
          </cell>
        </row>
        <row r="1101">
          <cell r="A1101" t="str">
            <v>Tuberia PVC-P RDE 13.5 315 PSI, d=1" - Pavco o equivalente.</v>
          </cell>
        </row>
        <row r="1102">
          <cell r="A1102" t="str">
            <v>Tuberia PVC-P RDE 13.5, d= 1" - Pavco o equivalente.</v>
          </cell>
        </row>
        <row r="1103">
          <cell r="A1103" t="str">
            <v xml:space="preserve">Tuberia PVC-P RDE 21 de 6" </v>
          </cell>
        </row>
        <row r="1104">
          <cell r="A1104" t="str">
            <v>Tuberia PVC-P RDE 21, d= 1 1/2" - Pavco o equivalente.</v>
          </cell>
        </row>
        <row r="1105">
          <cell r="A1105" t="str">
            <v>Tuberia PVC-P RDE 21, d= 2 1/2" - Pavco o equivalente.</v>
          </cell>
        </row>
        <row r="1106">
          <cell r="A1106" t="str">
            <v>Tuberia PVC-P RDE 21, d= 3" - Pavco o equivalente.</v>
          </cell>
        </row>
        <row r="1107">
          <cell r="A1107" t="str">
            <v>Tubería PVC-P RDE 21, Ø= 2 ½" - Pavco o equivalente.</v>
          </cell>
        </row>
        <row r="1108">
          <cell r="A1108" t="str">
            <v>Tubería PVC-P RDE 21, Ø= 2" - Pavco o equivalente.</v>
          </cell>
        </row>
        <row r="1109">
          <cell r="A1109" t="str">
            <v>Tuberia PVC-P RDE 9 500 PSI, d= 1/2" - Pavco o equivalente.</v>
          </cell>
        </row>
        <row r="1110">
          <cell r="A1110" t="str">
            <v>Tuberia PVC-P RDE 9 500 PSI, d= 3/4" - Pavco o equivalente.</v>
          </cell>
        </row>
        <row r="1111">
          <cell r="A1111" t="str">
            <v>Tuberia PVC-S d= 2" - Pavco o equivalente.</v>
          </cell>
        </row>
        <row r="1112">
          <cell r="A1112" t="str">
            <v>Tuberia PVC-S d= 3" - Pavco o equivalente.</v>
          </cell>
        </row>
        <row r="1113">
          <cell r="A1113" t="str">
            <v>Tuberia PVC-S d= 3" A.LL- Pavco o equivalente.</v>
          </cell>
        </row>
        <row r="1114">
          <cell r="A1114" t="str">
            <v>Tuberia PVC-S d= 4" - Pavco o equivalente.</v>
          </cell>
        </row>
        <row r="1115">
          <cell r="A1115" t="str">
            <v>Tuberia PVC-S d= 4" - Pavco o equivalente.</v>
          </cell>
        </row>
        <row r="1116">
          <cell r="A1116" t="str">
            <v>Tuberia PVC-S d= 6" - Pavco o equivalente.</v>
          </cell>
        </row>
        <row r="1117">
          <cell r="A1117" t="str">
            <v>Tuberia PVC-V d= 2" A.LL- Pavco o equivalente.</v>
          </cell>
        </row>
        <row r="1118">
          <cell r="A1118" t="str">
            <v>Tuberia PVC-V d= 3" A.LL- Pavco o equivalente.</v>
          </cell>
        </row>
        <row r="1119">
          <cell r="A1119" t="str">
            <v>Tuberia PVC-V d= 4" A.LL - Pavco o equivalente.</v>
          </cell>
        </row>
        <row r="1120">
          <cell r="A1120" t="str">
            <v>Tuberia PVC-V d= 6" A.LL - Pavco o equivalente.</v>
          </cell>
        </row>
        <row r="1121">
          <cell r="A1121" t="str">
            <v>Tuberia PVC-V d= 8" A.LL - Pavco o equivalente.</v>
          </cell>
        </row>
        <row r="1122">
          <cell r="A1122" t="str">
            <v>Tubo  pvc 1" eléctrica</v>
          </cell>
        </row>
        <row r="1123">
          <cell r="A1123" t="str">
            <v>Tubo  pvc 1/2" eléctrica</v>
          </cell>
        </row>
        <row r="1124">
          <cell r="A1124" t="str">
            <v>Tubo  pvc 2" eléctrica</v>
          </cell>
        </row>
        <row r="1125">
          <cell r="A1125" t="str">
            <v>Tubo  pvc 3" eléctrica</v>
          </cell>
        </row>
        <row r="1126">
          <cell r="A1126" t="str">
            <v>Tubo  pvc 3/4" eléctrica</v>
          </cell>
        </row>
        <row r="1127">
          <cell r="A1127" t="str">
            <v>Tubo  pvc 4" eléctrica</v>
          </cell>
        </row>
        <row r="1128">
          <cell r="A1128" t="str">
            <v>Tubo conduit galvanizado pesado de 1"</v>
          </cell>
        </row>
        <row r="1129">
          <cell r="A1129" t="str">
            <v>Tubo conduit galvanizado pesado de 1-1/2"</v>
          </cell>
        </row>
        <row r="1130">
          <cell r="A1130" t="str">
            <v>Tubo EMT de 2"</v>
          </cell>
        </row>
        <row r="1131">
          <cell r="A1131" t="str">
            <v>Tubo metalico galvanizado de 3/4"</v>
          </cell>
        </row>
        <row r="1132">
          <cell r="A1132" t="str">
            <v>Tubo polietileno 25mm -  Pavco o equivalente.</v>
          </cell>
        </row>
        <row r="1133">
          <cell r="A1133" t="str">
            <v>Tubo PVC 1"</v>
          </cell>
        </row>
        <row r="1134">
          <cell r="A1134" t="str">
            <v>Tubo PVC 1/2"</v>
          </cell>
        </row>
        <row r="1135">
          <cell r="A1135" t="str">
            <v>Tubo PVC 1-1/2"</v>
          </cell>
        </row>
        <row r="1136">
          <cell r="A1136" t="str">
            <v>Tubo PVC 1-1/4"</v>
          </cell>
        </row>
        <row r="1137">
          <cell r="A1137" t="str">
            <v>Tubo PVC 2"</v>
          </cell>
        </row>
        <row r="1138">
          <cell r="A1138" t="str">
            <v>Tubo PVC 3"</v>
          </cell>
        </row>
        <row r="1139">
          <cell r="A1139" t="str">
            <v>Tubo PVC 3/4"</v>
          </cell>
        </row>
        <row r="1140">
          <cell r="A1140" t="str">
            <v>Tubular rectangular de 5"x2"x3mm</v>
          </cell>
        </row>
        <row r="1141">
          <cell r="A1141" t="str">
            <v>Tuerca, tornillo y arandela para bandeja</v>
          </cell>
        </row>
        <row r="1142">
          <cell r="A1142" t="str">
            <v>Tuercas, platinas, etc</v>
          </cell>
        </row>
        <row r="1143">
          <cell r="A1143" t="str">
            <v>Union  MGC de 2"</v>
          </cell>
        </row>
        <row r="1144">
          <cell r="A1144" t="str">
            <v>Union  MGC de 3"</v>
          </cell>
        </row>
        <row r="1145">
          <cell r="A1145" t="str">
            <v>union acero galvanizado de 1/2"</v>
          </cell>
        </row>
        <row r="1146">
          <cell r="A1146" t="str">
            <v>Unión Cu de 3/4"</v>
          </cell>
        </row>
        <row r="1147">
          <cell r="A1147" t="str">
            <v>Union EMT 1"</v>
          </cell>
        </row>
        <row r="1148">
          <cell r="A1148" t="str">
            <v>Union EMT 1/2"</v>
          </cell>
        </row>
        <row r="1149">
          <cell r="A1149" t="str">
            <v>Union EMT 1-1/2"</v>
          </cell>
        </row>
        <row r="1150">
          <cell r="A1150" t="str">
            <v>Union EMT 2"</v>
          </cell>
        </row>
        <row r="1151">
          <cell r="A1151" t="str">
            <v>Union EMT 3/4"</v>
          </cell>
        </row>
        <row r="1152">
          <cell r="A1152" t="str">
            <v>Union en acero galvanizada de 1"</v>
          </cell>
        </row>
        <row r="1153">
          <cell r="A1153" t="str">
            <v>Union en acero galvanizada de 1/2"</v>
          </cell>
        </row>
        <row r="1154">
          <cell r="A1154" t="str">
            <v>Union en acero galvanizada de 3/4"</v>
          </cell>
        </row>
        <row r="1155">
          <cell r="A1155" t="str">
            <v>Union galvanizada 1 1/2"</v>
          </cell>
        </row>
        <row r="1156">
          <cell r="A1156" t="str">
            <v>Unión Lisa Cu de 1/2"</v>
          </cell>
        </row>
        <row r="1157">
          <cell r="A1157" t="str">
            <v>Unión Lisa Cu de 3/4"</v>
          </cell>
        </row>
        <row r="1158">
          <cell r="A1158" t="str">
            <v>Union MGC de 1"</v>
          </cell>
        </row>
        <row r="1159">
          <cell r="A1159" t="str">
            <v>Union MGC de 1-1/2"</v>
          </cell>
        </row>
        <row r="1160">
          <cell r="A1160" t="str">
            <v>Union Platino d= 6" - Pavco o equivalente</v>
          </cell>
        </row>
        <row r="1161">
          <cell r="A1161" t="str">
            <v>Union Platino de reparacion d= 6" - Pavco o equivalente</v>
          </cell>
        </row>
        <row r="1162">
          <cell r="A1162" t="str">
            <v>Union PVC-Filtro 100 mm. - Pavco o equivalente</v>
          </cell>
        </row>
        <row r="1163">
          <cell r="A1163" t="str">
            <v>Union PVC-NOVAFORT d= 200 mm. - Pavco o equivalente.</v>
          </cell>
        </row>
        <row r="1164">
          <cell r="A1164" t="str">
            <v>Union PVC-NOVAFORT d= 250 mm. - Pavco o equivalente.</v>
          </cell>
        </row>
        <row r="1165">
          <cell r="A1165" t="str">
            <v>Unión PVC-NOVAFORT Ø= 160 mm. - Pavco o equivalente.</v>
          </cell>
        </row>
        <row r="1166">
          <cell r="A1166" t="str">
            <v>Union PVC-Presion, d= 1 1/2" - Pavco o equivalente.</v>
          </cell>
        </row>
        <row r="1167">
          <cell r="A1167" t="str">
            <v>Union PVC-Presion, d= 1" - Pavco o equivalente.</v>
          </cell>
        </row>
        <row r="1168">
          <cell r="A1168" t="str">
            <v>Union PVC-Presion, d= 1/2" - Pavco o equivalente.</v>
          </cell>
        </row>
        <row r="1169">
          <cell r="A1169" t="str">
            <v>Union PVC-Presion, d= 2 1/2" - Pavco o equivalente.</v>
          </cell>
        </row>
        <row r="1170">
          <cell r="A1170" t="str">
            <v>Union PVC-Presion, d= 3" - Pavco o equivalente.</v>
          </cell>
        </row>
        <row r="1171">
          <cell r="A1171" t="str">
            <v>Union PVC-Presion, d= 3/4" - Pavco o equivalente.</v>
          </cell>
        </row>
        <row r="1172">
          <cell r="A1172" t="str">
            <v>Unión PVC-Presión, Ø= 2 1/2" - Pavco o equivalente.</v>
          </cell>
        </row>
        <row r="1173">
          <cell r="A1173" t="str">
            <v>Unión PVC-Presión, Ø= 2" - Pavco o equivalente.</v>
          </cell>
        </row>
        <row r="1174">
          <cell r="A1174" t="str">
            <v>Union PVC-S d= 1 1/2" - Pavco o equivalente</v>
          </cell>
        </row>
        <row r="1175">
          <cell r="A1175" t="str">
            <v>Union PVC-S d= 2" - Pavco o equivalente</v>
          </cell>
        </row>
        <row r="1176">
          <cell r="A1176" t="str">
            <v>Union PVC-S d= 3" - Pavco o equivalente</v>
          </cell>
        </row>
        <row r="1177">
          <cell r="A1177" t="str">
            <v>Union PVC-S d= 4" - Pavco o equivalente</v>
          </cell>
        </row>
        <row r="1178">
          <cell r="A1178" t="str">
            <v>Union PVC-S d= 6" - Pavco o equivalente</v>
          </cell>
        </row>
        <row r="1179">
          <cell r="A1179" t="str">
            <v>Union PVC-S d= 8" - Pavco o equivalente</v>
          </cell>
        </row>
        <row r="1180">
          <cell r="A1180" t="str">
            <v>Union ranurada de 1 1/2" ul/fm</v>
          </cell>
        </row>
        <row r="1181">
          <cell r="A1181" t="str">
            <v>Union ranurada de 1 1/4" ul/fm</v>
          </cell>
        </row>
        <row r="1182">
          <cell r="A1182" t="str">
            <v>Union ranurada de 2 1/2" ul/fm</v>
          </cell>
        </row>
        <row r="1183">
          <cell r="A1183" t="str">
            <v>Union ranurada de 3" ul/fm</v>
          </cell>
        </row>
        <row r="1184">
          <cell r="A1184" t="str">
            <v>Union ranurada flexible de 2 1/2" ul/fm</v>
          </cell>
        </row>
        <row r="1185">
          <cell r="A1185" t="str">
            <v>Union ranurada flexible de 2" ul/fm</v>
          </cell>
        </row>
        <row r="1186">
          <cell r="A1186" t="str">
            <v>Unión universal Cu de 1/2"</v>
          </cell>
        </row>
        <row r="1187">
          <cell r="A1187" t="str">
            <v>Union universal macho de 1/2"</v>
          </cell>
        </row>
        <row r="1188">
          <cell r="A1188" t="str">
            <v>Unión universal macho de 3/4"</v>
          </cell>
        </row>
        <row r="1189">
          <cell r="A1189" t="str">
            <v>Union Vitauli  de d= 6"</v>
          </cell>
        </row>
        <row r="1190">
          <cell r="A1190" t="str">
            <v>Universal cobre de 1 1/2"</v>
          </cell>
        </row>
        <row r="1191">
          <cell r="A1191" t="str">
            <v>Universal cobre de 1"</v>
          </cell>
        </row>
        <row r="1192">
          <cell r="A1192" t="str">
            <v>universal cobre de 3/4"</v>
          </cell>
        </row>
        <row r="1193">
          <cell r="A1193" t="str">
            <v>Universal Hierro Galvanizado d= 1 1/2"</v>
          </cell>
        </row>
        <row r="1194">
          <cell r="A1194" t="str">
            <v>V combinada + persiana 35%+ vidrio fijo o alas corredisas</v>
          </cell>
        </row>
        <row r="1195">
          <cell r="A1195" t="str">
            <v>V tipo persiana en aluminio</v>
          </cell>
        </row>
        <row r="1196">
          <cell r="A1196" t="str">
            <v>Valvula  Bronce 11/2" UL/FM para gabinete contra incendio</v>
          </cell>
        </row>
        <row r="1197">
          <cell r="A1197" t="str">
            <v>Valvula BRIDA 6"</v>
          </cell>
        </row>
        <row r="1198">
          <cell r="A1198" t="str">
            <v>Valvula Compuerta bronce 1 1/2" RW</v>
          </cell>
        </row>
        <row r="1199">
          <cell r="A1199" t="str">
            <v>Valvula Compuerta Bronce 1" RW</v>
          </cell>
        </row>
        <row r="1200">
          <cell r="A1200" t="str">
            <v>Valvula Compuerta Bronce 1/2" RW</v>
          </cell>
        </row>
        <row r="1201">
          <cell r="A1201" t="str">
            <v>Valvula Compuerta Bronce 3/4" RW</v>
          </cell>
        </row>
        <row r="1202">
          <cell r="A1202" t="str">
            <v>Valvula control OS&amp;Y de 3"</v>
          </cell>
        </row>
        <row r="1203">
          <cell r="A1203" t="str">
            <v>Valvula de bola para drenaje de 2" en redes contra incendio.</v>
          </cell>
        </row>
        <row r="1204">
          <cell r="A1204" t="str">
            <v>Válvula de cheque d=50mm</v>
          </cell>
        </row>
        <row r="1205">
          <cell r="A1205" t="str">
            <v>Valvula de incorporacion de 1 1/2"</v>
          </cell>
        </row>
        <row r="1206">
          <cell r="A1206" t="str">
            <v>Valvula de incorporacion de 1"</v>
          </cell>
        </row>
        <row r="1207">
          <cell r="A1207" t="str">
            <v>Valvula de prueba segun la NFPA13</v>
          </cell>
        </row>
        <row r="1208">
          <cell r="A1208" t="str">
            <v>Valvula de regulacion metalica, con manguera flexible</v>
          </cell>
        </row>
        <row r="1209">
          <cell r="A1209" t="str">
            <v>Valvula desaireadora automatica de 1/2"</v>
          </cell>
        </row>
        <row r="1210">
          <cell r="A1210" t="str">
            <v>Valvula esferica de 1/2" de maneral largo</v>
          </cell>
        </row>
        <row r="1211">
          <cell r="A1211" t="str">
            <v>Valvula esferica de 1/2", maneral tipo mariposa</v>
          </cell>
        </row>
        <row r="1212">
          <cell r="A1212" t="str">
            <v>Valvula esferica de 3/4" de maneral largo</v>
          </cell>
        </row>
        <row r="1213">
          <cell r="A1213" t="str">
            <v>Válvula P/L d=50mm</v>
          </cell>
        </row>
        <row r="1214">
          <cell r="A1214" t="str">
            <v>Varilla aluminio 3 mm</v>
          </cell>
        </row>
        <row r="1215">
          <cell r="A1215" t="str">
            <v>Varilla Copperw. 5/8"*2.4m</v>
          </cell>
        </row>
        <row r="1216">
          <cell r="A1216" t="str">
            <v>Varilla cuadra de 5/8"</v>
          </cell>
        </row>
        <row r="1217">
          <cell r="A1217" t="str">
            <v>Varilla de 3/8" de corrugada de 60000 PSI</v>
          </cell>
        </row>
        <row r="1218">
          <cell r="A1218" t="str">
            <v>Varilla de dilatacion de aluminio 4 mm.</v>
          </cell>
        </row>
        <row r="1219">
          <cell r="A1219" t="str">
            <v>Varilla de dilatacion PVC 4 mm.</v>
          </cell>
        </row>
        <row r="1220">
          <cell r="A1220" t="str">
            <v>Varilla dilatacion en bronce 3 mm</v>
          </cell>
        </row>
        <row r="1221">
          <cell r="A1221" t="str">
            <v>Varilla lisa de 3/4"</v>
          </cell>
        </row>
        <row r="1222">
          <cell r="A1222" t="str">
            <v>varilla lisa de 3/4" de 60000 PSI</v>
          </cell>
        </row>
        <row r="1223">
          <cell r="A1223" t="str">
            <v>Varilla lisa de 5/8" de 60.000 Psi</v>
          </cell>
        </row>
        <row r="1224">
          <cell r="A1224" t="str">
            <v>Varilla plastica de  e=4 m para dilataciòn</v>
          </cell>
        </row>
        <row r="1225">
          <cell r="A1225" t="str">
            <v>Varilla PVC Intermatex</v>
          </cell>
        </row>
        <row r="1226">
          <cell r="A1226" t="str">
            <v>Varilla roscada de 5/8" x 50cm + tuerca + arandela</v>
          </cell>
        </row>
        <row r="1227">
          <cell r="A1227" t="str">
            <v xml:space="preserve">Ventana 9,20,1 aluminio  Todo costo </v>
          </cell>
        </row>
        <row r="1228">
          <cell r="A1228" t="str">
            <v>ventana alumnio</v>
          </cell>
        </row>
        <row r="1229">
          <cell r="A1229" t="str">
            <v>Vidrio de 4 mm. + transporte</v>
          </cell>
        </row>
        <row r="1230">
          <cell r="A1230" t="str">
            <v>Vidrio templado de 5 mm para gabinete contra incendio de 77x99</v>
          </cell>
        </row>
        <row r="1231">
          <cell r="A1231" t="str">
            <v>vidrio templado de 6 mm</v>
          </cell>
        </row>
        <row r="1232">
          <cell r="A1232" t="str">
            <v>Vitriflex + catalizador</v>
          </cell>
        </row>
        <row r="1233">
          <cell r="A1233" t="str">
            <v>Weld outlet 1/2"</v>
          </cell>
        </row>
        <row r="1234">
          <cell r="A1234" t="str">
            <v>Yee PVC-S d= 2" - Pavco o equivalente.</v>
          </cell>
        </row>
        <row r="1235">
          <cell r="A1235" t="str">
            <v>Yee PVC-S d= 3" - Pavco o equivalente.</v>
          </cell>
        </row>
        <row r="1236">
          <cell r="A1236" t="str">
            <v>Yee PVC-S d= 4" - Pavco o equivalente.</v>
          </cell>
        </row>
        <row r="1237">
          <cell r="A1237" t="str">
            <v>Yee PVC-S d= 6" - Pavco o equivalente.</v>
          </cell>
        </row>
        <row r="1238">
          <cell r="A1238" t="str">
            <v>Yee PVC-S d= 8" - Pavco o equivalente.</v>
          </cell>
        </row>
        <row r="1239">
          <cell r="A1239" t="str">
            <v>Yee PVC-S Reducida d= 3X2" pavco o equivalente</v>
          </cell>
        </row>
        <row r="1240">
          <cell r="A1240" t="str">
            <v>Yee PVC-S Reducida d= 4X2" pavco o equivalente</v>
          </cell>
        </row>
        <row r="1241">
          <cell r="A1241" t="str">
            <v>Yee PVC-S Reducida d= 4X3" pavco o equivalente</v>
          </cell>
        </row>
        <row r="1242">
          <cell r="A1242" t="str">
            <v>Yee PVC-S Reducida d= 6X4" pavco o equivalente</v>
          </cell>
        </row>
        <row r="1243">
          <cell r="A1243" t="str">
            <v>Yee PVC-S Reducida d= 8X4" pavco o equivalente</v>
          </cell>
        </row>
        <row r="1244">
          <cell r="A1244" t="str">
            <v>Z- MAX 8</v>
          </cell>
        </row>
        <row r="1245">
          <cell r="A1245" t="str">
            <v>Zocalo e grano de 30 cm. x 7,5 cm</v>
          </cell>
        </row>
        <row r="1246">
          <cell r="A1246" t="str">
            <v>Ceramica Verona Rectificada de 0,30x0,60</v>
          </cell>
        </row>
        <row r="1247">
          <cell r="A1247" t="str">
            <v>Mosaico cristal azul/rojo de 0,15x0,15 (und de 4 piezas de 0,30x0,30m.)</v>
          </cell>
        </row>
        <row r="1248">
          <cell r="A1248" t="str">
            <v>Cristanac vidrio cristal rojo/azul de 0,30x0,30m.</v>
          </cell>
        </row>
        <row r="1249">
          <cell r="A1249" t="str">
            <v xml:space="preserve">Boquilla concolor 1-5mm. </v>
          </cell>
        </row>
        <row r="1250">
          <cell r="A1250" t="str">
            <v xml:space="preserve">Lavamanos de empotrar en acero inox C. 20 de D= 32cm. </v>
          </cell>
        </row>
        <row r="1251">
          <cell r="A1251" t="str">
            <v>Piso galaxia de 41,6 x41,6m.</v>
          </cell>
        </row>
        <row r="1252">
          <cell r="A1252" t="str">
            <v>Panel tipo metecno ref A 42 P1000G-4 e= 40 MM. C 28 + poliuretano</v>
          </cell>
        </row>
        <row r="1253">
          <cell r="A1253" t="str">
            <v>Fijacones para panel tipo metecno</v>
          </cell>
        </row>
        <row r="1254">
          <cell r="A1254" t="str">
            <v>Platina de 11/2" x 3/16"</v>
          </cell>
        </row>
        <row r="1255">
          <cell r="A1255" t="str">
            <v>Cinta para enmascarar de 3/4"</v>
          </cell>
        </row>
        <row r="1256">
          <cell r="A1256" t="str">
            <v xml:space="preserve">Cristanac color 30 x30 cm. </v>
          </cell>
        </row>
        <row r="1257">
          <cell r="A1257" t="str">
            <v>Tuberia estructural cerrada PTS de 80x40x2mm.ASTM A500 grado C</v>
          </cell>
        </row>
        <row r="1258">
          <cell r="A1258" t="str">
            <v>Bisagra metalica trabajo pesado en platina  de 4" x11/2"x3/16"</v>
          </cell>
        </row>
        <row r="1259">
          <cell r="A1259" t="str">
            <v>Doblez en lamina coled rolled C. 18</v>
          </cell>
        </row>
        <row r="1260">
          <cell r="A1260" t="str">
            <v>Corte de lamina cold rolled C. 18</v>
          </cell>
        </row>
        <row r="1261">
          <cell r="A1261" t="str">
            <v>Puerta en madera de 1,53x3,44 todo costo</v>
          </cell>
        </row>
        <row r="1262">
          <cell r="A1262" t="str">
            <v>Mantenimiento ventanas todo costo</v>
          </cell>
        </row>
        <row r="1263">
          <cell r="A1263" t="str">
            <v>Bloque 20x20x40 R13 2P</v>
          </cell>
        </row>
        <row r="1264">
          <cell r="A1264" t="str">
            <v>Separol sika</v>
          </cell>
        </row>
        <row r="1265">
          <cell r="A1265" t="str">
            <v>Canasta gavion triple torsion C. 12 de 2x1x1</v>
          </cell>
        </row>
        <row r="1266">
          <cell r="A1266" t="str">
            <v>Canasta gavion triple torsion C. 12 de1x1x1</v>
          </cell>
        </row>
        <row r="1267">
          <cell r="A1267" t="str">
            <v>Alambre galvanizado C. 13 para amarre gaviones</v>
          </cell>
        </row>
        <row r="1268">
          <cell r="A1268" t="str">
            <v>Piedra para gaviones + transporte</v>
          </cell>
        </row>
        <row r="1269">
          <cell r="A1269" t="str">
            <v>Teja termoacustica</v>
          </cell>
        </row>
        <row r="1270">
          <cell r="A1270" t="str">
            <v>Amarres teja termoacustica</v>
          </cell>
        </row>
      </sheetData>
      <sheetData sheetId="3"/>
      <sheetData sheetId="4"/>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soldadura electrica 110v. hasta 120 amp.</v>
          </cell>
        </row>
        <row r="23">
          <cell r="A23" t="str">
            <v>Formaleta columna circular de 35/40x2,4m (2t)</v>
          </cell>
        </row>
        <row r="24">
          <cell r="A24" t="str">
            <v>Formaleta metalica lamina cold rolled cal 18 para meson de L=2.4 terminal sur, 6 usos.</v>
          </cell>
        </row>
        <row r="25">
          <cell r="A25" t="str">
            <v>Gato tensor</v>
          </cell>
        </row>
        <row r="26">
          <cell r="A26" t="str">
            <v>Manguera para riego 1/2"</v>
          </cell>
        </row>
        <row r="27">
          <cell r="A27" t="str">
            <v>Manometro en glicerina de  0 a 200 psi</v>
          </cell>
        </row>
        <row r="28">
          <cell r="A28" t="str">
            <v>Moldes</v>
          </cell>
        </row>
        <row r="29">
          <cell r="A29" t="str">
            <v>Molinete</v>
          </cell>
        </row>
        <row r="30">
          <cell r="A30" t="str">
            <v>Motobomba electrica 2" superficie</v>
          </cell>
        </row>
        <row r="31">
          <cell r="A31" t="str">
            <v>Nivel de presicion gko-aegk-1,AL3</v>
          </cell>
        </row>
        <row r="32">
          <cell r="A32" t="str">
            <v>Pertiga Metálica</v>
          </cell>
        </row>
        <row r="33">
          <cell r="A33" t="str">
            <v>Pluma grua giratoria de 250 kg 30-60m.</v>
          </cell>
        </row>
        <row r="34">
          <cell r="A34" t="str">
            <v>Pulidora de pisos duros de 6 piedras</v>
          </cell>
        </row>
        <row r="35">
          <cell r="A35" t="str">
            <v>Pulidora manual electrica</v>
          </cell>
        </row>
        <row r="36">
          <cell r="A36" t="str">
            <v>Retroexcavadora</v>
          </cell>
        </row>
        <row r="37">
          <cell r="A37" t="str">
            <v>Rueda para andamio (Alquiler/d¡a)</v>
          </cell>
        </row>
        <row r="38">
          <cell r="A38" t="str">
            <v>Seccion completa de andamio 1.2 x 1.5 m.</v>
          </cell>
        </row>
        <row r="39">
          <cell r="A39" t="str">
            <v>Soldador electrico Lincoln AC 225</v>
          </cell>
        </row>
        <row r="40">
          <cell r="A40" t="str">
            <v>Soldador Electrico MILLER XMT CC/W 300 AMP.</v>
          </cell>
        </row>
        <row r="41">
          <cell r="A41" t="str">
            <v>Soplete Lanza llamas a gas + cilindro de 14.4 onz.</v>
          </cell>
        </row>
        <row r="42">
          <cell r="A42" t="str">
            <v>Tabla madera comun de 1,7cm x 0,20 cm x2,80 m.</v>
          </cell>
        </row>
        <row r="43">
          <cell r="A43" t="str">
            <v>Taco madera de 3.0m</v>
          </cell>
        </row>
        <row r="44">
          <cell r="A44" t="str">
            <v>Taco metalico de 2.8m</v>
          </cell>
        </row>
        <row r="45">
          <cell r="A45" t="str">
            <v>Taco metalico extra largo hasta 5,50 m. PTS</v>
          </cell>
        </row>
        <row r="46">
          <cell r="A46" t="str">
            <v>Taco metalico extralargo de 4.50 m.hasta 5,50 m.</v>
          </cell>
        </row>
        <row r="47">
          <cell r="A47" t="str">
            <v>Taco metalico largo de 2,10 a 3,00 m.</v>
          </cell>
        </row>
        <row r="48">
          <cell r="A48" t="str">
            <v>Taco metalico mediano largo hasta 4,50 m.</v>
          </cell>
        </row>
        <row r="49">
          <cell r="A49" t="str">
            <v>Taladro rotopercutor 3/4"</v>
          </cell>
        </row>
        <row r="50">
          <cell r="A50" t="str">
            <v>Tapa ciega</v>
          </cell>
        </row>
        <row r="51">
          <cell r="A51" t="str">
            <v>Tapa valvula con caja de concreto</v>
          </cell>
        </row>
        <row r="52">
          <cell r="A52" t="str">
            <v>Tapaclip para bandeja 20cms</v>
          </cell>
        </row>
        <row r="53">
          <cell r="A53" t="str">
            <v>Telera de 0,45 x 1,35 m.</v>
          </cell>
        </row>
        <row r="54">
          <cell r="A54" t="str">
            <v>Telera de 0,90 x 1,35 m.</v>
          </cell>
        </row>
        <row r="55">
          <cell r="A55" t="str">
            <v>Transito Kern Dkm-1</v>
          </cell>
        </row>
        <row r="56">
          <cell r="A56" t="str">
            <v>Trifor 5 toneladas</v>
          </cell>
        </row>
        <row r="57">
          <cell r="A57" t="str">
            <v>Vibrador de concreto (mikasa), electrico a  110v (alquiler)</v>
          </cell>
        </row>
        <row r="58">
          <cell r="A58" t="str">
            <v>Viga metalica de 3 m.</v>
          </cell>
        </row>
        <row r="59">
          <cell r="A59" t="str">
            <v>Montacargas de Cap. 2.5 Ton. + operador y comb.</v>
          </cell>
        </row>
        <row r="60">
          <cell r="A60" t="str">
            <v>Equipo oxicorte</v>
          </cell>
        </row>
        <row r="61">
          <cell r="A61" t="str">
            <v>Equipo de seguridada ( arnes, casco, guantes y gafas</v>
          </cell>
        </row>
        <row r="62">
          <cell r="A62" t="str">
            <v>Motosierra a gasolina + gasolina</v>
          </cell>
        </row>
        <row r="63">
          <cell r="A63" t="str">
            <v>chipiado de arboles en sitio</v>
          </cell>
        </row>
        <row r="64">
          <cell r="A64" t="str">
            <v>Formaleta sumidero tipo A y tipo B</v>
          </cell>
        </row>
        <row r="65">
          <cell r="A65" t="str">
            <v>Motobomba electrica 2" sumergible</v>
          </cell>
        </row>
        <row r="66">
          <cell r="A66" t="str">
            <v>Formaleta columna circulsr de D = 40 cm, x 2,4 m.</v>
          </cell>
        </row>
        <row r="67">
          <cell r="A67" t="str">
            <v>Cuña para formaleta (alquiler)</v>
          </cell>
        </row>
        <row r="68">
          <cell r="A68" t="str">
            <v xml:space="preserve">Psador para cuña </v>
          </cell>
        </row>
        <row r="69">
          <cell r="A69" t="str">
            <v>Formleta metalica completa para colum de diam 0,50m.</v>
          </cell>
        </row>
        <row r="70">
          <cell r="A70" t="str">
            <v>Seccion completa de andamio (1,2-1,5)x1,5m. + 4 ruedas</v>
          </cell>
        </row>
        <row r="71">
          <cell r="A71" t="str">
            <v>Planchon con grua</v>
          </cell>
        </row>
        <row r="72">
          <cell r="A72" t="str">
            <v>Equipo aspersor</v>
          </cell>
        </row>
        <row r="73">
          <cell r="A73" t="str">
            <v>Diferencial</v>
          </cell>
        </row>
      </sheetData>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4"/>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Tabla CONPES 3714"/>
      <sheetName val="REDES7"/>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Equipos"/>
      <sheetName val="Materiales"/>
      <sheetName val="ManoObra"/>
      <sheetName val="INSUMOS"/>
      <sheetName val="TOTALES"/>
    </sheetNames>
    <sheetDataSet>
      <sheetData sheetId="0"/>
      <sheetData sheetId="1"/>
      <sheetData sheetId="2"/>
      <sheetData sheetId="3" refreshError="1">
        <row r="61">
          <cell r="AG61">
            <v>1</v>
          </cell>
          <cell r="AH61" t="str">
            <v>GRUPO I</v>
          </cell>
          <cell r="AI61" t="str">
            <v>Obrero II</v>
          </cell>
          <cell r="AJ61">
            <v>3754.25</v>
          </cell>
        </row>
        <row r="62">
          <cell r="AG62">
            <v>2</v>
          </cell>
          <cell r="AH62" t="str">
            <v>GRUPO I</v>
          </cell>
          <cell r="AI62" t="str">
            <v>Aux. Serv. Grles II</v>
          </cell>
          <cell r="AJ62">
            <v>3754.25</v>
          </cell>
        </row>
        <row r="63">
          <cell r="AG63">
            <v>3</v>
          </cell>
          <cell r="AH63" t="str">
            <v>GRUPO II</v>
          </cell>
          <cell r="AI63" t="str">
            <v>Obrero I</v>
          </cell>
          <cell r="AJ63">
            <v>3989.38</v>
          </cell>
        </row>
        <row r="64">
          <cell r="AG64">
            <v>4</v>
          </cell>
          <cell r="AH64" t="str">
            <v>GRUPO II</v>
          </cell>
          <cell r="AI64" t="str">
            <v>Aux. Serv. Grles I</v>
          </cell>
          <cell r="AJ64">
            <v>3989.38</v>
          </cell>
        </row>
        <row r="65">
          <cell r="AG65">
            <v>5</v>
          </cell>
          <cell r="AH65" t="str">
            <v>GRUPO II</v>
          </cell>
          <cell r="AI65" t="str">
            <v>Ofici.Lenceria III</v>
          </cell>
          <cell r="AJ65">
            <v>3989.38</v>
          </cell>
        </row>
        <row r="66">
          <cell r="AG66">
            <v>6</v>
          </cell>
          <cell r="AH66" t="str">
            <v>GRUPO III</v>
          </cell>
          <cell r="AI66" t="str">
            <v>Ayudante Técnico</v>
          </cell>
          <cell r="AJ66">
            <v>4156.63</v>
          </cell>
        </row>
        <row r="67">
          <cell r="AG67">
            <v>7</v>
          </cell>
          <cell r="AH67" t="str">
            <v>GRUPO III</v>
          </cell>
          <cell r="AI67" t="str">
            <v>Chofer II</v>
          </cell>
          <cell r="AJ67">
            <v>4156.63</v>
          </cell>
        </row>
        <row r="68">
          <cell r="AG68">
            <v>8</v>
          </cell>
          <cell r="AH68" t="str">
            <v>GRUPO III</v>
          </cell>
          <cell r="AI68" t="str">
            <v>Aux. Mater. IV</v>
          </cell>
          <cell r="AJ68">
            <v>4156.63</v>
          </cell>
        </row>
        <row r="69">
          <cell r="AG69">
            <v>9</v>
          </cell>
          <cell r="AH69" t="str">
            <v>GRUPO III</v>
          </cell>
          <cell r="AI69" t="str">
            <v>Oficinista IV</v>
          </cell>
          <cell r="AJ69">
            <v>4156.63</v>
          </cell>
        </row>
        <row r="70">
          <cell r="AG70">
            <v>10</v>
          </cell>
          <cell r="AH70" t="str">
            <v>Vigilante III</v>
          </cell>
          <cell r="AI70" t="str">
            <v>Vigilante III</v>
          </cell>
          <cell r="AJ70">
            <v>4156.63</v>
          </cell>
        </row>
        <row r="71">
          <cell r="AG71">
            <v>11</v>
          </cell>
          <cell r="AH71" t="str">
            <v>GRUPO III</v>
          </cell>
          <cell r="AI71" t="str">
            <v>Cocinero III</v>
          </cell>
          <cell r="AJ71">
            <v>4156.63</v>
          </cell>
        </row>
        <row r="72">
          <cell r="AG72">
            <v>12</v>
          </cell>
          <cell r="AH72" t="str">
            <v>GRUPO III</v>
          </cell>
          <cell r="AI72" t="str">
            <v>Aux. Casino III</v>
          </cell>
          <cell r="AJ72">
            <v>4156.63</v>
          </cell>
        </row>
        <row r="73">
          <cell r="AG73">
            <v>13</v>
          </cell>
          <cell r="AH73" t="str">
            <v>GRUPO III</v>
          </cell>
          <cell r="AI73" t="str">
            <v>Carnicero III</v>
          </cell>
          <cell r="AJ73">
            <v>4156.63</v>
          </cell>
        </row>
        <row r="74">
          <cell r="AG74">
            <v>14</v>
          </cell>
          <cell r="AH74" t="str">
            <v>GRUPO III</v>
          </cell>
          <cell r="AI74" t="str">
            <v>Albañil III</v>
          </cell>
          <cell r="AJ74">
            <v>4156.63</v>
          </cell>
        </row>
        <row r="75">
          <cell r="AG75">
            <v>15</v>
          </cell>
          <cell r="AH75" t="str">
            <v>GRUPO III</v>
          </cell>
          <cell r="AI75" t="str">
            <v>Plomero III</v>
          </cell>
          <cell r="AJ75">
            <v>4156.63</v>
          </cell>
        </row>
        <row r="76">
          <cell r="AG76">
            <v>16</v>
          </cell>
          <cell r="AH76" t="str">
            <v>GRUPO III</v>
          </cell>
          <cell r="AI76" t="str">
            <v>Pintor III</v>
          </cell>
          <cell r="AJ76">
            <v>4156.63</v>
          </cell>
        </row>
        <row r="77">
          <cell r="AG77">
            <v>17</v>
          </cell>
          <cell r="AH77" t="str">
            <v>GRUPO III</v>
          </cell>
          <cell r="AI77" t="str">
            <v>Carpintero III</v>
          </cell>
          <cell r="AJ77">
            <v>4156.63</v>
          </cell>
        </row>
        <row r="78">
          <cell r="AG78">
            <v>18</v>
          </cell>
          <cell r="AH78" t="str">
            <v>GRUPO III</v>
          </cell>
          <cell r="AI78" t="str">
            <v>Ofic. Lenceria II</v>
          </cell>
          <cell r="AJ78">
            <v>4156.63</v>
          </cell>
        </row>
        <row r="79">
          <cell r="AG79">
            <v>19</v>
          </cell>
          <cell r="AH79" t="str">
            <v>GRUPO III</v>
          </cell>
          <cell r="AI79" t="str">
            <v>Aprendiz</v>
          </cell>
          <cell r="AJ79">
            <v>4156.63</v>
          </cell>
        </row>
        <row r="80">
          <cell r="AG80">
            <v>20</v>
          </cell>
          <cell r="AH80" t="str">
            <v>GRUPO III</v>
          </cell>
          <cell r="AI80" t="str">
            <v>Auxiliar de Servicios Gles.</v>
          </cell>
          <cell r="AJ80">
            <v>4156.63</v>
          </cell>
        </row>
        <row r="81">
          <cell r="AG81">
            <v>21</v>
          </cell>
          <cell r="AH81" t="str">
            <v>GRUPO III</v>
          </cell>
          <cell r="AI81" t="str">
            <v>Obrero</v>
          </cell>
          <cell r="AJ81">
            <v>4156.63</v>
          </cell>
        </row>
        <row r="82">
          <cell r="AG82">
            <v>22</v>
          </cell>
          <cell r="AH82" t="str">
            <v>GRUPO IV</v>
          </cell>
          <cell r="AI82" t="str">
            <v>Asistente</v>
          </cell>
          <cell r="AJ82">
            <v>4258.13</v>
          </cell>
        </row>
        <row r="83">
          <cell r="AG83">
            <v>23</v>
          </cell>
          <cell r="AH83" t="str">
            <v>GRUPO IV</v>
          </cell>
          <cell r="AI83" t="str">
            <v>Asistente de Produccion</v>
          </cell>
          <cell r="AJ83">
            <v>4258.13</v>
          </cell>
        </row>
        <row r="84">
          <cell r="AG84">
            <v>24</v>
          </cell>
          <cell r="AH84" t="str">
            <v>GRUPO IV</v>
          </cell>
          <cell r="AI84" t="str">
            <v>Op. Serv. Pozos III</v>
          </cell>
          <cell r="AJ84">
            <v>4258.13</v>
          </cell>
        </row>
        <row r="85">
          <cell r="AG85">
            <v>25</v>
          </cell>
          <cell r="AH85" t="str">
            <v>GRUPO IV</v>
          </cell>
          <cell r="AI85" t="str">
            <v>Op. Plantas Prod. IV</v>
          </cell>
          <cell r="AJ85">
            <v>4258.13</v>
          </cell>
        </row>
        <row r="86">
          <cell r="AG86">
            <v>26</v>
          </cell>
          <cell r="AH86" t="str">
            <v>GRUPO IV</v>
          </cell>
          <cell r="AI86" t="str">
            <v>Reparador Plantas III</v>
          </cell>
          <cell r="AJ86">
            <v>4258.13</v>
          </cell>
        </row>
        <row r="87">
          <cell r="AG87">
            <v>27</v>
          </cell>
          <cell r="AH87" t="str">
            <v>GRUPO IV</v>
          </cell>
          <cell r="AI87" t="str">
            <v>Asistente Produccion</v>
          </cell>
          <cell r="AJ87">
            <v>4258.13</v>
          </cell>
        </row>
        <row r="88">
          <cell r="AG88">
            <v>28</v>
          </cell>
          <cell r="AH88" t="str">
            <v>GRUPO IV</v>
          </cell>
          <cell r="AI88" t="str">
            <v>Op. Refineria IV</v>
          </cell>
          <cell r="AJ88">
            <v>4258.13</v>
          </cell>
        </row>
        <row r="89">
          <cell r="AG89">
            <v>29</v>
          </cell>
          <cell r="AH89" t="str">
            <v>GRUPO IV</v>
          </cell>
          <cell r="AI89" t="str">
            <v>Op. Trans. Fluidos III</v>
          </cell>
          <cell r="AJ89">
            <v>4258.13</v>
          </cell>
        </row>
        <row r="90">
          <cell r="AG90">
            <v>30</v>
          </cell>
          <cell r="AH90" t="str">
            <v>GRUPO IV</v>
          </cell>
          <cell r="AI90" t="str">
            <v>Analista III</v>
          </cell>
          <cell r="AJ90">
            <v>4258.13</v>
          </cell>
        </row>
        <row r="91">
          <cell r="AG91">
            <v>31</v>
          </cell>
          <cell r="AH91" t="str">
            <v>GRUPO IV</v>
          </cell>
          <cell r="AI91" t="str">
            <v>Mecánico Mantto III</v>
          </cell>
          <cell r="AJ91">
            <v>4258.13</v>
          </cell>
        </row>
        <row r="92">
          <cell r="AG92">
            <v>32</v>
          </cell>
          <cell r="AH92" t="str">
            <v>GRUPO IV</v>
          </cell>
          <cell r="AI92" t="str">
            <v>Instrumentista III</v>
          </cell>
          <cell r="AJ92">
            <v>4258.13</v>
          </cell>
        </row>
        <row r="93">
          <cell r="AG93">
            <v>33</v>
          </cell>
          <cell r="AH93" t="str">
            <v>GRUPO IV</v>
          </cell>
          <cell r="AI93" t="str">
            <v>Electricista III</v>
          </cell>
          <cell r="AJ93">
            <v>4258.13</v>
          </cell>
        </row>
        <row r="94">
          <cell r="AG94">
            <v>34</v>
          </cell>
          <cell r="AH94" t="str">
            <v>GRUPO IV</v>
          </cell>
          <cell r="AI94" t="str">
            <v>Soldador III</v>
          </cell>
          <cell r="AJ94">
            <v>4258.13</v>
          </cell>
        </row>
        <row r="95">
          <cell r="AG95">
            <v>35</v>
          </cell>
          <cell r="AH95" t="str">
            <v>GRUPO IV</v>
          </cell>
          <cell r="AI95" t="str">
            <v>Metalista III</v>
          </cell>
          <cell r="AJ95">
            <v>4258.13</v>
          </cell>
        </row>
        <row r="96">
          <cell r="AG96">
            <v>36</v>
          </cell>
          <cell r="AH96" t="str">
            <v>GRUPO IV</v>
          </cell>
          <cell r="AI96" t="str">
            <v>Tubero III</v>
          </cell>
          <cell r="AJ96">
            <v>4258.13</v>
          </cell>
        </row>
        <row r="97">
          <cell r="AG97">
            <v>37</v>
          </cell>
          <cell r="AH97" t="str">
            <v>GRUPO IV</v>
          </cell>
          <cell r="AI97" t="str">
            <v>Pailero III</v>
          </cell>
          <cell r="AJ97">
            <v>4258.13</v>
          </cell>
        </row>
        <row r="98">
          <cell r="AG98">
            <v>38</v>
          </cell>
          <cell r="AH98" t="str">
            <v>GRUPO IV</v>
          </cell>
          <cell r="AI98" t="str">
            <v>Herrero III</v>
          </cell>
          <cell r="AJ98">
            <v>4258.13</v>
          </cell>
        </row>
        <row r="99">
          <cell r="AG99">
            <v>39</v>
          </cell>
          <cell r="AH99" t="str">
            <v>GRUPO IV</v>
          </cell>
          <cell r="AI99" t="str">
            <v>Moldeador III</v>
          </cell>
          <cell r="AJ99">
            <v>4258.13</v>
          </cell>
        </row>
        <row r="100">
          <cell r="AG100">
            <v>40</v>
          </cell>
          <cell r="AH100" t="str">
            <v>GRUPO IV</v>
          </cell>
          <cell r="AI100" t="str">
            <v>Mecánico Automotriz III</v>
          </cell>
          <cell r="AJ100">
            <v>4258.13</v>
          </cell>
        </row>
        <row r="101">
          <cell r="AG101">
            <v>41</v>
          </cell>
          <cell r="AH101" t="str">
            <v>GRUPO IV</v>
          </cell>
          <cell r="AI101" t="str">
            <v>Repara. Garaje III</v>
          </cell>
          <cell r="AJ101">
            <v>4258.13</v>
          </cell>
        </row>
        <row r="102">
          <cell r="AG102">
            <v>42</v>
          </cell>
          <cell r="AH102" t="str">
            <v>GRUPO IV</v>
          </cell>
          <cell r="AI102" t="str">
            <v>Ope. C/incendio II</v>
          </cell>
          <cell r="AJ102">
            <v>4258.13</v>
          </cell>
        </row>
        <row r="103">
          <cell r="AG103">
            <v>43</v>
          </cell>
          <cell r="AH103" t="str">
            <v>GRUPO IV</v>
          </cell>
          <cell r="AI103" t="str">
            <v>Oficinista III</v>
          </cell>
          <cell r="AJ103">
            <v>4258.13</v>
          </cell>
        </row>
        <row r="104">
          <cell r="AG104">
            <v>44</v>
          </cell>
          <cell r="AH104" t="str">
            <v>GRUPO IV</v>
          </cell>
          <cell r="AI104" t="str">
            <v>Operario Automotriz II</v>
          </cell>
          <cell r="AJ104">
            <v>4258.13</v>
          </cell>
        </row>
        <row r="105">
          <cell r="AG105">
            <v>45</v>
          </cell>
          <cell r="AH105" t="str">
            <v>GRUPO IV</v>
          </cell>
          <cell r="AI105" t="str">
            <v>Vigilante II</v>
          </cell>
          <cell r="AJ105">
            <v>4258.13</v>
          </cell>
        </row>
        <row r="106">
          <cell r="AG106">
            <v>46</v>
          </cell>
          <cell r="AH106" t="str">
            <v>GRUPO IV</v>
          </cell>
          <cell r="AI106" t="str">
            <v>Cocinero II</v>
          </cell>
          <cell r="AJ106">
            <v>4258.13</v>
          </cell>
        </row>
        <row r="107">
          <cell r="AG107">
            <v>47</v>
          </cell>
          <cell r="AH107" t="str">
            <v>GRUPO IV</v>
          </cell>
          <cell r="AI107" t="str">
            <v>Aux. Casino II</v>
          </cell>
          <cell r="AJ107">
            <v>4258.13</v>
          </cell>
        </row>
        <row r="108">
          <cell r="AG108">
            <v>48</v>
          </cell>
          <cell r="AH108" t="str">
            <v>GRUPO IV</v>
          </cell>
          <cell r="AI108" t="str">
            <v>Carnicero II</v>
          </cell>
          <cell r="AJ108">
            <v>4258.13</v>
          </cell>
        </row>
        <row r="109">
          <cell r="AG109">
            <v>49</v>
          </cell>
          <cell r="AH109" t="str">
            <v>GRUPO IV</v>
          </cell>
          <cell r="AI109" t="str">
            <v>Albañil II</v>
          </cell>
          <cell r="AJ109">
            <v>4258.13</v>
          </cell>
        </row>
        <row r="110">
          <cell r="AG110">
            <v>50</v>
          </cell>
          <cell r="AH110" t="str">
            <v>GRUPO IV</v>
          </cell>
          <cell r="AI110" t="str">
            <v>Plomero II</v>
          </cell>
          <cell r="AJ110">
            <v>4258.13</v>
          </cell>
        </row>
        <row r="111">
          <cell r="AG111">
            <v>51</v>
          </cell>
          <cell r="AH111" t="str">
            <v>GRUPO IV</v>
          </cell>
          <cell r="AI111" t="str">
            <v>Pintor II</v>
          </cell>
          <cell r="AJ111">
            <v>4258.13</v>
          </cell>
        </row>
        <row r="112">
          <cell r="AG112">
            <v>52</v>
          </cell>
          <cell r="AH112" t="str">
            <v>GRUPO IV</v>
          </cell>
          <cell r="AI112" t="str">
            <v>Carpintero II</v>
          </cell>
          <cell r="AJ112">
            <v>4258.13</v>
          </cell>
        </row>
        <row r="113">
          <cell r="AG113">
            <v>53</v>
          </cell>
          <cell r="AH113" t="str">
            <v>GRUPO IV</v>
          </cell>
          <cell r="AI113" t="str">
            <v>Ofic. Lenceria I</v>
          </cell>
          <cell r="AJ113">
            <v>4258.13</v>
          </cell>
        </row>
        <row r="114">
          <cell r="AG114">
            <v>54</v>
          </cell>
          <cell r="AH114" t="str">
            <v>GRUPO IV</v>
          </cell>
          <cell r="AI114" t="str">
            <v>Mensajero Asistente</v>
          </cell>
          <cell r="AJ114">
            <v>4258.13</v>
          </cell>
        </row>
        <row r="115">
          <cell r="AG115">
            <v>55</v>
          </cell>
          <cell r="AH115" t="str">
            <v>GRUPO V</v>
          </cell>
          <cell r="AI115" t="str">
            <v>Manilero</v>
          </cell>
          <cell r="AJ115">
            <v>4415.13</v>
          </cell>
        </row>
        <row r="116">
          <cell r="AG116">
            <v>56</v>
          </cell>
          <cell r="AH116" t="str">
            <v>GRUPO V</v>
          </cell>
          <cell r="AI116" t="str">
            <v>Asistente Operacion</v>
          </cell>
          <cell r="AJ116">
            <v>4415.13</v>
          </cell>
        </row>
        <row r="117">
          <cell r="AG117">
            <v>57</v>
          </cell>
          <cell r="AH117" t="str">
            <v>GRUPO V</v>
          </cell>
          <cell r="AI117" t="str">
            <v>Op. Produccion III</v>
          </cell>
          <cell r="AJ117">
            <v>4415.13</v>
          </cell>
        </row>
        <row r="118">
          <cell r="AG118">
            <v>58</v>
          </cell>
          <cell r="AH118" t="str">
            <v>GRUPO V</v>
          </cell>
          <cell r="AI118" t="str">
            <v>Op. Plantas Prod. III</v>
          </cell>
          <cell r="AJ118">
            <v>4415.13</v>
          </cell>
        </row>
        <row r="119">
          <cell r="AG119">
            <v>59</v>
          </cell>
          <cell r="AH119" t="str">
            <v>GRUPO V</v>
          </cell>
          <cell r="AI119" t="str">
            <v>Reparador Plantas II</v>
          </cell>
          <cell r="AJ119">
            <v>4415.13</v>
          </cell>
        </row>
        <row r="120">
          <cell r="AG120">
            <v>60</v>
          </cell>
          <cell r="AH120" t="str">
            <v>GRUPO V</v>
          </cell>
          <cell r="AI120" t="str">
            <v>Bombero II</v>
          </cell>
          <cell r="AJ120">
            <v>4415.13</v>
          </cell>
        </row>
        <row r="121">
          <cell r="AG121">
            <v>61</v>
          </cell>
          <cell r="AH121" t="str">
            <v>GRUPO V</v>
          </cell>
          <cell r="AI121" t="str">
            <v>Op. Refineria III</v>
          </cell>
          <cell r="AJ121">
            <v>4415.13</v>
          </cell>
        </row>
        <row r="122">
          <cell r="AG122">
            <v>62</v>
          </cell>
          <cell r="AH122" t="str">
            <v>GRUPO V</v>
          </cell>
          <cell r="AI122" t="str">
            <v>Armador Estruc. Met. II</v>
          </cell>
          <cell r="AJ122">
            <v>4415.13</v>
          </cell>
        </row>
        <row r="123">
          <cell r="AG123">
            <v>63</v>
          </cell>
          <cell r="AH123" t="str">
            <v>GRUPO V</v>
          </cell>
          <cell r="AI123" t="str">
            <v>Armador Torres II</v>
          </cell>
          <cell r="AJ123">
            <v>4415.13</v>
          </cell>
        </row>
        <row r="124">
          <cell r="AG124">
            <v>64</v>
          </cell>
          <cell r="AH124" t="str">
            <v>GRUPO V</v>
          </cell>
          <cell r="AI124" t="str">
            <v>Herrero II</v>
          </cell>
          <cell r="AJ124">
            <v>4415.13</v>
          </cell>
        </row>
        <row r="125">
          <cell r="AG125">
            <v>65</v>
          </cell>
          <cell r="AH125" t="str">
            <v>GRUPO V</v>
          </cell>
          <cell r="AI125" t="str">
            <v>Moldeador II</v>
          </cell>
          <cell r="AJ125">
            <v>4415.13</v>
          </cell>
        </row>
        <row r="126">
          <cell r="AG126">
            <v>66</v>
          </cell>
          <cell r="AH126" t="str">
            <v>GRUPO V</v>
          </cell>
          <cell r="AI126" t="str">
            <v>Repara. Garaje II</v>
          </cell>
          <cell r="AJ126">
            <v>4415.13</v>
          </cell>
        </row>
        <row r="127">
          <cell r="AG127">
            <v>67</v>
          </cell>
          <cell r="AH127" t="str">
            <v>GRUPO V</v>
          </cell>
          <cell r="AI127" t="str">
            <v>Oficinista II</v>
          </cell>
          <cell r="AJ127">
            <v>4415.13</v>
          </cell>
        </row>
        <row r="128">
          <cell r="AG128">
            <v>68</v>
          </cell>
          <cell r="AH128" t="str">
            <v>GRUPO V</v>
          </cell>
          <cell r="AI128" t="str">
            <v>Auxiliar de Inge. III</v>
          </cell>
          <cell r="AJ128">
            <v>4415.13</v>
          </cell>
        </row>
        <row r="129">
          <cell r="AG129">
            <v>69</v>
          </cell>
          <cell r="AH129" t="str">
            <v>GRUPO V</v>
          </cell>
          <cell r="AI129" t="str">
            <v>Auxiliar Serv. Salud III</v>
          </cell>
          <cell r="AJ129">
            <v>4415.13</v>
          </cell>
        </row>
        <row r="130">
          <cell r="AG130">
            <v>70</v>
          </cell>
          <cell r="AH130" t="str">
            <v>GRUPO V</v>
          </cell>
          <cell r="AI130" t="str">
            <v>Operario Automotor I</v>
          </cell>
          <cell r="AJ130">
            <v>4415.13</v>
          </cell>
        </row>
        <row r="131">
          <cell r="AG131">
            <v>71</v>
          </cell>
          <cell r="AH131" t="str">
            <v>GRUPO V</v>
          </cell>
          <cell r="AI131" t="str">
            <v>Cocinero I</v>
          </cell>
          <cell r="AJ131">
            <v>4415.13</v>
          </cell>
        </row>
        <row r="132">
          <cell r="AG132">
            <v>72</v>
          </cell>
          <cell r="AH132" t="str">
            <v>GRUPO V</v>
          </cell>
          <cell r="AI132" t="str">
            <v>Aux. Casino I</v>
          </cell>
          <cell r="AJ132">
            <v>4415.13</v>
          </cell>
        </row>
        <row r="133">
          <cell r="AG133">
            <v>73</v>
          </cell>
          <cell r="AH133" t="str">
            <v>GRUPO V</v>
          </cell>
          <cell r="AI133" t="str">
            <v>Carnicero I</v>
          </cell>
          <cell r="AJ133">
            <v>4415.13</v>
          </cell>
        </row>
        <row r="134">
          <cell r="AG134">
            <v>74</v>
          </cell>
          <cell r="AH134" t="str">
            <v>GRUPO V</v>
          </cell>
          <cell r="AI134" t="str">
            <v>Albañil I</v>
          </cell>
          <cell r="AJ134">
            <v>4415.13</v>
          </cell>
        </row>
        <row r="135">
          <cell r="AG135">
            <v>75</v>
          </cell>
          <cell r="AH135" t="str">
            <v>GRUPO V</v>
          </cell>
          <cell r="AI135" t="str">
            <v>Plomero I</v>
          </cell>
          <cell r="AJ135">
            <v>4415.13</v>
          </cell>
        </row>
        <row r="136">
          <cell r="AG136">
            <v>76</v>
          </cell>
          <cell r="AH136" t="str">
            <v>GRUPO V</v>
          </cell>
          <cell r="AI136" t="str">
            <v>Pintor I</v>
          </cell>
          <cell r="AJ136">
            <v>4415.13</v>
          </cell>
        </row>
        <row r="137">
          <cell r="AG137">
            <v>77</v>
          </cell>
          <cell r="AH137" t="str">
            <v>GRUPO V</v>
          </cell>
          <cell r="AI137" t="str">
            <v>Carpintero I</v>
          </cell>
          <cell r="AJ137">
            <v>4415.13</v>
          </cell>
        </row>
        <row r="138">
          <cell r="AG138">
            <v>78</v>
          </cell>
          <cell r="AH138" t="str">
            <v>GRUPO V</v>
          </cell>
          <cell r="AI138" t="str">
            <v>Chofer I</v>
          </cell>
          <cell r="AJ138">
            <v>4415.13</v>
          </cell>
        </row>
        <row r="139">
          <cell r="AG139">
            <v>79</v>
          </cell>
          <cell r="AH139" t="str">
            <v>GRUPO V</v>
          </cell>
          <cell r="AI139" t="str">
            <v>Aux. Materiales III</v>
          </cell>
          <cell r="AJ139">
            <v>4415.13</v>
          </cell>
        </row>
        <row r="140">
          <cell r="AG140">
            <v>80</v>
          </cell>
          <cell r="AH140" t="str">
            <v>GRUPO VI</v>
          </cell>
          <cell r="AI140" t="str">
            <v>Op. Serv. Pozos II</v>
          </cell>
          <cell r="AJ140">
            <v>4525.13</v>
          </cell>
        </row>
        <row r="141">
          <cell r="AG141">
            <v>81</v>
          </cell>
          <cell r="AH141" t="str">
            <v>GRUPO VI</v>
          </cell>
          <cell r="AI141" t="str">
            <v>Op. Plantas Prod. II</v>
          </cell>
          <cell r="AJ141">
            <v>4525.13</v>
          </cell>
        </row>
        <row r="142">
          <cell r="AG142">
            <v>82</v>
          </cell>
          <cell r="AH142" t="str">
            <v>GRUPO VI</v>
          </cell>
          <cell r="AI142" t="str">
            <v>Op. Refineria II</v>
          </cell>
          <cell r="AJ142">
            <v>4525.13</v>
          </cell>
        </row>
        <row r="143">
          <cell r="AG143">
            <v>83</v>
          </cell>
          <cell r="AH143" t="str">
            <v>GRUPO VI</v>
          </cell>
          <cell r="AI143" t="str">
            <v>Op. Trans. Fluidos II</v>
          </cell>
          <cell r="AJ143">
            <v>4525.13</v>
          </cell>
        </row>
        <row r="144">
          <cell r="AG144">
            <v>84</v>
          </cell>
          <cell r="AH144" t="str">
            <v>GRUPO VI</v>
          </cell>
          <cell r="AI144" t="str">
            <v>Analista II</v>
          </cell>
          <cell r="AJ144">
            <v>4525.13</v>
          </cell>
        </row>
        <row r="145">
          <cell r="AG145">
            <v>85</v>
          </cell>
          <cell r="AH145" t="str">
            <v>GRUPO VI</v>
          </cell>
          <cell r="AI145" t="str">
            <v>Mecánico Mantto II</v>
          </cell>
          <cell r="AJ145">
            <v>4525.13</v>
          </cell>
        </row>
        <row r="146">
          <cell r="AG146">
            <v>86</v>
          </cell>
          <cell r="AH146" t="str">
            <v>GRUPO VI</v>
          </cell>
          <cell r="AI146" t="str">
            <v>Instrumentista II</v>
          </cell>
          <cell r="AJ146">
            <v>4525.13</v>
          </cell>
        </row>
        <row r="147">
          <cell r="AG147">
            <v>87</v>
          </cell>
          <cell r="AH147" t="str">
            <v>GRUPO VI</v>
          </cell>
          <cell r="AI147" t="str">
            <v>Electricista II</v>
          </cell>
          <cell r="AJ147">
            <v>4525.13</v>
          </cell>
        </row>
        <row r="148">
          <cell r="AG148">
            <v>88</v>
          </cell>
          <cell r="AH148" t="str">
            <v>GRUPO VI</v>
          </cell>
          <cell r="AI148" t="str">
            <v>Soldador II</v>
          </cell>
          <cell r="AJ148">
            <v>4525.13</v>
          </cell>
        </row>
        <row r="149">
          <cell r="AG149">
            <v>89</v>
          </cell>
          <cell r="AH149" t="str">
            <v>GRUPO VI</v>
          </cell>
          <cell r="AI149" t="str">
            <v>Metalista II</v>
          </cell>
          <cell r="AJ149">
            <v>4525.13</v>
          </cell>
        </row>
      </sheetData>
      <sheetData sheetId="4" refreshError="1"/>
      <sheetData sheetId="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 val="Materiales"/>
    </sheetNames>
    <sheetDataSet>
      <sheetData sheetId="0"/>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_asfálticas"/>
      <sheetName val="Mezclas asfálticas"/>
      <sheetName val="ICCP"/>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 sheetId="2" refreshError="1"/>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ELECTRICO"/>
      <sheetName val="Vuelta"/>
      <sheetName val="INSUMO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DATOS"/>
      <sheetName val="Otros"/>
      <sheetName val="BASE"/>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SUB APU"/>
      <sheetName val="PR 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Otros"/>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DAT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sheetData sheetId="19">
        <row r="1">
          <cell r="A1" t="str">
            <v>CODIGO</v>
          </cell>
        </row>
      </sheetData>
      <sheetData sheetId="20"/>
      <sheetData sheetId="21" refreshError="1"/>
      <sheetData sheetId="22"/>
      <sheetData sheetId="23">
        <row r="1">
          <cell r="A1" t="str">
            <v>CODIGO</v>
          </cell>
        </row>
      </sheetData>
      <sheetData sheetId="24"/>
      <sheetData sheetId="25" refreshError="1"/>
      <sheetData sheetId="26" refreshError="1"/>
      <sheetData sheetId="27" refreshError="1"/>
      <sheetData sheetId="28" refreshError="1"/>
      <sheetData sheetId="29">
        <row r="1">
          <cell r="A1" t="str">
            <v>CODIGO</v>
          </cell>
        </row>
      </sheetData>
      <sheetData sheetId="30"/>
      <sheetData sheetId="31" refreshError="1"/>
      <sheetData sheetId="3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 val="INSUMOS"/>
      <sheetName val="Lista de precios"/>
      <sheetName val="TARIFAS MIELfeb27-2001"/>
      <sheetName val="todos"/>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Tabla CONPES 3714"/>
      <sheetName val="BASE"/>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CANT OBRA"/>
      <sheetName val="_aCCIDENTES_DE_1995___1996_xl_4"/>
      <sheetName val="_aCCIDENTES_DE_1995___1996_xl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 ACTA FINAL + MODIFICATORIA "/>
      <sheetName val="HISTORICOS FUEL OIL EXP"/>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sheetData sheetId="49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SAN BASILIO NEGRAS"/>
      <sheetName val="TOTALES"/>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 val="Lista de precios"/>
      <sheetName val="SUB APU"/>
      <sheetName val="Materiales"/>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Mezclas asfálticas"/>
      <sheetName val="ManoObra"/>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 val="PUNITARIOS%20PARA%20241201%202S"/>
      <sheetName val="TRANSPORTE"/>
      <sheetName val=" Liquidacion de Obra por Tramos"/>
      <sheetName val="Excavación Mat. Común Estacione"/>
      <sheetName val="Demolición Pavimento"/>
      <sheetName val="A.P.U"/>
      <sheetName val="Equipo"/>
      <sheetName val="Insum"/>
      <sheetName val="GCB2000"/>
      <sheetName val="RELACION MES"/>
      <sheetName val="Listas"/>
      <sheetName val="A. P. U."/>
      <sheetName val="062"/>
      <sheetName val="PERSONAL"/>
      <sheetName val="Tarifa MT"/>
      <sheetName val="Materiales"/>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Listado"/>
      <sheetName val="REC-COD,"/>
      <sheetName val="Lp"/>
      <sheetName val="Requisición1"/>
      <sheetName val="2,2,6,1 Pilotes 0,30"/>
      <sheetName val="SALARIOS"/>
      <sheetName val="APU NO PREVISTO"/>
      <sheetName val="PPTA (3)"/>
      <sheetName val="PPTA (2)"/>
      <sheetName val="PPTA"/>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 val="CODCONST"/>
      <sheetName val="PREACTA Y CONTRATISTAS"/>
      <sheetName val="OCTUBRE"/>
      <sheetName val="TRAPMO"/>
      <sheetName val="Summary"/>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ow r="48">
          <cell r="E48">
            <v>0</v>
          </cell>
        </row>
      </sheetData>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otros"/>
      <sheetName val="Mezclas asfálticas"/>
    </sheetNames>
    <sheetDataSet>
      <sheetData sheetId="0" refreshError="1">
        <row r="10">
          <cell r="C10">
            <v>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Resumen_APU"/>
      <sheetName val="SALARIOS"/>
      <sheetName val="ITEMS"/>
      <sheetName val="TARIFAS"/>
      <sheetName val="Indicadores"/>
      <sheetName val="SUB APU"/>
      <sheetName val="DATOS"/>
      <sheetName val="desmonte"/>
    </sheetNames>
    <sheetDataSet>
      <sheetData sheetId="0" refreshError="1">
        <row r="74">
          <cell r="E74">
            <v>0.06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 val="SUB APU"/>
      <sheetName val="Otros"/>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SALARIOS"/>
      <sheetName val="desmonte"/>
      <sheetName val="A%20MInformes%20M"/>
      <sheetName val="A. P. U."/>
      <sheetName val="Unitarios"/>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 val="TUBERIA"/>
      <sheetName val="SUB APU"/>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14"/>
  <sheetViews>
    <sheetView topLeftCell="A72" zoomScale="91" zoomScaleNormal="91" workbookViewId="0">
      <selection activeCell="K62" sqref="K62"/>
    </sheetView>
  </sheetViews>
  <sheetFormatPr baseColWidth="10" defaultColWidth="11.42578125" defaultRowHeight="12.75" x14ac:dyDescent="0.2"/>
  <cols>
    <col min="1" max="1" width="3" style="1" customWidth="1"/>
    <col min="2" max="2" width="11.42578125" style="1"/>
    <col min="3" max="3" width="57.5703125" style="1" customWidth="1"/>
    <col min="4" max="4" width="9.140625" style="1" customWidth="1"/>
    <col min="5" max="5" width="9.140625" style="2" bestFit="1" customWidth="1"/>
    <col min="6" max="6" width="14.85546875" style="3" bestFit="1" customWidth="1"/>
    <col min="7" max="7" width="10.5703125" style="1" bestFit="1" customWidth="1"/>
    <col min="8" max="8" width="14" style="2" bestFit="1" customWidth="1"/>
    <col min="9" max="9" width="11.7109375" style="2" customWidth="1"/>
    <col min="10" max="10" width="27.28515625" style="3" customWidth="1"/>
    <col min="11" max="11" width="34.28515625" style="1" customWidth="1"/>
    <col min="12" max="16384" width="11.42578125" style="1"/>
  </cols>
  <sheetData>
    <row r="1" spans="2:10" ht="13.5" thickBot="1" x14ac:dyDescent="0.25"/>
    <row r="2" spans="2:10" x14ac:dyDescent="0.2">
      <c r="B2" s="562"/>
      <c r="C2" s="563"/>
      <c r="D2" s="563"/>
      <c r="E2" s="563"/>
      <c r="F2" s="563"/>
      <c r="G2" s="563"/>
      <c r="H2" s="563"/>
      <c r="I2" s="563"/>
      <c r="J2" s="564"/>
    </row>
    <row r="3" spans="2:10" x14ac:dyDescent="0.2">
      <c r="B3" s="4"/>
      <c r="C3" s="5"/>
      <c r="D3" s="565" t="s">
        <v>0</v>
      </c>
      <c r="E3" s="565"/>
      <c r="F3" s="565"/>
      <c r="G3" s="6"/>
      <c r="H3" s="566">
        <f>'PRESUPUESTO CALLE 58 SUR'!F86</f>
        <v>912337651.50999999</v>
      </c>
      <c r="I3" s="566"/>
      <c r="J3" s="7" t="s">
        <v>1</v>
      </c>
    </row>
    <row r="4" spans="2:10" x14ac:dyDescent="0.2">
      <c r="B4" s="4"/>
      <c r="C4" s="5"/>
      <c r="D4" s="565" t="s">
        <v>2</v>
      </c>
      <c r="E4" s="565"/>
      <c r="F4" s="565"/>
      <c r="G4" s="8">
        <f>H4/H3</f>
        <v>0.31753929624250488</v>
      </c>
      <c r="H4" s="566">
        <f>J85</f>
        <v>289703055.79602504</v>
      </c>
      <c r="I4" s="566"/>
      <c r="J4" s="7" t="s">
        <v>275</v>
      </c>
    </row>
    <row r="5" spans="2:10" x14ac:dyDescent="0.2">
      <c r="B5" s="4"/>
      <c r="C5" s="5"/>
      <c r="D5" s="565" t="s">
        <v>3</v>
      </c>
      <c r="E5" s="565"/>
      <c r="F5" s="565"/>
      <c r="G5" s="9">
        <v>0.05</v>
      </c>
      <c r="H5" s="567">
        <f>ROUND(H3*G5,0)</f>
        <v>45616883</v>
      </c>
      <c r="I5" s="568"/>
      <c r="J5" s="7">
        <v>4</v>
      </c>
    </row>
    <row r="6" spans="2:10" ht="13.5" thickBot="1" x14ac:dyDescent="0.25">
      <c r="B6" s="10"/>
      <c r="C6" s="11"/>
      <c r="D6" s="569" t="s">
        <v>4</v>
      </c>
      <c r="E6" s="570"/>
      <c r="F6" s="570"/>
      <c r="G6" s="12"/>
      <c r="H6" s="571">
        <f>ROUND(H3+H4+H5,2)</f>
        <v>1247657590.3099999</v>
      </c>
      <c r="I6" s="572"/>
      <c r="J6" s="13"/>
    </row>
    <row r="7" spans="2:10" ht="127.5" customHeight="1" thickBot="1" x14ac:dyDescent="0.25">
      <c r="B7" s="14"/>
      <c r="C7" s="15"/>
      <c r="D7" s="573" t="s">
        <v>5</v>
      </c>
      <c r="E7" s="573"/>
      <c r="F7" s="573"/>
      <c r="G7" s="573"/>
      <c r="H7" s="573"/>
      <c r="I7" s="573"/>
      <c r="J7" s="574"/>
    </row>
    <row r="8" spans="2:10" ht="15" x14ac:dyDescent="0.2">
      <c r="B8" s="575"/>
      <c r="C8" s="576"/>
      <c r="D8" s="576"/>
      <c r="E8" s="576"/>
      <c r="F8" s="576"/>
      <c r="G8" s="576"/>
      <c r="H8" s="576"/>
      <c r="I8" s="576"/>
      <c r="J8" s="577"/>
    </row>
    <row r="9" spans="2:10" ht="21.75" thickBot="1" x14ac:dyDescent="0.25">
      <c r="B9" s="578" t="s">
        <v>6</v>
      </c>
      <c r="C9" s="579"/>
      <c r="D9" s="579"/>
      <c r="E9" s="579"/>
      <c r="F9" s="579"/>
      <c r="G9" s="579"/>
      <c r="H9" s="579"/>
      <c r="I9" s="579"/>
      <c r="J9" s="580"/>
    </row>
    <row r="10" spans="2:10" ht="25.5" x14ac:dyDescent="0.2">
      <c r="B10" s="16" t="s">
        <v>7</v>
      </c>
      <c r="C10" s="17" t="s">
        <v>8</v>
      </c>
      <c r="D10" s="17" t="s">
        <v>9</v>
      </c>
      <c r="E10" s="18" t="s">
        <v>10</v>
      </c>
      <c r="F10" s="19" t="s">
        <v>11</v>
      </c>
      <c r="G10" s="20" t="s">
        <v>12</v>
      </c>
      <c r="H10" s="18" t="s">
        <v>13</v>
      </c>
      <c r="I10" s="18" t="s">
        <v>14</v>
      </c>
      <c r="J10" s="21" t="s">
        <v>15</v>
      </c>
    </row>
    <row r="11" spans="2:10" x14ac:dyDescent="0.2">
      <c r="B11" s="22">
        <v>1</v>
      </c>
      <c r="C11" s="23" t="s">
        <v>16</v>
      </c>
      <c r="D11" s="24"/>
      <c r="E11" s="25"/>
      <c r="F11" s="26"/>
      <c r="G11" s="27"/>
      <c r="H11" s="25"/>
      <c r="I11" s="25"/>
      <c r="J11" s="28"/>
    </row>
    <row r="12" spans="2:10" x14ac:dyDescent="0.2">
      <c r="B12" s="29">
        <v>1.1000000000000001</v>
      </c>
      <c r="C12" s="30" t="s">
        <v>138</v>
      </c>
      <c r="D12" s="31" t="s">
        <v>17</v>
      </c>
      <c r="E12" s="32">
        <v>1</v>
      </c>
      <c r="F12" s="33">
        <v>6500000</v>
      </c>
      <c r="G12" s="34">
        <v>1.58</v>
      </c>
      <c r="H12" s="35">
        <v>1</v>
      </c>
      <c r="I12" s="36">
        <f>J5</f>
        <v>4</v>
      </c>
      <c r="J12" s="37">
        <f>E12*F12*G12*H12*I12</f>
        <v>41080000</v>
      </c>
    </row>
    <row r="13" spans="2:10" hidden="1" x14ac:dyDescent="0.2">
      <c r="B13" s="29">
        <v>1.2</v>
      </c>
      <c r="C13" s="38" t="s">
        <v>139</v>
      </c>
      <c r="D13" s="31" t="s">
        <v>17</v>
      </c>
      <c r="E13" s="32">
        <v>0</v>
      </c>
      <c r="F13" s="33">
        <v>2500000</v>
      </c>
      <c r="G13" s="34">
        <v>1.58</v>
      </c>
      <c r="H13" s="39">
        <v>1</v>
      </c>
      <c r="I13" s="36">
        <f>$I$12</f>
        <v>4</v>
      </c>
      <c r="J13" s="37">
        <f t="shared" ref="J13:J21" si="0">E13*F13*G13*H13*I13</f>
        <v>0</v>
      </c>
    </row>
    <row r="14" spans="2:10" hidden="1" x14ac:dyDescent="0.2">
      <c r="B14" s="29">
        <v>1.3</v>
      </c>
      <c r="C14" s="38" t="s">
        <v>18</v>
      </c>
      <c r="D14" s="31" t="s">
        <v>17</v>
      </c>
      <c r="E14" s="32">
        <v>0</v>
      </c>
      <c r="F14" s="33">
        <v>4000000</v>
      </c>
      <c r="G14" s="34">
        <v>1.58</v>
      </c>
      <c r="H14" s="39">
        <v>1</v>
      </c>
      <c r="I14" s="36">
        <f t="shared" ref="I14:I21" si="1">$I$12</f>
        <v>4</v>
      </c>
      <c r="J14" s="37">
        <f t="shared" si="0"/>
        <v>0</v>
      </c>
    </row>
    <row r="15" spans="2:10" x14ac:dyDescent="0.2">
      <c r="B15" s="29">
        <v>1.4</v>
      </c>
      <c r="C15" s="38" t="s">
        <v>143</v>
      </c>
      <c r="D15" s="31" t="s">
        <v>17</v>
      </c>
      <c r="E15" s="32">
        <v>1</v>
      </c>
      <c r="F15" s="33">
        <v>1700000</v>
      </c>
      <c r="G15" s="34">
        <v>1.58</v>
      </c>
      <c r="H15" s="39">
        <v>1</v>
      </c>
      <c r="I15" s="36">
        <f t="shared" si="1"/>
        <v>4</v>
      </c>
      <c r="J15" s="37">
        <f t="shared" si="0"/>
        <v>10744000</v>
      </c>
    </row>
    <row r="16" spans="2:10" hidden="1" x14ac:dyDescent="0.2">
      <c r="B16" s="29">
        <v>1.5</v>
      </c>
      <c r="C16" s="38" t="s">
        <v>19</v>
      </c>
      <c r="D16" s="31" t="s">
        <v>17</v>
      </c>
      <c r="E16" s="32">
        <v>0</v>
      </c>
      <c r="F16" s="33">
        <v>6500000</v>
      </c>
      <c r="G16" s="34">
        <v>1</v>
      </c>
      <c r="H16" s="39">
        <v>0.25</v>
      </c>
      <c r="I16" s="36">
        <f t="shared" si="1"/>
        <v>4</v>
      </c>
      <c r="J16" s="37">
        <f t="shared" si="0"/>
        <v>0</v>
      </c>
    </row>
    <row r="17" spans="2:10" x14ac:dyDescent="0.2">
      <c r="B17" s="29">
        <v>1.6</v>
      </c>
      <c r="C17" s="38" t="s">
        <v>20</v>
      </c>
      <c r="D17" s="31" t="s">
        <v>17</v>
      </c>
      <c r="E17" s="32">
        <v>1</v>
      </c>
      <c r="F17" s="33">
        <v>2500000</v>
      </c>
      <c r="G17" s="34">
        <f>G13</f>
        <v>1.58</v>
      </c>
      <c r="H17" s="39">
        <v>1</v>
      </c>
      <c r="I17" s="36">
        <f t="shared" si="1"/>
        <v>4</v>
      </c>
      <c r="J17" s="37">
        <f t="shared" si="0"/>
        <v>15800000</v>
      </c>
    </row>
    <row r="18" spans="2:10" hidden="1" x14ac:dyDescent="0.2">
      <c r="B18" s="29">
        <v>1.7</v>
      </c>
      <c r="C18" s="38" t="s">
        <v>21</v>
      </c>
      <c r="D18" s="31" t="s">
        <v>17</v>
      </c>
      <c r="E18" s="32">
        <v>0</v>
      </c>
      <c r="F18" s="33">
        <v>5000000</v>
      </c>
      <c r="G18" s="34">
        <v>1.58</v>
      </c>
      <c r="H18" s="39">
        <v>0.25</v>
      </c>
      <c r="I18" s="36">
        <f t="shared" si="1"/>
        <v>4</v>
      </c>
      <c r="J18" s="37">
        <f t="shared" si="0"/>
        <v>0</v>
      </c>
    </row>
    <row r="19" spans="2:10" hidden="1" x14ac:dyDescent="0.2">
      <c r="B19" s="29">
        <v>1.8</v>
      </c>
      <c r="C19" s="38" t="s">
        <v>22</v>
      </c>
      <c r="D19" s="31" t="s">
        <v>17</v>
      </c>
      <c r="E19" s="32">
        <v>0</v>
      </c>
      <c r="F19" s="33">
        <v>6000000</v>
      </c>
      <c r="G19" s="34">
        <v>1</v>
      </c>
      <c r="H19" s="39">
        <v>0.25</v>
      </c>
      <c r="I19" s="36">
        <f t="shared" si="1"/>
        <v>4</v>
      </c>
      <c r="J19" s="37">
        <f t="shared" si="0"/>
        <v>0</v>
      </c>
    </row>
    <row r="20" spans="2:10" hidden="1" x14ac:dyDescent="0.2">
      <c r="B20" s="29">
        <v>1.9</v>
      </c>
      <c r="C20" s="38" t="s">
        <v>23</v>
      </c>
      <c r="D20" s="31" t="s">
        <v>17</v>
      </c>
      <c r="E20" s="32">
        <v>0</v>
      </c>
      <c r="F20" s="33">
        <v>8000000</v>
      </c>
      <c r="G20" s="34">
        <v>1</v>
      </c>
      <c r="H20" s="39">
        <v>0.25</v>
      </c>
      <c r="I20" s="36">
        <f t="shared" si="1"/>
        <v>4</v>
      </c>
      <c r="J20" s="37">
        <f t="shared" si="0"/>
        <v>0</v>
      </c>
    </row>
    <row r="21" spans="2:10" x14ac:dyDescent="0.2">
      <c r="B21" s="40">
        <v>1.1000000000000001</v>
      </c>
      <c r="C21" s="41" t="s">
        <v>265</v>
      </c>
      <c r="D21" s="31" t="s">
        <v>17</v>
      </c>
      <c r="E21" s="32">
        <v>0.5</v>
      </c>
      <c r="F21" s="33">
        <v>3800000</v>
      </c>
      <c r="G21" s="34">
        <v>1.58</v>
      </c>
      <c r="H21" s="39">
        <v>1</v>
      </c>
      <c r="I21" s="36">
        <f t="shared" si="1"/>
        <v>4</v>
      </c>
      <c r="J21" s="37">
        <f t="shared" si="0"/>
        <v>12008000</v>
      </c>
    </row>
    <row r="22" spans="2:10" x14ac:dyDescent="0.2">
      <c r="B22" s="22">
        <v>2</v>
      </c>
      <c r="C22" s="42" t="s">
        <v>24</v>
      </c>
      <c r="D22" s="24"/>
      <c r="E22" s="25"/>
      <c r="F22" s="26"/>
      <c r="G22" s="25"/>
      <c r="H22" s="25"/>
      <c r="I22" s="25"/>
      <c r="J22" s="28"/>
    </row>
    <row r="23" spans="2:10" x14ac:dyDescent="0.2">
      <c r="B23" s="43">
        <v>2.1</v>
      </c>
      <c r="C23" s="41" t="s">
        <v>25</v>
      </c>
      <c r="D23" s="31" t="s">
        <v>17</v>
      </c>
      <c r="E23" s="32">
        <v>1</v>
      </c>
      <c r="F23" s="33">
        <v>2000000</v>
      </c>
      <c r="G23" s="34">
        <v>1.58</v>
      </c>
      <c r="H23" s="32">
        <v>1</v>
      </c>
      <c r="I23" s="36">
        <f>I13</f>
        <v>4</v>
      </c>
      <c r="J23" s="37">
        <f t="shared" ref="J23:J25" si="2">E23*F23*G23*H23*I23</f>
        <v>12640000</v>
      </c>
    </row>
    <row r="24" spans="2:10" x14ac:dyDescent="0.2">
      <c r="B24" s="43">
        <v>2.2000000000000002</v>
      </c>
      <c r="C24" s="41" t="s">
        <v>26</v>
      </c>
      <c r="D24" s="31" t="s">
        <v>17</v>
      </c>
      <c r="E24" s="32">
        <v>1</v>
      </c>
      <c r="F24" s="33">
        <v>1550000</v>
      </c>
      <c r="G24" s="34">
        <f>$G$25</f>
        <v>1.73</v>
      </c>
      <c r="H24" s="32">
        <v>1</v>
      </c>
      <c r="I24" s="36">
        <f t="shared" ref="I24:I36" si="3">I14</f>
        <v>4</v>
      </c>
      <c r="J24" s="37">
        <f t="shared" si="2"/>
        <v>10726000</v>
      </c>
    </row>
    <row r="25" spans="2:10" hidden="1" x14ac:dyDescent="0.2">
      <c r="B25" s="43">
        <v>2.2999999999999998</v>
      </c>
      <c r="C25" s="41" t="s">
        <v>27</v>
      </c>
      <c r="D25" s="31" t="s">
        <v>17</v>
      </c>
      <c r="E25" s="32">
        <v>0</v>
      </c>
      <c r="F25" s="33">
        <v>1014980</v>
      </c>
      <c r="G25" s="34">
        <v>1.73</v>
      </c>
      <c r="H25" s="32">
        <v>1</v>
      </c>
      <c r="I25" s="36">
        <f t="shared" si="3"/>
        <v>4</v>
      </c>
      <c r="J25" s="37">
        <f t="shared" si="2"/>
        <v>0</v>
      </c>
    </row>
    <row r="26" spans="2:10" x14ac:dyDescent="0.2">
      <c r="B26" s="43">
        <v>2.4</v>
      </c>
      <c r="C26" s="41" t="s">
        <v>28</v>
      </c>
      <c r="D26" s="31" t="s">
        <v>17</v>
      </c>
      <c r="E26" s="32">
        <v>1</v>
      </c>
      <c r="F26" s="33">
        <f>F25</f>
        <v>1014980</v>
      </c>
      <c r="G26" s="34">
        <f>$G$25</f>
        <v>1.73</v>
      </c>
      <c r="H26" s="32">
        <v>1</v>
      </c>
      <c r="I26" s="36">
        <f t="shared" si="3"/>
        <v>4</v>
      </c>
      <c r="J26" s="37">
        <f>E26*F26*G26*H26*I26</f>
        <v>7023661.5999999996</v>
      </c>
    </row>
    <row r="27" spans="2:10" x14ac:dyDescent="0.2">
      <c r="B27" s="22">
        <v>3</v>
      </c>
      <c r="C27" s="42" t="s">
        <v>29</v>
      </c>
      <c r="D27" s="24"/>
      <c r="E27" s="25"/>
      <c r="F27" s="26"/>
      <c r="G27" s="27"/>
      <c r="H27" s="25"/>
      <c r="I27" s="25"/>
      <c r="J27" s="28"/>
    </row>
    <row r="28" spans="2:10" hidden="1" x14ac:dyDescent="0.2">
      <c r="B28" s="43">
        <v>3.1</v>
      </c>
      <c r="C28" s="41" t="s">
        <v>30</v>
      </c>
      <c r="D28" s="31" t="s">
        <v>17</v>
      </c>
      <c r="E28" s="32"/>
      <c r="F28" s="33">
        <v>8000000</v>
      </c>
      <c r="G28" s="34">
        <v>1.58</v>
      </c>
      <c r="H28" s="32">
        <v>0.1</v>
      </c>
      <c r="I28" s="36">
        <f t="shared" si="3"/>
        <v>4</v>
      </c>
      <c r="J28" s="37">
        <f>+E28*F28*G28*H28*I28</f>
        <v>0</v>
      </c>
    </row>
    <row r="29" spans="2:10" hidden="1" x14ac:dyDescent="0.2">
      <c r="B29" s="43">
        <v>3.2</v>
      </c>
      <c r="C29" s="41" t="s">
        <v>31</v>
      </c>
      <c r="D29" s="31" t="s">
        <v>17</v>
      </c>
      <c r="E29" s="32"/>
      <c r="F29" s="33">
        <v>3500000</v>
      </c>
      <c r="G29" s="34">
        <v>1.58</v>
      </c>
      <c r="H29" s="32">
        <v>0.1</v>
      </c>
      <c r="I29" s="36">
        <f t="shared" si="3"/>
        <v>4</v>
      </c>
      <c r="J29" s="37">
        <f t="shared" ref="J29:J38" si="4">+E29*F29*G29*H29*I29</f>
        <v>0</v>
      </c>
    </row>
    <row r="30" spans="2:10" hidden="1" x14ac:dyDescent="0.2">
      <c r="B30" s="43">
        <v>3.3</v>
      </c>
      <c r="C30" s="41" t="s">
        <v>32</v>
      </c>
      <c r="D30" s="31" t="s">
        <v>17</v>
      </c>
      <c r="E30" s="32"/>
      <c r="F30" s="33">
        <f>F25</f>
        <v>1014980</v>
      </c>
      <c r="G30" s="34">
        <f t="shared" ref="G30" si="5">G28</f>
        <v>1.58</v>
      </c>
      <c r="H30" s="32">
        <v>0.1</v>
      </c>
      <c r="I30" s="36">
        <f t="shared" si="3"/>
        <v>4</v>
      </c>
      <c r="J30" s="37">
        <f t="shared" si="4"/>
        <v>0</v>
      </c>
    </row>
    <row r="31" spans="2:10" hidden="1" x14ac:dyDescent="0.2">
      <c r="B31" s="43">
        <v>3.4</v>
      </c>
      <c r="C31" s="41" t="s">
        <v>33</v>
      </c>
      <c r="D31" s="31" t="s">
        <v>17</v>
      </c>
      <c r="E31" s="32"/>
      <c r="F31" s="33">
        <v>2000000</v>
      </c>
      <c r="G31" s="34">
        <v>1.58</v>
      </c>
      <c r="H31" s="32">
        <v>0.1</v>
      </c>
      <c r="I31" s="36">
        <f t="shared" si="3"/>
        <v>4</v>
      </c>
      <c r="J31" s="37">
        <f t="shared" si="4"/>
        <v>0</v>
      </c>
    </row>
    <row r="32" spans="2:10" hidden="1" x14ac:dyDescent="0.2">
      <c r="B32" s="43">
        <v>3.5</v>
      </c>
      <c r="C32" s="41" t="s">
        <v>34</v>
      </c>
      <c r="D32" s="31" t="s">
        <v>17</v>
      </c>
      <c r="E32" s="32"/>
      <c r="F32" s="33">
        <v>2500000</v>
      </c>
      <c r="G32" s="34">
        <v>1.58</v>
      </c>
      <c r="H32" s="32">
        <v>0.1</v>
      </c>
      <c r="I32" s="36">
        <f>I12</f>
        <v>4</v>
      </c>
      <c r="J32" s="37">
        <f t="shared" si="4"/>
        <v>0</v>
      </c>
    </row>
    <row r="33" spans="2:10" hidden="1" x14ac:dyDescent="0.2">
      <c r="B33" s="43">
        <v>3.6</v>
      </c>
      <c r="C33" s="41" t="s">
        <v>35</v>
      </c>
      <c r="D33" s="31" t="s">
        <v>17</v>
      </c>
      <c r="E33" s="32"/>
      <c r="F33" s="33">
        <v>1500000</v>
      </c>
      <c r="G33" s="34">
        <f>G30</f>
        <v>1.58</v>
      </c>
      <c r="H33" s="32">
        <v>0.1</v>
      </c>
      <c r="I33" s="36">
        <f t="shared" si="3"/>
        <v>4</v>
      </c>
      <c r="J33" s="37">
        <f t="shared" si="4"/>
        <v>0</v>
      </c>
    </row>
    <row r="34" spans="2:10" hidden="1" x14ac:dyDescent="0.2">
      <c r="B34" s="43">
        <v>3.7</v>
      </c>
      <c r="C34" s="41" t="s">
        <v>36</v>
      </c>
      <c r="D34" s="31" t="s">
        <v>17</v>
      </c>
      <c r="E34" s="32"/>
      <c r="F34" s="33">
        <v>1500000</v>
      </c>
      <c r="G34" s="34">
        <f>G30</f>
        <v>1.58</v>
      </c>
      <c r="H34" s="32">
        <v>0.1</v>
      </c>
      <c r="I34" s="36">
        <f t="shared" si="3"/>
        <v>4</v>
      </c>
      <c r="J34" s="37">
        <f t="shared" si="4"/>
        <v>0</v>
      </c>
    </row>
    <row r="35" spans="2:10" hidden="1" x14ac:dyDescent="0.2">
      <c r="B35" s="43">
        <v>3.8</v>
      </c>
      <c r="C35" s="41" t="s">
        <v>37</v>
      </c>
      <c r="D35" s="31" t="s">
        <v>17</v>
      </c>
      <c r="E35" s="32"/>
      <c r="F35" s="33">
        <v>1400000</v>
      </c>
      <c r="G35" s="34">
        <f>G34</f>
        <v>1.58</v>
      </c>
      <c r="H35" s="32">
        <v>0.1</v>
      </c>
      <c r="I35" s="36">
        <f t="shared" si="3"/>
        <v>4</v>
      </c>
      <c r="J35" s="37">
        <f t="shared" si="4"/>
        <v>0</v>
      </c>
    </row>
    <row r="36" spans="2:10" hidden="1" x14ac:dyDescent="0.2">
      <c r="B36" s="43">
        <v>3.9</v>
      </c>
      <c r="C36" s="41" t="s">
        <v>38</v>
      </c>
      <c r="D36" s="31" t="s">
        <v>17</v>
      </c>
      <c r="E36" s="32"/>
      <c r="F36" s="33">
        <v>3000000</v>
      </c>
      <c r="G36" s="34">
        <v>1.58</v>
      </c>
      <c r="H36" s="32">
        <v>0.1</v>
      </c>
      <c r="I36" s="36">
        <f t="shared" si="3"/>
        <v>4</v>
      </c>
      <c r="J36" s="37">
        <f t="shared" si="4"/>
        <v>0</v>
      </c>
    </row>
    <row r="37" spans="2:10" hidden="1" x14ac:dyDescent="0.2">
      <c r="B37" s="40">
        <v>3.1</v>
      </c>
      <c r="C37" s="41" t="s">
        <v>39</v>
      </c>
      <c r="D37" s="31" t="s">
        <v>17</v>
      </c>
      <c r="E37" s="32"/>
      <c r="F37" s="33">
        <v>1014980</v>
      </c>
      <c r="G37" s="34">
        <f t="shared" ref="G37" si="6">G33</f>
        <v>1.58</v>
      </c>
      <c r="H37" s="32">
        <v>0.1</v>
      </c>
      <c r="I37" s="36">
        <f>I12</f>
        <v>4</v>
      </c>
      <c r="J37" s="37">
        <f t="shared" si="4"/>
        <v>0</v>
      </c>
    </row>
    <row r="38" spans="2:10" hidden="1" x14ac:dyDescent="0.2">
      <c r="B38" s="43">
        <v>3.11</v>
      </c>
      <c r="C38" s="41" t="s">
        <v>40</v>
      </c>
      <c r="D38" s="31" t="s">
        <v>17</v>
      </c>
      <c r="E38" s="32"/>
      <c r="F38" s="33">
        <v>1500000</v>
      </c>
      <c r="G38" s="34">
        <v>1.58</v>
      </c>
      <c r="H38" s="32">
        <v>0.1</v>
      </c>
      <c r="I38" s="36">
        <f>I12</f>
        <v>4</v>
      </c>
      <c r="J38" s="37">
        <f t="shared" si="4"/>
        <v>0</v>
      </c>
    </row>
    <row r="39" spans="2:10" x14ac:dyDescent="0.2">
      <c r="B39" s="40">
        <v>3.12</v>
      </c>
      <c r="C39" s="41" t="s">
        <v>41</v>
      </c>
      <c r="D39" s="31" t="s">
        <v>17</v>
      </c>
      <c r="E39" s="32">
        <v>1</v>
      </c>
      <c r="F39" s="33">
        <v>5000000</v>
      </c>
      <c r="G39" s="34">
        <v>1</v>
      </c>
      <c r="H39" s="32">
        <v>1</v>
      </c>
      <c r="I39" s="36">
        <v>1</v>
      </c>
      <c r="J39" s="37">
        <f>E39*F39*I39*G39*H39</f>
        <v>5000000</v>
      </c>
    </row>
    <row r="40" spans="2:10" x14ac:dyDescent="0.2">
      <c r="B40" s="22">
        <v>4</v>
      </c>
      <c r="C40" s="42" t="s">
        <v>42</v>
      </c>
      <c r="D40" s="24"/>
      <c r="E40" s="25"/>
      <c r="F40" s="26"/>
      <c r="G40" s="27"/>
      <c r="H40" s="25"/>
      <c r="I40" s="25"/>
      <c r="J40" s="28"/>
    </row>
    <row r="41" spans="2:10" x14ac:dyDescent="0.2">
      <c r="B41" s="43">
        <v>4.0999999999999996</v>
      </c>
      <c r="C41" s="41" t="s">
        <v>141</v>
      </c>
      <c r="D41" s="31" t="s">
        <v>43</v>
      </c>
      <c r="E41" s="39">
        <v>1</v>
      </c>
      <c r="F41" s="44">
        <v>9980000</v>
      </c>
      <c r="G41" s="34">
        <v>1</v>
      </c>
      <c r="H41" s="39">
        <v>1</v>
      </c>
      <c r="I41" s="36">
        <f>I12</f>
        <v>4</v>
      </c>
      <c r="J41" s="37">
        <f t="shared" ref="J41:J42" si="7">E41*F41*H41*I41</f>
        <v>39920000</v>
      </c>
    </row>
    <row r="42" spans="2:10" hidden="1" x14ac:dyDescent="0.2">
      <c r="B42" s="43">
        <v>4.2</v>
      </c>
      <c r="C42" s="41" t="s">
        <v>140</v>
      </c>
      <c r="D42" s="31" t="s">
        <v>43</v>
      </c>
      <c r="E42" s="39">
        <v>0</v>
      </c>
      <c r="F42" s="44">
        <v>9800000</v>
      </c>
      <c r="G42" s="34">
        <v>1</v>
      </c>
      <c r="H42" s="39">
        <v>1</v>
      </c>
      <c r="I42" s="36">
        <f>I13</f>
        <v>4</v>
      </c>
      <c r="J42" s="37">
        <f t="shared" si="7"/>
        <v>0</v>
      </c>
    </row>
    <row r="43" spans="2:10" x14ac:dyDescent="0.2">
      <c r="B43" s="22">
        <v>5</v>
      </c>
      <c r="C43" s="42" t="s">
        <v>44</v>
      </c>
      <c r="D43" s="24"/>
      <c r="E43" s="25"/>
      <c r="F43" s="26"/>
      <c r="G43" s="27"/>
      <c r="H43" s="25"/>
      <c r="I43" s="25"/>
      <c r="J43" s="28"/>
    </row>
    <row r="44" spans="2:10" x14ac:dyDescent="0.2">
      <c r="B44" s="43">
        <v>5.0999999999999996</v>
      </c>
      <c r="C44" s="45" t="s">
        <v>45</v>
      </c>
      <c r="D44" s="31" t="s">
        <v>46</v>
      </c>
      <c r="E44" s="32">
        <v>1</v>
      </c>
      <c r="F44" s="33">
        <v>4000000</v>
      </c>
      <c r="G44" s="34">
        <v>1</v>
      </c>
      <c r="H44" s="39">
        <v>1</v>
      </c>
      <c r="I44" s="36">
        <v>1</v>
      </c>
      <c r="J44" s="37">
        <f t="shared" ref="J44:J45" si="8">E44*F44*G44*H44*I44</f>
        <v>4000000</v>
      </c>
    </row>
    <row r="45" spans="2:10" hidden="1" x14ac:dyDescent="0.2">
      <c r="B45" s="43">
        <v>5.2</v>
      </c>
      <c r="C45" s="45"/>
      <c r="D45" s="31"/>
      <c r="E45" s="32"/>
      <c r="F45" s="33"/>
      <c r="G45" s="34"/>
      <c r="H45" s="39"/>
      <c r="I45" s="36"/>
      <c r="J45" s="37">
        <f t="shared" si="8"/>
        <v>0</v>
      </c>
    </row>
    <row r="46" spans="2:10" x14ac:dyDescent="0.2">
      <c r="B46" s="43">
        <v>5.3</v>
      </c>
      <c r="C46" s="45" t="s">
        <v>47</v>
      </c>
      <c r="D46" s="31" t="s">
        <v>17</v>
      </c>
      <c r="E46" s="32">
        <v>0</v>
      </c>
      <c r="F46" s="33">
        <f>F26</f>
        <v>1014980</v>
      </c>
      <c r="G46" s="34">
        <f>G24</f>
        <v>1.73</v>
      </c>
      <c r="H46" s="39">
        <v>1</v>
      </c>
      <c r="I46" s="36">
        <f>I12</f>
        <v>4</v>
      </c>
      <c r="J46" s="37">
        <f>E46*F46*G46*H46*I46</f>
        <v>0</v>
      </c>
    </row>
    <row r="47" spans="2:10" x14ac:dyDescent="0.2">
      <c r="B47" s="22">
        <v>6</v>
      </c>
      <c r="C47" s="42" t="s">
        <v>48</v>
      </c>
      <c r="D47" s="24"/>
      <c r="E47" s="25"/>
      <c r="F47" s="26"/>
      <c r="G47" s="27"/>
      <c r="H47" s="25"/>
      <c r="I47" s="25"/>
      <c r="J47" s="28"/>
    </row>
    <row r="48" spans="2:10" x14ac:dyDescent="0.2">
      <c r="B48" s="43">
        <v>6.1</v>
      </c>
      <c r="C48" s="46" t="s">
        <v>142</v>
      </c>
      <c r="D48" s="47" t="s">
        <v>43</v>
      </c>
      <c r="E48" s="36">
        <v>1</v>
      </c>
      <c r="F48" s="48">
        <f>724500+693000/3</f>
        <v>955500</v>
      </c>
      <c r="G48" s="49"/>
      <c r="H48" s="39"/>
      <c r="I48" s="39">
        <v>4</v>
      </c>
      <c r="J48" s="37">
        <f>E48*F48*I48</f>
        <v>3822000</v>
      </c>
    </row>
    <row r="49" spans="2:10" x14ac:dyDescent="0.2">
      <c r="B49" s="43">
        <v>6.2</v>
      </c>
      <c r="C49" s="46" t="s">
        <v>50</v>
      </c>
      <c r="D49" s="47" t="s">
        <v>17</v>
      </c>
      <c r="E49" s="36">
        <v>1</v>
      </c>
      <c r="F49" s="48">
        <v>150000</v>
      </c>
      <c r="G49" s="49"/>
      <c r="H49" s="39"/>
      <c r="I49" s="36">
        <f>I12</f>
        <v>4</v>
      </c>
      <c r="J49" s="37">
        <f>E49*F49*I49</f>
        <v>600000</v>
      </c>
    </row>
    <row r="50" spans="2:10" x14ac:dyDescent="0.2">
      <c r="B50" s="43">
        <v>6.3</v>
      </c>
      <c r="C50" s="46" t="s">
        <v>51</v>
      </c>
      <c r="D50" s="47" t="s">
        <v>49</v>
      </c>
      <c r="E50" s="36">
        <v>1</v>
      </c>
      <c r="F50" s="48">
        <v>3500000</v>
      </c>
      <c r="G50" s="49"/>
      <c r="H50" s="39"/>
      <c r="I50" s="39">
        <v>1</v>
      </c>
      <c r="J50" s="37">
        <f>E50*F50*I50</f>
        <v>3500000</v>
      </c>
    </row>
    <row r="51" spans="2:10" x14ac:dyDescent="0.2">
      <c r="B51" s="43">
        <v>6.4</v>
      </c>
      <c r="C51" s="46" t="s">
        <v>52</v>
      </c>
      <c r="D51" s="47" t="s">
        <v>53</v>
      </c>
      <c r="E51" s="36">
        <v>0</v>
      </c>
      <c r="F51" s="48">
        <f>170000*25</f>
        <v>4250000</v>
      </c>
      <c r="G51" s="49"/>
      <c r="H51" s="39"/>
      <c r="I51" s="39">
        <v>0</v>
      </c>
      <c r="J51" s="37">
        <f>E51*F51*I51</f>
        <v>0</v>
      </c>
    </row>
    <row r="52" spans="2:10" x14ac:dyDescent="0.2">
      <c r="B52" s="43">
        <v>6.5</v>
      </c>
      <c r="C52" s="46" t="s">
        <v>54</v>
      </c>
      <c r="D52" s="47" t="s">
        <v>17</v>
      </c>
      <c r="E52" s="36">
        <v>1</v>
      </c>
      <c r="F52" s="48">
        <v>550000</v>
      </c>
      <c r="G52" s="49"/>
      <c r="H52" s="39">
        <v>1</v>
      </c>
      <c r="I52" s="39">
        <v>1</v>
      </c>
      <c r="J52" s="37">
        <f>+E52*F52*H52</f>
        <v>550000</v>
      </c>
    </row>
    <row r="53" spans="2:10" x14ac:dyDescent="0.2">
      <c r="B53" s="22">
        <v>7</v>
      </c>
      <c r="C53" s="42" t="s">
        <v>55</v>
      </c>
      <c r="D53" s="24"/>
      <c r="E53" s="25"/>
      <c r="F53" s="26"/>
      <c r="G53" s="27"/>
      <c r="H53" s="25"/>
      <c r="I53" s="25"/>
      <c r="J53" s="28"/>
    </row>
    <row r="54" spans="2:10" ht="25.5" x14ac:dyDescent="0.2">
      <c r="B54" s="43">
        <v>7.1</v>
      </c>
      <c r="C54" s="46" t="s">
        <v>56</v>
      </c>
      <c r="D54" s="47" t="s">
        <v>49</v>
      </c>
      <c r="E54" s="36">
        <v>1</v>
      </c>
      <c r="F54" s="48">
        <v>500000</v>
      </c>
      <c r="G54" s="49"/>
      <c r="H54" s="39"/>
      <c r="I54" s="36">
        <v>1</v>
      </c>
      <c r="J54" s="37">
        <f t="shared" ref="J54:J62" si="9">E54*F54*I54</f>
        <v>500000</v>
      </c>
    </row>
    <row r="55" spans="2:10" x14ac:dyDescent="0.2">
      <c r="B55" s="43">
        <v>7.2</v>
      </c>
      <c r="C55" s="46" t="s">
        <v>57</v>
      </c>
      <c r="D55" s="47" t="s">
        <v>17</v>
      </c>
      <c r="E55" s="36">
        <v>1</v>
      </c>
      <c r="F55" s="48">
        <v>120000</v>
      </c>
      <c r="G55" s="49"/>
      <c r="H55" s="39"/>
      <c r="I55" s="36">
        <f>I12</f>
        <v>4</v>
      </c>
      <c r="J55" s="37">
        <f t="shared" si="9"/>
        <v>480000</v>
      </c>
    </row>
    <row r="56" spans="2:10" x14ac:dyDescent="0.2">
      <c r="B56" s="43">
        <v>7.3</v>
      </c>
      <c r="C56" s="46" t="s">
        <v>58</v>
      </c>
      <c r="D56" s="47" t="s">
        <v>43</v>
      </c>
      <c r="E56" s="36">
        <v>1</v>
      </c>
      <c r="F56" s="48">
        <v>100000</v>
      </c>
      <c r="G56" s="49"/>
      <c r="H56" s="39"/>
      <c r="I56" s="36">
        <f>I13</f>
        <v>4</v>
      </c>
      <c r="J56" s="37">
        <f t="shared" si="9"/>
        <v>400000</v>
      </c>
    </row>
    <row r="57" spans="2:10" hidden="1" x14ac:dyDescent="0.2">
      <c r="B57" s="43">
        <v>7.4</v>
      </c>
      <c r="C57" s="46" t="s">
        <v>59</v>
      </c>
      <c r="D57" s="47" t="s">
        <v>43</v>
      </c>
      <c r="E57" s="36"/>
      <c r="F57" s="48"/>
      <c r="G57" s="49"/>
      <c r="H57" s="39"/>
      <c r="I57" s="36">
        <f>I14</f>
        <v>4</v>
      </c>
      <c r="J57" s="37">
        <f t="shared" si="9"/>
        <v>0</v>
      </c>
    </row>
    <row r="58" spans="2:10" x14ac:dyDescent="0.2">
      <c r="B58" s="43">
        <v>7.5</v>
      </c>
      <c r="C58" s="46" t="s">
        <v>60</v>
      </c>
      <c r="D58" s="47" t="s">
        <v>61</v>
      </c>
      <c r="E58" s="36">
        <v>2</v>
      </c>
      <c r="F58" s="48">
        <v>70000</v>
      </c>
      <c r="G58" s="49"/>
      <c r="H58" s="39"/>
      <c r="I58" s="36">
        <f>I15</f>
        <v>4</v>
      </c>
      <c r="J58" s="37">
        <f t="shared" si="9"/>
        <v>560000</v>
      </c>
    </row>
    <row r="59" spans="2:10" x14ac:dyDescent="0.2">
      <c r="B59" s="43">
        <v>7.6</v>
      </c>
      <c r="C59" s="46" t="s">
        <v>62</v>
      </c>
      <c r="D59" s="47" t="s">
        <v>17</v>
      </c>
      <c r="E59" s="36">
        <v>1</v>
      </c>
      <c r="F59" s="48">
        <v>50000</v>
      </c>
      <c r="G59" s="49"/>
      <c r="H59" s="39"/>
      <c r="I59" s="36">
        <v>1</v>
      </c>
      <c r="J59" s="37">
        <f>E59*F59*I59</f>
        <v>50000</v>
      </c>
    </row>
    <row r="60" spans="2:10" ht="25.5" x14ac:dyDescent="0.2">
      <c r="B60" s="43">
        <v>7.7</v>
      </c>
      <c r="C60" s="46" t="s">
        <v>63</v>
      </c>
      <c r="D60" s="47" t="s">
        <v>49</v>
      </c>
      <c r="E60" s="36">
        <v>0</v>
      </c>
      <c r="F60" s="48">
        <v>4500000</v>
      </c>
      <c r="G60" s="49"/>
      <c r="H60" s="39"/>
      <c r="I60" s="36">
        <v>1</v>
      </c>
      <c r="J60" s="37">
        <f t="shared" si="9"/>
        <v>0</v>
      </c>
    </row>
    <row r="61" spans="2:10" x14ac:dyDescent="0.2">
      <c r="B61" s="22">
        <v>8</v>
      </c>
      <c r="C61" s="42" t="s">
        <v>65</v>
      </c>
      <c r="D61" s="50"/>
      <c r="E61" s="51"/>
      <c r="F61" s="26"/>
      <c r="G61" s="27"/>
      <c r="H61" s="25"/>
      <c r="I61" s="25"/>
      <c r="J61" s="28"/>
    </row>
    <row r="62" spans="2:10" x14ac:dyDescent="0.2">
      <c r="B62" s="43">
        <v>8.1</v>
      </c>
      <c r="C62" s="46" t="s">
        <v>66</v>
      </c>
      <c r="D62" s="47" t="s">
        <v>17</v>
      </c>
      <c r="E62" s="36">
        <v>1</v>
      </c>
      <c r="F62" s="48">
        <v>6500000</v>
      </c>
      <c r="G62" s="49"/>
      <c r="H62" s="39"/>
      <c r="I62" s="36">
        <f>J5</f>
        <v>4</v>
      </c>
      <c r="J62" s="37">
        <f t="shared" si="9"/>
        <v>26000000</v>
      </c>
    </row>
    <row r="63" spans="2:10" x14ac:dyDescent="0.2">
      <c r="B63" s="22">
        <v>9</v>
      </c>
      <c r="C63" s="42" t="s">
        <v>67</v>
      </c>
      <c r="D63" s="24"/>
      <c r="E63" s="25"/>
      <c r="F63" s="26"/>
      <c r="G63" s="27"/>
      <c r="H63" s="25"/>
      <c r="I63" s="25"/>
      <c r="J63" s="28"/>
    </row>
    <row r="64" spans="2:10" ht="84.75" customHeight="1" x14ac:dyDescent="0.2">
      <c r="B64" s="52">
        <v>9.1</v>
      </c>
      <c r="C64" s="45" t="s">
        <v>68</v>
      </c>
      <c r="D64" s="53" t="s">
        <v>17</v>
      </c>
      <c r="E64" s="54">
        <v>1</v>
      </c>
      <c r="F64" s="55">
        <v>2556394.1960250051</v>
      </c>
      <c r="G64" s="56"/>
      <c r="H64" s="54">
        <v>1</v>
      </c>
      <c r="I64" s="54">
        <v>1</v>
      </c>
      <c r="J64" s="37">
        <f>E64*F64*H64*I64</f>
        <v>2556394.1960250051</v>
      </c>
    </row>
    <row r="65" spans="2:10" x14ac:dyDescent="0.2">
      <c r="B65" s="52">
        <v>9.1999999999999993</v>
      </c>
      <c r="C65" s="45" t="s">
        <v>69</v>
      </c>
      <c r="D65" s="53" t="s">
        <v>49</v>
      </c>
      <c r="E65" s="54">
        <v>1</v>
      </c>
      <c r="F65" s="55">
        <v>0</v>
      </c>
      <c r="G65" s="56"/>
      <c r="H65" s="54">
        <v>1</v>
      </c>
      <c r="I65" s="54">
        <v>1</v>
      </c>
      <c r="J65" s="37">
        <f>E65*F65*H65*I65</f>
        <v>0</v>
      </c>
    </row>
    <row r="66" spans="2:10" x14ac:dyDescent="0.2">
      <c r="B66" s="52"/>
      <c r="C66" s="45"/>
      <c r="D66" s="53"/>
      <c r="E66" s="54"/>
      <c r="F66" s="55"/>
      <c r="G66" s="56"/>
      <c r="H66" s="54"/>
      <c r="I66" s="54"/>
      <c r="J66" s="37"/>
    </row>
    <row r="67" spans="2:10" x14ac:dyDescent="0.2">
      <c r="B67" s="22">
        <v>10</v>
      </c>
      <c r="C67" s="42" t="s">
        <v>70</v>
      </c>
      <c r="D67" s="24"/>
      <c r="E67" s="25"/>
      <c r="F67" s="26"/>
      <c r="G67" s="27"/>
      <c r="H67" s="25"/>
      <c r="I67" s="25"/>
      <c r="J67" s="28"/>
    </row>
    <row r="68" spans="2:10" x14ac:dyDescent="0.2">
      <c r="B68" s="52">
        <v>10.1</v>
      </c>
      <c r="C68" s="45" t="s">
        <v>71</v>
      </c>
      <c r="D68" s="56" t="s">
        <v>17</v>
      </c>
      <c r="E68" s="32">
        <v>0.6</v>
      </c>
      <c r="F68" s="33">
        <v>430000</v>
      </c>
      <c r="G68" s="56"/>
      <c r="H68" s="54"/>
      <c r="I68" s="54"/>
      <c r="J68" s="37">
        <f>E68*F68</f>
        <v>258000</v>
      </c>
    </row>
    <row r="69" spans="2:10" x14ac:dyDescent="0.2">
      <c r="B69" s="52">
        <v>10.199999999999999</v>
      </c>
      <c r="C69" s="45" t="s">
        <v>72</v>
      </c>
      <c r="D69" s="56" t="s">
        <v>17</v>
      </c>
      <c r="E69" s="32">
        <v>60</v>
      </c>
      <c r="F69" s="33">
        <v>2600</v>
      </c>
      <c r="G69" s="56"/>
      <c r="H69" s="54"/>
      <c r="I69" s="54"/>
      <c r="J69" s="37">
        <f>E69*F69</f>
        <v>156000</v>
      </c>
    </row>
    <row r="70" spans="2:10" x14ac:dyDescent="0.2">
      <c r="B70" s="52">
        <v>10.3</v>
      </c>
      <c r="C70" s="45" t="s">
        <v>73</v>
      </c>
      <c r="D70" s="56" t="s">
        <v>74</v>
      </c>
      <c r="E70" s="32">
        <v>1</v>
      </c>
      <c r="F70" s="33">
        <v>1000000</v>
      </c>
      <c r="G70" s="56"/>
      <c r="H70" s="54"/>
      <c r="I70" s="54"/>
      <c r="J70" s="37">
        <f>E70*F70</f>
        <v>1000000</v>
      </c>
    </row>
    <row r="71" spans="2:10" x14ac:dyDescent="0.2">
      <c r="B71" s="22">
        <v>11</v>
      </c>
      <c r="C71" s="42" t="s">
        <v>75</v>
      </c>
      <c r="D71" s="24"/>
      <c r="E71" s="25"/>
      <c r="F71" s="26"/>
      <c r="G71" s="27"/>
      <c r="H71" s="25"/>
      <c r="I71" s="25"/>
      <c r="J71" s="28"/>
    </row>
    <row r="72" spans="2:10" x14ac:dyDescent="0.2">
      <c r="B72" s="57">
        <v>11.1</v>
      </c>
      <c r="C72" s="58" t="s">
        <v>76</v>
      </c>
      <c r="D72" s="59" t="s">
        <v>17</v>
      </c>
      <c r="E72" s="35">
        <v>1</v>
      </c>
      <c r="F72" s="60">
        <v>750000</v>
      </c>
      <c r="G72" s="61"/>
      <c r="H72" s="35"/>
      <c r="I72" s="35"/>
      <c r="J72" s="62">
        <f>E72*F72</f>
        <v>750000</v>
      </c>
    </row>
    <row r="73" spans="2:10" x14ac:dyDescent="0.2">
      <c r="B73" s="22">
        <v>12</v>
      </c>
      <c r="C73" s="42" t="s">
        <v>77</v>
      </c>
      <c r="D73" s="24"/>
      <c r="E73" s="25"/>
      <c r="F73" s="26"/>
      <c r="G73" s="27"/>
      <c r="H73" s="25"/>
      <c r="I73" s="25"/>
      <c r="J73" s="28"/>
    </row>
    <row r="74" spans="2:10" x14ac:dyDescent="0.2">
      <c r="B74" s="52">
        <v>12.1</v>
      </c>
      <c r="C74" s="45" t="s">
        <v>78</v>
      </c>
      <c r="D74" s="56" t="s">
        <v>74</v>
      </c>
      <c r="E74" s="54">
        <v>1</v>
      </c>
      <c r="F74" s="63">
        <f>437000000*0.05</f>
        <v>21850000</v>
      </c>
      <c r="G74" s="56"/>
      <c r="H74" s="54"/>
      <c r="I74" s="54"/>
      <c r="J74" s="37">
        <f t="shared" ref="J74" si="10">E74*F74</f>
        <v>21850000</v>
      </c>
    </row>
    <row r="75" spans="2:10" x14ac:dyDescent="0.2">
      <c r="B75" s="22">
        <v>13</v>
      </c>
      <c r="C75" s="42" t="s">
        <v>79</v>
      </c>
      <c r="D75" s="24"/>
      <c r="E75" s="25"/>
      <c r="F75" s="26"/>
      <c r="G75" s="27"/>
      <c r="H75" s="25"/>
      <c r="I75" s="25"/>
      <c r="J75" s="28"/>
    </row>
    <row r="76" spans="2:10" x14ac:dyDescent="0.2">
      <c r="B76" s="43">
        <v>13.1</v>
      </c>
      <c r="C76" s="64" t="s">
        <v>80</v>
      </c>
      <c r="D76" s="467">
        <v>4.0000000000000001E-3</v>
      </c>
      <c r="E76" s="66">
        <v>1</v>
      </c>
      <c r="F76" s="559">
        <v>761000000</v>
      </c>
      <c r="G76" s="560"/>
      <c r="H76" s="561"/>
      <c r="I76" s="561"/>
      <c r="J76" s="67">
        <f>ROUND(D76*F76,0)*E76</f>
        <v>3044000</v>
      </c>
    </row>
    <row r="77" spans="2:10" x14ac:dyDescent="0.2">
      <c r="B77" s="43">
        <v>13.2</v>
      </c>
      <c r="C77" s="64" t="s">
        <v>81</v>
      </c>
      <c r="D77" s="467">
        <v>0.02</v>
      </c>
      <c r="E77" s="66">
        <v>1</v>
      </c>
      <c r="F77" s="559">
        <f>$F$76</f>
        <v>761000000</v>
      </c>
      <c r="G77" s="560"/>
      <c r="H77" s="561"/>
      <c r="I77" s="561"/>
      <c r="J77" s="67">
        <f t="shared" ref="J77:J83" si="11">ROUND(D77*F77,0)*E77</f>
        <v>15220000</v>
      </c>
    </row>
    <row r="78" spans="2:10" ht="14.45" customHeight="1" x14ac:dyDescent="0.2">
      <c r="B78" s="43">
        <v>13.3</v>
      </c>
      <c r="C78" s="64" t="s">
        <v>82</v>
      </c>
      <c r="D78" s="65">
        <v>0</v>
      </c>
      <c r="E78" s="66">
        <v>0</v>
      </c>
      <c r="F78" s="559">
        <f t="shared" ref="F78:F83" si="12">$F$76</f>
        <v>761000000</v>
      </c>
      <c r="G78" s="560"/>
      <c r="H78" s="561" t="s">
        <v>83</v>
      </c>
      <c r="I78" s="561"/>
      <c r="J78" s="67">
        <f t="shared" si="11"/>
        <v>0</v>
      </c>
    </row>
    <row r="79" spans="2:10" x14ac:dyDescent="0.2">
      <c r="B79" s="43">
        <v>13.4</v>
      </c>
      <c r="C79" s="64" t="s">
        <v>84</v>
      </c>
      <c r="D79" s="467">
        <v>5.0000000000000001E-3</v>
      </c>
      <c r="E79" s="66">
        <v>1</v>
      </c>
      <c r="F79" s="559">
        <f t="shared" si="12"/>
        <v>761000000</v>
      </c>
      <c r="G79" s="560"/>
      <c r="H79" s="561"/>
      <c r="I79" s="561"/>
      <c r="J79" s="67">
        <f t="shared" si="11"/>
        <v>3805000</v>
      </c>
    </row>
    <row r="80" spans="2:10" x14ac:dyDescent="0.2">
      <c r="B80" s="43">
        <v>13.5</v>
      </c>
      <c r="C80" s="64" t="s">
        <v>85</v>
      </c>
      <c r="D80" s="467">
        <v>0.01</v>
      </c>
      <c r="E80" s="66">
        <v>1</v>
      </c>
      <c r="F80" s="559">
        <f t="shared" si="12"/>
        <v>761000000</v>
      </c>
      <c r="G80" s="560"/>
      <c r="H80" s="561"/>
      <c r="I80" s="561"/>
      <c r="J80" s="67">
        <f t="shared" si="11"/>
        <v>7610000</v>
      </c>
    </row>
    <row r="81" spans="2:11" x14ac:dyDescent="0.2">
      <c r="B81" s="43">
        <v>13.6</v>
      </c>
      <c r="C81" s="64" t="s">
        <v>86</v>
      </c>
      <c r="D81" s="467">
        <v>0.05</v>
      </c>
      <c r="E81" s="66">
        <v>1</v>
      </c>
      <c r="F81" s="559">
        <f t="shared" si="12"/>
        <v>761000000</v>
      </c>
      <c r="G81" s="560"/>
      <c r="H81" s="561"/>
      <c r="I81" s="561"/>
      <c r="J81" s="67">
        <f t="shared" si="11"/>
        <v>38050000</v>
      </c>
    </row>
    <row r="82" spans="2:11" ht="14.45" customHeight="1" x14ac:dyDescent="0.2">
      <c r="B82" s="43">
        <v>13.7</v>
      </c>
      <c r="C82" s="64" t="s">
        <v>87</v>
      </c>
      <c r="D82" s="65">
        <v>0.01</v>
      </c>
      <c r="E82" s="66">
        <v>0</v>
      </c>
      <c r="F82" s="559">
        <f t="shared" si="12"/>
        <v>761000000</v>
      </c>
      <c r="G82" s="560"/>
      <c r="H82" s="561" t="s">
        <v>88</v>
      </c>
      <c r="I82" s="561"/>
      <c r="J82" s="67">
        <f t="shared" si="11"/>
        <v>0</v>
      </c>
    </row>
    <row r="83" spans="2:11" x14ac:dyDescent="0.2">
      <c r="B83" s="43">
        <v>13.8</v>
      </c>
      <c r="C83" s="64" t="s">
        <v>89</v>
      </c>
      <c r="D83" s="65">
        <v>0</v>
      </c>
      <c r="E83" s="66">
        <v>0</v>
      </c>
      <c r="F83" s="559">
        <f t="shared" si="12"/>
        <v>761000000</v>
      </c>
      <c r="G83" s="560"/>
      <c r="H83" s="561"/>
      <c r="I83" s="561"/>
      <c r="J83" s="67">
        <f t="shared" si="11"/>
        <v>0</v>
      </c>
    </row>
    <row r="84" spans="2:11" x14ac:dyDescent="0.2">
      <c r="B84" s="43">
        <v>13.9</v>
      </c>
      <c r="C84" s="64" t="s">
        <v>90</v>
      </c>
      <c r="D84" s="65"/>
      <c r="E84" s="68"/>
      <c r="F84" s="559"/>
      <c r="G84" s="560"/>
      <c r="H84" s="68"/>
      <c r="I84" s="69"/>
      <c r="J84" s="67">
        <f>ROUND(I84*$E$95,0)</f>
        <v>0</v>
      </c>
    </row>
    <row r="85" spans="2:11" x14ac:dyDescent="0.2">
      <c r="B85" s="22">
        <v>14</v>
      </c>
      <c r="C85" s="42" t="s">
        <v>91</v>
      </c>
      <c r="D85" s="583"/>
      <c r="E85" s="584"/>
      <c r="F85" s="584"/>
      <c r="G85" s="585"/>
      <c r="H85" s="70" t="s">
        <v>92</v>
      </c>
      <c r="I85" s="71">
        <f>J85/E92</f>
        <v>0.31753929624250488</v>
      </c>
      <c r="J85" s="72">
        <f>SUM(J12:J84)</f>
        <v>289703055.79602504</v>
      </c>
    </row>
    <row r="86" spans="2:11" x14ac:dyDescent="0.2">
      <c r="B86" s="73">
        <v>14.1</v>
      </c>
      <c r="C86" s="586" t="s">
        <v>93</v>
      </c>
      <c r="D86" s="586"/>
      <c r="E86" s="586"/>
      <c r="F86" s="586"/>
      <c r="G86" s="586"/>
      <c r="H86" s="70" t="s">
        <v>94</v>
      </c>
      <c r="I86" s="74">
        <v>0.05</v>
      </c>
      <c r="J86" s="72">
        <f>ROUND($E$92*I86,0)</f>
        <v>45616883</v>
      </c>
    </row>
    <row r="87" spans="2:11" ht="21" x14ac:dyDescent="0.2">
      <c r="B87" s="73"/>
      <c r="C87" s="581" t="s">
        <v>95</v>
      </c>
      <c r="D87" s="581"/>
      <c r="E87" s="581"/>
      <c r="F87" s="581"/>
      <c r="G87" s="581"/>
      <c r="H87" s="582"/>
      <c r="I87" s="75">
        <f>SUM(I85:I86)</f>
        <v>0.36753929624250486</v>
      </c>
      <c r="J87" s="76">
        <f>ROUND(SUM(J85:J86),0)</f>
        <v>335319939</v>
      </c>
    </row>
    <row r="88" spans="2:11" s="80" customFormat="1" ht="21" x14ac:dyDescent="0.25">
      <c r="B88" s="77"/>
      <c r="C88" s="588" t="s">
        <v>0</v>
      </c>
      <c r="D88" s="589"/>
      <c r="E88" s="589"/>
      <c r="F88" s="589"/>
      <c r="G88" s="589"/>
      <c r="H88" s="589"/>
      <c r="I88" s="78"/>
      <c r="J88" s="79">
        <f>+'PRESUPUESTO CALLE 58 SUR'!F86</f>
        <v>912337651.50999999</v>
      </c>
      <c r="K88" s="1"/>
    </row>
    <row r="89" spans="2:11" s="80" customFormat="1" ht="21.75" thickBot="1" x14ac:dyDescent="0.3">
      <c r="B89" s="81"/>
      <c r="C89" s="590" t="s">
        <v>96</v>
      </c>
      <c r="D89" s="591"/>
      <c r="E89" s="591"/>
      <c r="F89" s="591"/>
      <c r="G89" s="591"/>
      <c r="H89" s="591"/>
      <c r="I89" s="82"/>
      <c r="J89" s="83">
        <f>SUM(J87:J88)</f>
        <v>1247657590.51</v>
      </c>
      <c r="K89" s="1"/>
    </row>
    <row r="90" spans="2:11" ht="21" x14ac:dyDescent="0.25">
      <c r="B90" s="84"/>
      <c r="C90" s="85"/>
      <c r="D90" s="86"/>
      <c r="E90" s="86"/>
      <c r="F90" s="86"/>
      <c r="G90" s="86"/>
      <c r="H90" s="86"/>
      <c r="I90" s="87"/>
      <c r="J90" s="88"/>
      <c r="K90"/>
    </row>
    <row r="91" spans="2:11" s="89" customFormat="1" ht="21" x14ac:dyDescent="0.3">
      <c r="C91" s="90"/>
      <c r="D91" s="90"/>
      <c r="E91" s="91"/>
      <c r="F91" s="92"/>
      <c r="H91" s="91"/>
      <c r="I91" s="91"/>
      <c r="J91" s="92"/>
      <c r="K91" s="1"/>
    </row>
    <row r="92" spans="2:11" s="89" customFormat="1" ht="20.25" x14ac:dyDescent="0.3">
      <c r="C92" s="93" t="s">
        <v>97</v>
      </c>
      <c r="D92" s="94"/>
      <c r="E92" s="587">
        <f>'PRESUPUESTO CALLE 58 SUR'!F86</f>
        <v>912337651.50999999</v>
      </c>
      <c r="F92" s="587"/>
      <c r="H92" s="91"/>
      <c r="I92" s="91"/>
      <c r="J92" s="92"/>
      <c r="K92" s="1"/>
    </row>
    <row r="93" spans="2:11" ht="20.25" x14ac:dyDescent="0.3">
      <c r="C93" s="93" t="s">
        <v>98</v>
      </c>
      <c r="D93" s="95">
        <f>+J85/E92</f>
        <v>0.31753929624250488</v>
      </c>
      <c r="E93" s="587">
        <f>E92*D93</f>
        <v>289703055.79602504</v>
      </c>
      <c r="F93" s="587"/>
      <c r="J93" s="92"/>
    </row>
    <row r="94" spans="2:11" ht="15" x14ac:dyDescent="0.2">
      <c r="C94" s="93" t="s">
        <v>99</v>
      </c>
      <c r="D94" s="96">
        <v>0.05</v>
      </c>
      <c r="E94" s="587">
        <f>E92*D94</f>
        <v>45616882.575500004</v>
      </c>
      <c r="F94" s="587"/>
    </row>
    <row r="95" spans="2:11" ht="15" x14ac:dyDescent="0.2">
      <c r="C95" s="93" t="s">
        <v>100</v>
      </c>
      <c r="D95" s="97"/>
      <c r="E95" s="587">
        <f>+J90</f>
        <v>0</v>
      </c>
      <c r="F95" s="587"/>
    </row>
    <row r="96" spans="2:11" ht="21" x14ac:dyDescent="0.2">
      <c r="C96" s="90"/>
      <c r="D96" s="90"/>
    </row>
    <row r="97" spans="2:10" ht="21" x14ac:dyDescent="0.2">
      <c r="C97" s="90"/>
      <c r="D97" s="90"/>
      <c r="E97" s="587">
        <f>SUM(E92:F94)</f>
        <v>1247657589.881525</v>
      </c>
      <c r="F97" s="587"/>
    </row>
    <row r="98" spans="2:10" ht="21" x14ac:dyDescent="0.2">
      <c r="C98" s="90"/>
      <c r="D98" s="90"/>
    </row>
    <row r="99" spans="2:10" ht="21" x14ac:dyDescent="0.2">
      <c r="C99" s="90"/>
      <c r="D99" s="90"/>
    </row>
    <row r="100" spans="2:10" ht="21" x14ac:dyDescent="0.2">
      <c r="C100" s="90"/>
      <c r="D100" s="90"/>
    </row>
    <row r="101" spans="2:10" ht="21" x14ac:dyDescent="0.2">
      <c r="C101" s="90"/>
      <c r="D101" s="90"/>
    </row>
    <row r="102" spans="2:10" ht="21" x14ac:dyDescent="0.2">
      <c r="C102" s="90"/>
      <c r="D102" s="90"/>
    </row>
    <row r="103" spans="2:10" ht="21" x14ac:dyDescent="0.2">
      <c r="C103" s="90"/>
      <c r="D103" s="90"/>
    </row>
    <row r="104" spans="2:10" ht="21" x14ac:dyDescent="0.2">
      <c r="C104" s="90"/>
      <c r="D104" s="90"/>
    </row>
    <row r="105" spans="2:10" ht="21" x14ac:dyDescent="0.2">
      <c r="C105" s="90"/>
      <c r="D105" s="90"/>
    </row>
    <row r="106" spans="2:10" s="2" customFormat="1" ht="21" x14ac:dyDescent="0.2">
      <c r="B106" s="1"/>
      <c r="C106" s="90"/>
      <c r="D106" s="90"/>
      <c r="F106" s="3"/>
      <c r="G106" s="1"/>
      <c r="J106" s="3"/>
    </row>
    <row r="107" spans="2:10" s="2" customFormat="1" ht="21" x14ac:dyDescent="0.2">
      <c r="B107" s="1"/>
      <c r="C107" s="90"/>
      <c r="D107" s="90"/>
      <c r="F107" s="3"/>
      <c r="G107" s="1"/>
      <c r="J107" s="3"/>
    </row>
    <row r="108" spans="2:10" s="2" customFormat="1" ht="21" x14ac:dyDescent="0.2">
      <c r="B108" s="1"/>
      <c r="C108" s="90"/>
      <c r="D108" s="90"/>
      <c r="F108" s="3"/>
      <c r="G108" s="1"/>
      <c r="J108" s="3"/>
    </row>
    <row r="109" spans="2:10" s="2" customFormat="1" ht="21" x14ac:dyDescent="0.2">
      <c r="B109" s="1"/>
      <c r="C109" s="90"/>
      <c r="D109" s="90"/>
      <c r="F109" s="3"/>
      <c r="G109" s="1"/>
      <c r="J109" s="3"/>
    </row>
    <row r="110" spans="2:10" s="2" customFormat="1" ht="21" x14ac:dyDescent="0.2">
      <c r="B110" s="1"/>
      <c r="C110" s="90"/>
      <c r="D110" s="90"/>
      <c r="F110" s="3"/>
      <c r="G110" s="1"/>
      <c r="J110" s="3"/>
    </row>
    <row r="111" spans="2:10" s="2" customFormat="1" ht="21" x14ac:dyDescent="0.2">
      <c r="B111" s="1"/>
      <c r="C111" s="90"/>
      <c r="D111" s="90"/>
      <c r="F111" s="3"/>
      <c r="G111" s="1"/>
      <c r="J111" s="3"/>
    </row>
    <row r="112" spans="2:10" s="2" customFormat="1" ht="12.75" customHeight="1" x14ac:dyDescent="0.2">
      <c r="B112" s="1"/>
      <c r="C112" s="90"/>
      <c r="D112" s="90"/>
      <c r="F112" s="3"/>
      <c r="G112" s="1"/>
      <c r="J112" s="3"/>
    </row>
    <row r="113" spans="2:10" s="2" customFormat="1" ht="21" x14ac:dyDescent="0.2">
      <c r="B113" s="1"/>
      <c r="C113" s="90"/>
      <c r="D113" s="90"/>
      <c r="F113" s="3"/>
      <c r="G113" s="1"/>
      <c r="J113" s="3"/>
    </row>
    <row r="114" spans="2:10" s="2" customFormat="1" ht="21" x14ac:dyDescent="0.2">
      <c r="B114" s="1"/>
      <c r="C114" s="90"/>
      <c r="D114" s="90"/>
      <c r="F114" s="3"/>
      <c r="G114" s="1"/>
      <c r="J114" s="3"/>
    </row>
  </sheetData>
  <mergeCells count="39">
    <mergeCell ref="E97:F97"/>
    <mergeCell ref="C88:H88"/>
    <mergeCell ref="C89:H89"/>
    <mergeCell ref="E92:F92"/>
    <mergeCell ref="E93:F93"/>
    <mergeCell ref="E94:F94"/>
    <mergeCell ref="E95:F95"/>
    <mergeCell ref="C87:H87"/>
    <mergeCell ref="F80:G80"/>
    <mergeCell ref="H80:I80"/>
    <mergeCell ref="F81:G81"/>
    <mergeCell ref="H81:I81"/>
    <mergeCell ref="F82:G82"/>
    <mergeCell ref="H82:I82"/>
    <mergeCell ref="F83:G83"/>
    <mergeCell ref="H83:I83"/>
    <mergeCell ref="F84:G84"/>
    <mergeCell ref="D85:G85"/>
    <mergeCell ref="C86:G86"/>
    <mergeCell ref="F77:G77"/>
    <mergeCell ref="H77:I77"/>
    <mergeCell ref="F78:G78"/>
    <mergeCell ref="H78:I78"/>
    <mergeCell ref="F79:G79"/>
    <mergeCell ref="H79:I79"/>
    <mergeCell ref="F76:G76"/>
    <mergeCell ref="H76:I76"/>
    <mergeCell ref="B2:J2"/>
    <mergeCell ref="D3:F3"/>
    <mergeCell ref="H3:I3"/>
    <mergeCell ref="D4:F4"/>
    <mergeCell ref="H4:I4"/>
    <mergeCell ref="D5:F5"/>
    <mergeCell ref="H5:I5"/>
    <mergeCell ref="D6:F6"/>
    <mergeCell ref="H6:I6"/>
    <mergeCell ref="D7:J7"/>
    <mergeCell ref="B8:J8"/>
    <mergeCell ref="B9:J9"/>
  </mergeCells>
  <dataValidations count="1">
    <dataValidation allowBlank="1" showErrorMessage="1" sqref="C76:C82 G84:J84 I76:I80 J76:J82 H76:H83 I83:J83 D76:F84"/>
  </dataValidations>
  <printOptions horizontalCentered="1"/>
  <pageMargins left="0.62992125984251968" right="0.59055118110236227" top="0.78740157480314965" bottom="0.86614173228346458" header="0.31496062992125984" footer="0.31496062992125984"/>
  <pageSetup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F90"/>
  <sheetViews>
    <sheetView tabSelected="1" view="pageBreakPreview" topLeftCell="A82" zoomScaleNormal="100" zoomScaleSheetLayoutView="100" workbookViewId="0">
      <selection activeCell="E100" sqref="E100"/>
    </sheetView>
  </sheetViews>
  <sheetFormatPr baseColWidth="10" defaultRowHeight="15" x14ac:dyDescent="0.25"/>
  <cols>
    <col min="1" max="1" width="11.5703125" style="98" customWidth="1"/>
    <col min="2" max="2" width="65" customWidth="1"/>
    <col min="3" max="3" width="8.7109375" style="98" customWidth="1"/>
    <col min="4" max="4" width="13" style="98" customWidth="1"/>
    <col min="5" max="5" width="17.42578125" style="99" bestFit="1" customWidth="1"/>
    <col min="6" max="6" width="30.28515625" style="99" customWidth="1"/>
    <col min="7" max="7" width="23.7109375" customWidth="1"/>
  </cols>
  <sheetData>
    <row r="1" spans="1:6" ht="26.45" customHeight="1" x14ac:dyDescent="0.25">
      <c r="A1" s="592" t="s">
        <v>101</v>
      </c>
      <c r="B1" s="592"/>
      <c r="C1" s="592"/>
      <c r="D1" s="592"/>
      <c r="E1" s="592"/>
      <c r="F1" s="592"/>
    </row>
    <row r="2" spans="1:6" ht="21" x14ac:dyDescent="0.25">
      <c r="A2" s="593" t="s">
        <v>102</v>
      </c>
      <c r="B2" s="593"/>
      <c r="C2" s="593"/>
      <c r="D2" s="593"/>
      <c r="E2" s="593"/>
      <c r="F2" s="593"/>
    </row>
    <row r="3" spans="1:6" ht="15.75" thickBot="1" x14ac:dyDescent="0.3"/>
    <row r="4" spans="1:6" s="366" customFormat="1" ht="17.45" customHeight="1" x14ac:dyDescent="0.25">
      <c r="A4" s="100" t="s">
        <v>103</v>
      </c>
      <c r="B4" s="468" t="s">
        <v>104</v>
      </c>
      <c r="C4" s="101" t="s">
        <v>105</v>
      </c>
      <c r="D4" s="101" t="s">
        <v>106</v>
      </c>
      <c r="E4" s="490" t="s">
        <v>107</v>
      </c>
      <c r="F4" s="491" t="s">
        <v>4</v>
      </c>
    </row>
    <row r="5" spans="1:6" ht="18.75" x14ac:dyDescent="0.3">
      <c r="A5" s="102">
        <v>1</v>
      </c>
      <c r="B5" s="103" t="s">
        <v>146</v>
      </c>
      <c r="C5" s="104"/>
      <c r="D5" s="104"/>
      <c r="E5" s="105"/>
      <c r="F5" s="492"/>
    </row>
    <row r="6" spans="1:6" ht="90" x14ac:dyDescent="0.25">
      <c r="A6" s="106">
        <v>1.1000000000000001</v>
      </c>
      <c r="B6" s="107" t="s">
        <v>144</v>
      </c>
      <c r="C6" s="108" t="s">
        <v>115</v>
      </c>
      <c r="D6" s="109">
        <v>656</v>
      </c>
      <c r="E6" s="546">
        <f>APU!F48</f>
        <v>9116</v>
      </c>
      <c r="F6" s="493">
        <f t="shared" ref="F6:F18" si="0">ROUND(D6*E6,2)</f>
        <v>5980096</v>
      </c>
    </row>
    <row r="7" spans="1:6" ht="60" x14ac:dyDescent="0.25">
      <c r="A7" s="106">
        <v>1.2</v>
      </c>
      <c r="B7" s="107" t="s">
        <v>266</v>
      </c>
      <c r="C7" s="108" t="s">
        <v>17</v>
      </c>
      <c r="D7" s="109">
        <v>3</v>
      </c>
      <c r="E7" s="546">
        <f>APU!F96</f>
        <v>315915</v>
      </c>
      <c r="F7" s="493">
        <f t="shared" si="0"/>
        <v>947745</v>
      </c>
    </row>
    <row r="8" spans="1:6" ht="90" x14ac:dyDescent="0.25">
      <c r="A8" s="106">
        <v>1.3</v>
      </c>
      <c r="B8" s="244" t="s">
        <v>270</v>
      </c>
      <c r="C8" s="245" t="s">
        <v>115</v>
      </c>
      <c r="D8" s="246">
        <v>14.4</v>
      </c>
      <c r="E8" s="547">
        <f>APU!F144</f>
        <v>44858</v>
      </c>
      <c r="F8" s="493">
        <f t="shared" si="0"/>
        <v>645955.19999999995</v>
      </c>
    </row>
    <row r="9" spans="1:6" ht="90" x14ac:dyDescent="0.25">
      <c r="A9" s="106">
        <v>1.4</v>
      </c>
      <c r="B9" s="107" t="s">
        <v>920</v>
      </c>
      <c r="C9" s="108" t="s">
        <v>117</v>
      </c>
      <c r="D9" s="109">
        <v>77.52</v>
      </c>
      <c r="E9" s="546">
        <f>APU!F192</f>
        <v>57405</v>
      </c>
      <c r="F9" s="493">
        <f>ROUND(D9*E9,2)</f>
        <v>4450035.5999999996</v>
      </c>
    </row>
    <row r="10" spans="1:6" ht="90" x14ac:dyDescent="0.25">
      <c r="A10" s="106">
        <v>1.5</v>
      </c>
      <c r="B10" s="107" t="s">
        <v>882</v>
      </c>
      <c r="C10" s="108" t="s">
        <v>117</v>
      </c>
      <c r="D10" s="109">
        <v>53.7</v>
      </c>
      <c r="E10" s="546">
        <f>APU!F240</f>
        <v>299474</v>
      </c>
      <c r="F10" s="493">
        <f t="shared" si="0"/>
        <v>16081753.800000001</v>
      </c>
    </row>
    <row r="11" spans="1:6" ht="60" x14ac:dyDescent="0.25">
      <c r="A11" s="106">
        <v>1.6</v>
      </c>
      <c r="B11" s="107" t="s">
        <v>267</v>
      </c>
      <c r="C11" s="108" t="s">
        <v>115</v>
      </c>
      <c r="D11" s="109">
        <v>2.88</v>
      </c>
      <c r="E11" s="546">
        <f>APU!F288</f>
        <v>50611</v>
      </c>
      <c r="F11" s="493">
        <f t="shared" si="0"/>
        <v>145759.67999999999</v>
      </c>
    </row>
    <row r="12" spans="1:6" ht="90" x14ac:dyDescent="0.25">
      <c r="A12" s="106">
        <v>1.7</v>
      </c>
      <c r="B12" s="107" t="s">
        <v>268</v>
      </c>
      <c r="C12" s="108" t="s">
        <v>117</v>
      </c>
      <c r="D12" s="109">
        <v>23.04</v>
      </c>
      <c r="E12" s="546">
        <f>APU!F336</f>
        <v>684649</v>
      </c>
      <c r="F12" s="493">
        <f t="shared" si="0"/>
        <v>15774312.960000001</v>
      </c>
    </row>
    <row r="13" spans="1:6" ht="120" x14ac:dyDescent="0.25">
      <c r="A13" s="106">
        <v>1.8</v>
      </c>
      <c r="B13" s="244" t="s">
        <v>269</v>
      </c>
      <c r="C13" s="245" t="s">
        <v>17</v>
      </c>
      <c r="D13" s="246">
        <v>2</v>
      </c>
      <c r="E13" s="547">
        <f>APU!F384</f>
        <v>307759</v>
      </c>
      <c r="F13" s="493">
        <f t="shared" si="0"/>
        <v>615518</v>
      </c>
    </row>
    <row r="14" spans="1:6" ht="105" x14ac:dyDescent="0.25">
      <c r="A14" s="106">
        <v>1.9</v>
      </c>
      <c r="B14" s="244" t="s">
        <v>271</v>
      </c>
      <c r="C14" s="245" t="s">
        <v>111</v>
      </c>
      <c r="D14" s="246">
        <v>6.5</v>
      </c>
      <c r="E14" s="455">
        <f>APU!F432</f>
        <v>777739</v>
      </c>
      <c r="F14" s="493">
        <f t="shared" si="0"/>
        <v>5055303.5</v>
      </c>
    </row>
    <row r="15" spans="1:6" ht="105" x14ac:dyDescent="0.25">
      <c r="A15" s="247">
        <v>1.1000000000000001</v>
      </c>
      <c r="B15" s="244" t="s">
        <v>272</v>
      </c>
      <c r="C15" s="245" t="s">
        <v>111</v>
      </c>
      <c r="D15" s="246">
        <v>12</v>
      </c>
      <c r="E15" s="455">
        <f>APU!F480</f>
        <v>165381</v>
      </c>
      <c r="F15" s="493">
        <f t="shared" si="0"/>
        <v>1984572</v>
      </c>
    </row>
    <row r="16" spans="1:6" ht="60" x14ac:dyDescent="0.25">
      <c r="A16" s="106">
        <v>1.1100000000000001</v>
      </c>
      <c r="B16" s="244" t="s">
        <v>273</v>
      </c>
      <c r="C16" s="108" t="s">
        <v>117</v>
      </c>
      <c r="D16" s="109">
        <v>21.96</v>
      </c>
      <c r="E16" s="546">
        <f>APU!F528</f>
        <v>241448</v>
      </c>
      <c r="F16" s="493">
        <f t="shared" si="0"/>
        <v>5302198.08</v>
      </c>
    </row>
    <row r="17" spans="1:6" ht="60" x14ac:dyDescent="0.25">
      <c r="A17" s="247">
        <v>1.1200000000000001</v>
      </c>
      <c r="B17" s="107" t="s">
        <v>274</v>
      </c>
      <c r="C17" s="108" t="s">
        <v>17</v>
      </c>
      <c r="D17" s="109">
        <v>3</v>
      </c>
      <c r="E17" s="546">
        <f>APU!F576</f>
        <v>147396</v>
      </c>
      <c r="F17" s="493">
        <f t="shared" si="0"/>
        <v>442188</v>
      </c>
    </row>
    <row r="18" spans="1:6" ht="135" x14ac:dyDescent="0.25">
      <c r="A18" s="106">
        <v>1.1299999999999999</v>
      </c>
      <c r="B18" s="475" t="s">
        <v>935</v>
      </c>
      <c r="C18" s="476" t="s">
        <v>17</v>
      </c>
      <c r="D18" s="477">
        <v>1</v>
      </c>
      <c r="E18" s="548">
        <f>APU!F624</f>
        <v>2557821</v>
      </c>
      <c r="F18" s="493">
        <f t="shared" si="0"/>
        <v>2557821</v>
      </c>
    </row>
    <row r="19" spans="1:6" s="481" customFormat="1" ht="18.75" x14ac:dyDescent="0.3">
      <c r="A19" s="478">
        <v>2</v>
      </c>
      <c r="B19" s="482" t="s">
        <v>108</v>
      </c>
      <c r="C19" s="479"/>
      <c r="D19" s="479"/>
      <c r="E19" s="480"/>
      <c r="F19" s="494"/>
    </row>
    <row r="20" spans="1:6" ht="60" x14ac:dyDescent="0.25">
      <c r="A20" s="106">
        <v>2.1</v>
      </c>
      <c r="B20" s="107" t="s">
        <v>109</v>
      </c>
      <c r="C20" s="108" t="s">
        <v>110</v>
      </c>
      <c r="D20" s="109">
        <v>5</v>
      </c>
      <c r="E20" s="450">
        <f>APU!F672</f>
        <v>756415</v>
      </c>
      <c r="F20" s="493">
        <f>ROUND(D20*E20,2)</f>
        <v>3782075</v>
      </c>
    </row>
    <row r="21" spans="1:6" ht="90" x14ac:dyDescent="0.25">
      <c r="A21" s="106">
        <v>2.2000000000000002</v>
      </c>
      <c r="B21" s="107" t="s">
        <v>144</v>
      </c>
      <c r="C21" s="108" t="s">
        <v>115</v>
      </c>
      <c r="D21" s="109">
        <v>485.96</v>
      </c>
      <c r="E21" s="546">
        <f>APU!F720</f>
        <v>9116</v>
      </c>
      <c r="F21" s="493">
        <f>ROUND(D21*E21,2)</f>
        <v>4430011.3600000003</v>
      </c>
    </row>
    <row r="22" spans="1:6" ht="120" x14ac:dyDescent="0.25">
      <c r="A22" s="106">
        <v>2.2999999999999998</v>
      </c>
      <c r="B22" s="107" t="s">
        <v>145</v>
      </c>
      <c r="C22" s="108" t="s">
        <v>111</v>
      </c>
      <c r="D22" s="109">
        <v>15</v>
      </c>
      <c r="E22" s="546">
        <f>APU!F768</f>
        <v>28864</v>
      </c>
      <c r="F22" s="493">
        <f t="shared" ref="F22:F43" si="1">ROUND(D22*E22,2)</f>
        <v>432960</v>
      </c>
    </row>
    <row r="23" spans="1:6" ht="18.75" x14ac:dyDescent="0.3">
      <c r="A23" s="102">
        <v>3</v>
      </c>
      <c r="B23" s="103" t="s">
        <v>112</v>
      </c>
      <c r="C23" s="104"/>
      <c r="D23" s="104"/>
      <c r="E23" s="105"/>
      <c r="F23" s="492"/>
    </row>
    <row r="24" spans="1:6" ht="105" x14ac:dyDescent="0.25">
      <c r="A24" s="106">
        <v>3.1</v>
      </c>
      <c r="B24" s="110" t="s">
        <v>113</v>
      </c>
      <c r="C24" s="108" t="s">
        <v>111</v>
      </c>
      <c r="D24" s="109">
        <v>150</v>
      </c>
      <c r="E24" s="111">
        <f>APU!F816</f>
        <v>32644</v>
      </c>
      <c r="F24" s="493">
        <f t="shared" si="1"/>
        <v>4896600</v>
      </c>
    </row>
    <row r="25" spans="1:6" ht="75" x14ac:dyDescent="0.25">
      <c r="A25" s="106">
        <v>3.2</v>
      </c>
      <c r="B25" s="112" t="s">
        <v>114</v>
      </c>
      <c r="C25" s="108" t="s">
        <v>115</v>
      </c>
      <c r="D25" s="109">
        <v>450</v>
      </c>
      <c r="E25" s="546">
        <f>APU!F864</f>
        <v>44858</v>
      </c>
      <c r="F25" s="493">
        <f t="shared" si="1"/>
        <v>20186100</v>
      </c>
    </row>
    <row r="26" spans="1:6" ht="120" x14ac:dyDescent="0.25">
      <c r="A26" s="106">
        <v>3.3</v>
      </c>
      <c r="B26" s="432" t="s">
        <v>875</v>
      </c>
      <c r="C26" s="433" t="s">
        <v>117</v>
      </c>
      <c r="D26" s="434">
        <v>7.2</v>
      </c>
      <c r="E26" s="549">
        <f>APU!F912</f>
        <v>331321</v>
      </c>
      <c r="F26" s="493">
        <f t="shared" si="1"/>
        <v>2385511.2000000002</v>
      </c>
    </row>
    <row r="27" spans="1:6" ht="18.75" x14ac:dyDescent="0.3">
      <c r="A27" s="102">
        <v>4</v>
      </c>
      <c r="B27" s="103" t="s">
        <v>116</v>
      </c>
      <c r="C27" s="104"/>
      <c r="D27" s="104"/>
      <c r="E27" s="105"/>
      <c r="F27" s="492"/>
    </row>
    <row r="28" spans="1:6" ht="105" x14ac:dyDescent="0.25">
      <c r="A28" s="106">
        <v>4.0999999999999996</v>
      </c>
      <c r="B28" s="112" t="s">
        <v>894</v>
      </c>
      <c r="C28" s="108" t="s">
        <v>117</v>
      </c>
      <c r="D28" s="109">
        <v>20</v>
      </c>
      <c r="E28" s="450">
        <f>APU!F960</f>
        <v>471633</v>
      </c>
      <c r="F28" s="493">
        <f t="shared" si="1"/>
        <v>9432660</v>
      </c>
    </row>
    <row r="29" spans="1:6" ht="91.5" x14ac:dyDescent="0.25">
      <c r="A29" s="106">
        <v>4.2</v>
      </c>
      <c r="B29" s="112" t="s">
        <v>923</v>
      </c>
      <c r="C29" s="108" t="s">
        <v>117</v>
      </c>
      <c r="D29" s="109">
        <v>900</v>
      </c>
      <c r="E29" s="111">
        <f>APU!F1008</f>
        <v>62340</v>
      </c>
      <c r="F29" s="493">
        <f t="shared" si="1"/>
        <v>56106000</v>
      </c>
    </row>
    <row r="30" spans="1:6" ht="90" x14ac:dyDescent="0.25">
      <c r="A30" s="106">
        <v>4.3</v>
      </c>
      <c r="B30" s="112" t="s">
        <v>868</v>
      </c>
      <c r="C30" s="113" t="s">
        <v>111</v>
      </c>
      <c r="D30" s="114">
        <v>69</v>
      </c>
      <c r="E30" s="435">
        <f>APU!F1056</f>
        <v>83046</v>
      </c>
      <c r="F30" s="493">
        <f t="shared" si="1"/>
        <v>5730174</v>
      </c>
    </row>
    <row r="31" spans="1:6" ht="105" x14ac:dyDescent="0.25">
      <c r="A31" s="106">
        <v>4.4000000000000004</v>
      </c>
      <c r="B31" s="432" t="s">
        <v>873</v>
      </c>
      <c r="C31" s="442" t="s">
        <v>115</v>
      </c>
      <c r="D31" s="438">
        <v>10</v>
      </c>
      <c r="E31" s="435">
        <f>APU!F1104</f>
        <v>64085</v>
      </c>
      <c r="F31" s="493">
        <f t="shared" si="1"/>
        <v>640850</v>
      </c>
    </row>
    <row r="32" spans="1:6" ht="150.75" x14ac:dyDescent="0.25">
      <c r="A32" s="106">
        <v>4.5</v>
      </c>
      <c r="B32" s="487" t="s">
        <v>952</v>
      </c>
      <c r="C32" s="488" t="s">
        <v>111</v>
      </c>
      <c r="D32" s="489">
        <f>6*4</f>
        <v>24</v>
      </c>
      <c r="E32" s="548">
        <f>APU!F1152</f>
        <v>829214</v>
      </c>
      <c r="F32" s="493">
        <f t="shared" si="1"/>
        <v>19901136</v>
      </c>
    </row>
    <row r="33" spans="1:6" ht="18.75" x14ac:dyDescent="0.3">
      <c r="A33" s="102">
        <v>5</v>
      </c>
      <c r="B33" s="103" t="s">
        <v>118</v>
      </c>
      <c r="C33" s="104"/>
      <c r="D33" s="104"/>
      <c r="E33" s="105"/>
      <c r="F33" s="492"/>
    </row>
    <row r="34" spans="1:6" ht="75" x14ac:dyDescent="0.25">
      <c r="A34" s="106">
        <v>5.0999999999999996</v>
      </c>
      <c r="B34" s="112" t="s">
        <v>924</v>
      </c>
      <c r="C34" s="108" t="s">
        <v>117</v>
      </c>
      <c r="D34" s="109">
        <v>50</v>
      </c>
      <c r="E34" s="546">
        <f>APU!F1200</f>
        <v>172954</v>
      </c>
      <c r="F34" s="493">
        <f t="shared" si="1"/>
        <v>8647700</v>
      </c>
    </row>
    <row r="35" spans="1:6" ht="90" x14ac:dyDescent="0.25">
      <c r="A35" s="472">
        <v>5.2</v>
      </c>
      <c r="B35" s="107" t="s">
        <v>882</v>
      </c>
      <c r="C35" s="108" t="s">
        <v>117</v>
      </c>
      <c r="D35" s="473">
        <f>11.38+14.4</f>
        <v>25.78</v>
      </c>
      <c r="E35" s="548">
        <f>E10</f>
        <v>299474</v>
      </c>
      <c r="F35" s="493">
        <f t="shared" si="1"/>
        <v>7720439.7199999997</v>
      </c>
    </row>
    <row r="36" spans="1:6" ht="18.75" x14ac:dyDescent="0.3">
      <c r="A36" s="102">
        <v>6</v>
      </c>
      <c r="B36" s="103" t="s">
        <v>119</v>
      </c>
      <c r="C36" s="104"/>
      <c r="D36" s="104"/>
      <c r="E36" s="105"/>
      <c r="F36" s="492"/>
    </row>
    <row r="37" spans="1:6" ht="105" x14ac:dyDescent="0.25">
      <c r="A37" s="106">
        <v>6.1</v>
      </c>
      <c r="B37" s="112" t="s">
        <v>120</v>
      </c>
      <c r="C37" s="113" t="s">
        <v>117</v>
      </c>
      <c r="D37" s="114">
        <v>250</v>
      </c>
      <c r="E37" s="546">
        <f>+CUADRILLAS!B103</f>
        <v>58198</v>
      </c>
      <c r="F37" s="493">
        <f t="shared" si="1"/>
        <v>14549500</v>
      </c>
    </row>
    <row r="38" spans="1:6" ht="18.75" x14ac:dyDescent="0.3">
      <c r="A38" s="102">
        <v>7</v>
      </c>
      <c r="B38" s="103" t="s">
        <v>869</v>
      </c>
      <c r="C38" s="104"/>
      <c r="D38" s="104"/>
      <c r="E38" s="105"/>
      <c r="F38" s="492"/>
    </row>
    <row r="39" spans="1:6" ht="90" x14ac:dyDescent="0.25">
      <c r="A39" s="106">
        <v>7.1</v>
      </c>
      <c r="B39" s="115" t="s">
        <v>121</v>
      </c>
      <c r="C39" s="116" t="s">
        <v>122</v>
      </c>
      <c r="D39" s="114">
        <v>22200</v>
      </c>
      <c r="E39" s="111">
        <f>APU!F1344</f>
        <v>9039</v>
      </c>
      <c r="F39" s="493">
        <f t="shared" si="1"/>
        <v>200665800</v>
      </c>
    </row>
    <row r="40" spans="1:6" ht="18.75" x14ac:dyDescent="0.3">
      <c r="A40" s="102">
        <v>8</v>
      </c>
      <c r="B40" s="103" t="s">
        <v>123</v>
      </c>
      <c r="C40" s="104"/>
      <c r="D40" s="104"/>
      <c r="E40" s="105"/>
      <c r="F40" s="492"/>
    </row>
    <row r="41" spans="1:6" ht="60" x14ac:dyDescent="0.25">
      <c r="A41" s="106">
        <v>8.1</v>
      </c>
      <c r="B41" s="107" t="s">
        <v>267</v>
      </c>
      <c r="C41" s="108" t="s">
        <v>115</v>
      </c>
      <c r="D41" s="117">
        <v>70</v>
      </c>
      <c r="E41" s="450">
        <f>APU!F1392</f>
        <v>49794</v>
      </c>
      <c r="F41" s="493">
        <f t="shared" si="1"/>
        <v>3485580</v>
      </c>
    </row>
    <row r="42" spans="1:6" ht="90" x14ac:dyDescent="0.25">
      <c r="A42" s="106">
        <v>8.1999999999999993</v>
      </c>
      <c r="B42" s="115" t="s">
        <v>870</v>
      </c>
      <c r="C42" s="116" t="s">
        <v>111</v>
      </c>
      <c r="D42" s="117">
        <v>69</v>
      </c>
      <c r="E42" s="546">
        <f>APU!F1440</f>
        <v>131848</v>
      </c>
      <c r="F42" s="493">
        <f t="shared" si="1"/>
        <v>9097512</v>
      </c>
    </row>
    <row r="43" spans="1:6" ht="120" x14ac:dyDescent="0.25">
      <c r="A43" s="106">
        <v>8.3000000000000007</v>
      </c>
      <c r="B43" s="112" t="s">
        <v>943</v>
      </c>
      <c r="C43" s="116" t="s">
        <v>117</v>
      </c>
      <c r="D43" s="117">
        <f>17.23+18*0.4*0.4+18*0.4*1+10*0.4*0.4</f>
        <v>28.91</v>
      </c>
      <c r="E43" s="546">
        <f>APU!F1488</f>
        <v>1074441</v>
      </c>
      <c r="F43" s="493">
        <f t="shared" si="1"/>
        <v>31062089.309999999</v>
      </c>
    </row>
    <row r="44" spans="1:6" ht="180.75" x14ac:dyDescent="0.25">
      <c r="A44" s="106">
        <v>8.4</v>
      </c>
      <c r="B44" s="439" t="s">
        <v>871</v>
      </c>
      <c r="C44" s="116" t="s">
        <v>115</v>
      </c>
      <c r="D44" s="117">
        <v>44.55</v>
      </c>
      <c r="E44" s="546">
        <f>APU!F1532</f>
        <v>582902</v>
      </c>
      <c r="F44" s="493">
        <f>ROUND(D44*E44,2)</f>
        <v>25968284.100000001</v>
      </c>
    </row>
    <row r="45" spans="1:6" ht="180.75" x14ac:dyDescent="0.25">
      <c r="A45" s="106">
        <v>8.5</v>
      </c>
      <c r="B45" s="439" t="s">
        <v>872</v>
      </c>
      <c r="C45" s="116" t="s">
        <v>115</v>
      </c>
      <c r="D45" s="117">
        <f>18*1.5+10*1.7</f>
        <v>44</v>
      </c>
      <c r="E45" s="546">
        <f>APU!F1577</f>
        <v>450819</v>
      </c>
      <c r="F45" s="493">
        <f t="shared" ref="F45:F49" si="2">ROUND(D45*E45,2)</f>
        <v>19836036</v>
      </c>
    </row>
    <row r="46" spans="1:6" ht="180.75" x14ac:dyDescent="0.25">
      <c r="A46" s="106">
        <v>8.6</v>
      </c>
      <c r="B46" s="439" t="s">
        <v>944</v>
      </c>
      <c r="C46" s="116" t="s">
        <v>115</v>
      </c>
      <c r="D46" s="477">
        <f>18*2.5</f>
        <v>45</v>
      </c>
      <c r="E46" s="548">
        <f>APU!F1622</f>
        <v>505313</v>
      </c>
      <c r="F46" s="493">
        <f t="shared" si="2"/>
        <v>22739085</v>
      </c>
    </row>
    <row r="47" spans="1:6" ht="151.5" x14ac:dyDescent="0.25">
      <c r="A47" s="106">
        <v>8.6999999999999993</v>
      </c>
      <c r="B47" s="443" t="s">
        <v>908</v>
      </c>
      <c r="C47" s="437" t="s">
        <v>115</v>
      </c>
      <c r="D47" s="440">
        <v>27.95</v>
      </c>
      <c r="E47" s="549">
        <f>+'CUADRO OFICIO'!F27</f>
        <v>447965.1</v>
      </c>
      <c r="F47" s="493">
        <f t="shared" si="2"/>
        <v>12520624.550000001</v>
      </c>
    </row>
    <row r="48" spans="1:6" ht="135.75" x14ac:dyDescent="0.25">
      <c r="A48" s="106">
        <v>8.8000000000000007</v>
      </c>
      <c r="B48" s="441" t="s">
        <v>954</v>
      </c>
      <c r="C48" s="437" t="s">
        <v>115</v>
      </c>
      <c r="D48" s="440">
        <v>37</v>
      </c>
      <c r="E48" s="549">
        <f>APU!F1712</f>
        <v>553752</v>
      </c>
      <c r="F48" s="493">
        <f t="shared" si="2"/>
        <v>20488824</v>
      </c>
    </row>
    <row r="49" spans="1:6" ht="150.75" x14ac:dyDescent="0.25">
      <c r="A49" s="106">
        <v>8.9</v>
      </c>
      <c r="B49" s="439" t="s">
        <v>910</v>
      </c>
      <c r="C49" s="116" t="s">
        <v>115</v>
      </c>
      <c r="D49" s="440">
        <v>22.65</v>
      </c>
      <c r="E49" s="546">
        <f>APU!F1757</f>
        <v>481271</v>
      </c>
      <c r="F49" s="493">
        <f t="shared" si="2"/>
        <v>10900788.15</v>
      </c>
    </row>
    <row r="50" spans="1:6" ht="136.5" x14ac:dyDescent="0.25">
      <c r="A50" s="247">
        <v>8.1</v>
      </c>
      <c r="B50" s="443" t="s">
        <v>874</v>
      </c>
      <c r="C50" s="437" t="s">
        <v>115</v>
      </c>
      <c r="D50" s="440">
        <v>11.7</v>
      </c>
      <c r="E50" s="549">
        <f>APU!F1802</f>
        <v>553752</v>
      </c>
      <c r="F50" s="493">
        <f t="shared" ref="F50" si="3">ROUND(D50*E50,2)</f>
        <v>6478898.4000000004</v>
      </c>
    </row>
    <row r="51" spans="1:6" ht="30" x14ac:dyDescent="0.25">
      <c r="A51" s="106">
        <v>8.11</v>
      </c>
      <c r="B51" s="118" t="s">
        <v>911</v>
      </c>
      <c r="C51" s="116" t="s">
        <v>115</v>
      </c>
      <c r="D51" s="117">
        <v>15</v>
      </c>
      <c r="E51" s="546">
        <f>APU!F1850</f>
        <v>296961</v>
      </c>
      <c r="F51" s="493">
        <f>D51*E51</f>
        <v>4454415</v>
      </c>
    </row>
    <row r="52" spans="1:6" ht="105" x14ac:dyDescent="0.25">
      <c r="A52" s="247">
        <v>8.1199999999999992</v>
      </c>
      <c r="B52" s="115" t="s">
        <v>124</v>
      </c>
      <c r="C52" s="116" t="s">
        <v>115</v>
      </c>
      <c r="D52" s="117">
        <v>174.1</v>
      </c>
      <c r="E52" s="546">
        <f>APU!F1898</f>
        <v>112887</v>
      </c>
      <c r="F52" s="493">
        <f>ROUND(D52*E52,2)</f>
        <v>19653626.699999999</v>
      </c>
    </row>
    <row r="53" spans="1:6" ht="60" x14ac:dyDescent="0.25">
      <c r="A53" s="106">
        <v>8.1300000000000008</v>
      </c>
      <c r="B53" s="470" t="s">
        <v>267</v>
      </c>
      <c r="C53" s="471" t="s">
        <v>115</v>
      </c>
      <c r="D53" s="469">
        <f>57*0.4</f>
        <v>22.8</v>
      </c>
      <c r="E53" s="550">
        <f>APU!F288</f>
        <v>50611</v>
      </c>
      <c r="F53" s="493">
        <f>ROUND(D53*E53,2)</f>
        <v>1153930.8</v>
      </c>
    </row>
    <row r="54" spans="1:6" ht="90" x14ac:dyDescent="0.25">
      <c r="A54" s="247">
        <v>8.14</v>
      </c>
      <c r="B54" s="470" t="str">
        <f>B12</f>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
      <c r="C54" s="471" t="s">
        <v>117</v>
      </c>
      <c r="D54" s="469">
        <v>10</v>
      </c>
      <c r="E54" s="550">
        <f>APU!F336</f>
        <v>684649</v>
      </c>
      <c r="F54" s="493">
        <f>ROUND(D54*E54,2)</f>
        <v>6846490</v>
      </c>
    </row>
    <row r="55" spans="1:6" ht="120" x14ac:dyDescent="0.25">
      <c r="A55" s="106">
        <v>8.15</v>
      </c>
      <c r="B55" s="475" t="s">
        <v>946</v>
      </c>
      <c r="C55" s="476" t="s">
        <v>117</v>
      </c>
      <c r="D55" s="477">
        <f>ROUND(6*PI()*0.6^2*4,0)</f>
        <v>27</v>
      </c>
      <c r="E55" s="486">
        <f>APU!F2042</f>
        <v>934483</v>
      </c>
      <c r="F55" s="493">
        <f>ROUND(D55*E55,2)</f>
        <v>25231041</v>
      </c>
    </row>
    <row r="56" spans="1:6" ht="18.75" x14ac:dyDescent="0.3">
      <c r="A56" s="102">
        <v>9</v>
      </c>
      <c r="B56" s="103" t="s">
        <v>125</v>
      </c>
      <c r="C56" s="104"/>
      <c r="D56" s="104"/>
      <c r="E56" s="105"/>
      <c r="F56" s="492"/>
    </row>
    <row r="57" spans="1:6" ht="60" x14ac:dyDescent="0.25">
      <c r="A57" s="106">
        <v>9.1</v>
      </c>
      <c r="B57" s="115" t="s">
        <v>126</v>
      </c>
      <c r="C57" s="116" t="s">
        <v>115</v>
      </c>
      <c r="D57" s="117">
        <v>422</v>
      </c>
      <c r="E57" s="111">
        <f>APU!F2090</f>
        <v>12471</v>
      </c>
      <c r="F57" s="493">
        <f t="shared" ref="F57:F71" si="4">ROUND(D57*E57,2)</f>
        <v>5262762</v>
      </c>
    </row>
    <row r="58" spans="1:6" ht="105" x14ac:dyDescent="0.25">
      <c r="A58" s="106">
        <v>9.1999999999999993</v>
      </c>
      <c r="B58" s="115" t="s">
        <v>127</v>
      </c>
      <c r="C58" s="116" t="s">
        <v>117</v>
      </c>
      <c r="D58" s="117">
        <v>62</v>
      </c>
      <c r="E58" s="546">
        <f>APU!F2138</f>
        <v>208289</v>
      </c>
      <c r="F58" s="493">
        <f t="shared" si="4"/>
        <v>12913918</v>
      </c>
    </row>
    <row r="59" spans="1:6" ht="60" x14ac:dyDescent="0.25">
      <c r="A59" s="106">
        <v>9.3000000000000007</v>
      </c>
      <c r="B59" s="115" t="s">
        <v>876</v>
      </c>
      <c r="C59" s="116" t="s">
        <v>111</v>
      </c>
      <c r="D59" s="117">
        <v>112.2</v>
      </c>
      <c r="E59" s="111">
        <f>APU!F2186</f>
        <v>43059</v>
      </c>
      <c r="F59" s="493">
        <f t="shared" si="4"/>
        <v>4831219.8</v>
      </c>
    </row>
    <row r="60" spans="1:6" ht="90" x14ac:dyDescent="0.25">
      <c r="A60" s="106">
        <v>9.4</v>
      </c>
      <c r="B60" s="436" t="s">
        <v>877</v>
      </c>
      <c r="C60" s="437" t="s">
        <v>111</v>
      </c>
      <c r="D60" s="440">
        <v>106.2</v>
      </c>
      <c r="E60" s="435">
        <f>APU!F2234</f>
        <v>53273</v>
      </c>
      <c r="F60" s="493">
        <f t="shared" si="4"/>
        <v>5657592.5999999996</v>
      </c>
    </row>
    <row r="61" spans="1:6" ht="75" x14ac:dyDescent="0.25">
      <c r="A61" s="106">
        <v>9.5</v>
      </c>
      <c r="B61" s="115" t="s">
        <v>128</v>
      </c>
      <c r="C61" s="116" t="s">
        <v>111</v>
      </c>
      <c r="D61" s="117">
        <v>200</v>
      </c>
      <c r="E61" s="546">
        <f>APU!F2282</f>
        <v>99572</v>
      </c>
      <c r="F61" s="493">
        <f t="shared" si="4"/>
        <v>19914400</v>
      </c>
    </row>
    <row r="62" spans="1:6" ht="150" x14ac:dyDescent="0.25">
      <c r="A62" s="106">
        <v>9.6</v>
      </c>
      <c r="B62" s="120" t="s">
        <v>917</v>
      </c>
      <c r="C62" s="116" t="s">
        <v>17</v>
      </c>
      <c r="D62" s="117">
        <v>1</v>
      </c>
      <c r="E62" s="546">
        <f>APU!F2327</f>
        <v>4416749</v>
      </c>
      <c r="F62" s="493">
        <f t="shared" si="4"/>
        <v>4416749</v>
      </c>
    </row>
    <row r="63" spans="1:6" ht="75" x14ac:dyDescent="0.25">
      <c r="A63" s="106">
        <v>9.6999999999999993</v>
      </c>
      <c r="B63" s="120" t="s">
        <v>936</v>
      </c>
      <c r="C63" s="116" t="s">
        <v>17</v>
      </c>
      <c r="D63" s="117">
        <v>8</v>
      </c>
      <c r="E63" s="546">
        <f>APU!F2375</f>
        <v>161510</v>
      </c>
      <c r="F63" s="493">
        <f t="shared" si="4"/>
        <v>1292080</v>
      </c>
    </row>
    <row r="64" spans="1:6" ht="18.75" x14ac:dyDescent="0.3">
      <c r="A64" s="102">
        <v>10</v>
      </c>
      <c r="B64" s="103" t="s">
        <v>129</v>
      </c>
      <c r="C64" s="104"/>
      <c r="D64" s="104"/>
      <c r="E64" s="105"/>
      <c r="F64" s="492"/>
    </row>
    <row r="65" spans="1:6" ht="105" x14ac:dyDescent="0.25">
      <c r="A65" s="106">
        <v>10.1</v>
      </c>
      <c r="B65" s="115" t="s">
        <v>130</v>
      </c>
      <c r="C65" s="116" t="s">
        <v>117</v>
      </c>
      <c r="D65" s="117">
        <f>30*0.6+30</f>
        <v>48</v>
      </c>
      <c r="E65" s="546">
        <f>APU!F2423</f>
        <v>167214</v>
      </c>
      <c r="F65" s="493">
        <f t="shared" si="4"/>
        <v>8026272</v>
      </c>
    </row>
    <row r="66" spans="1:6" ht="30" x14ac:dyDescent="0.25">
      <c r="A66" s="106">
        <v>10.199999999999999</v>
      </c>
      <c r="B66" s="115" t="s">
        <v>131</v>
      </c>
      <c r="C66" s="116" t="s">
        <v>115</v>
      </c>
      <c r="D66" s="117">
        <v>342.5</v>
      </c>
      <c r="E66" s="111">
        <f>APU!F2471</f>
        <v>9079</v>
      </c>
      <c r="F66" s="493">
        <f>ROUND(D66*E66,2)</f>
        <v>3109557.5</v>
      </c>
    </row>
    <row r="67" spans="1:6" ht="90" x14ac:dyDescent="0.25">
      <c r="A67" s="106">
        <v>10.3</v>
      </c>
      <c r="B67" s="115" t="s">
        <v>132</v>
      </c>
      <c r="C67" s="116" t="s">
        <v>117</v>
      </c>
      <c r="D67" s="117">
        <f>+D66*0.6</f>
        <v>205.5</v>
      </c>
      <c r="E67" s="546">
        <f>APU!F2519</f>
        <v>269583</v>
      </c>
      <c r="F67" s="493">
        <f t="shared" si="4"/>
        <v>55399306.5</v>
      </c>
    </row>
    <row r="68" spans="1:6" ht="90" x14ac:dyDescent="0.25">
      <c r="A68" s="106">
        <v>10.4</v>
      </c>
      <c r="B68" s="115" t="s">
        <v>878</v>
      </c>
      <c r="C68" s="116" t="s">
        <v>117</v>
      </c>
      <c r="D68" s="117">
        <f>350*0.1</f>
        <v>35</v>
      </c>
      <c r="E68" s="546">
        <f>APU!F2567</f>
        <v>1389533</v>
      </c>
      <c r="F68" s="493">
        <f t="shared" si="4"/>
        <v>48633655</v>
      </c>
    </row>
    <row r="69" spans="1:6" ht="120" x14ac:dyDescent="0.25">
      <c r="A69" s="106">
        <v>10.5</v>
      </c>
      <c r="B69" s="115" t="s">
        <v>133</v>
      </c>
      <c r="C69" s="116" t="s">
        <v>111</v>
      </c>
      <c r="D69" s="117">
        <v>50</v>
      </c>
      <c r="E69" s="546">
        <f>APU!F2615</f>
        <v>122989</v>
      </c>
      <c r="F69" s="493">
        <f t="shared" si="4"/>
        <v>6149450</v>
      </c>
    </row>
    <row r="70" spans="1:6" ht="75" x14ac:dyDescent="0.25">
      <c r="A70" s="106">
        <v>10.6</v>
      </c>
      <c r="B70" s="436" t="s">
        <v>947</v>
      </c>
      <c r="C70" s="437" t="s">
        <v>115</v>
      </c>
      <c r="D70" s="440">
        <v>350</v>
      </c>
      <c r="E70" s="549">
        <f>APU!F2663</f>
        <v>8590</v>
      </c>
      <c r="F70" s="493">
        <f t="shared" si="4"/>
        <v>3006500</v>
      </c>
    </row>
    <row r="71" spans="1:6" ht="18.75" x14ac:dyDescent="0.3">
      <c r="A71" s="444">
        <v>11</v>
      </c>
      <c r="B71" s="445" t="s">
        <v>64</v>
      </c>
      <c r="C71" s="446" t="s">
        <v>17</v>
      </c>
      <c r="D71" s="446">
        <v>1</v>
      </c>
      <c r="E71" s="447">
        <f>PMT!F17</f>
        <v>10972443</v>
      </c>
      <c r="F71" s="495">
        <f t="shared" si="4"/>
        <v>10972443</v>
      </c>
    </row>
    <row r="72" spans="1:6" x14ac:dyDescent="0.25">
      <c r="A72" s="106"/>
      <c r="B72" s="115"/>
      <c r="C72" s="116"/>
      <c r="D72" s="117"/>
      <c r="E72" s="111"/>
      <c r="F72" s="493"/>
    </row>
    <row r="73" spans="1:6" ht="18.75" x14ac:dyDescent="0.3">
      <c r="A73" s="102">
        <v>12</v>
      </c>
      <c r="B73" s="103" t="s">
        <v>925</v>
      </c>
      <c r="C73" s="446"/>
      <c r="D73" s="446"/>
      <c r="E73" s="447"/>
      <c r="F73" s="495"/>
    </row>
    <row r="74" spans="1:6" ht="45" x14ac:dyDescent="0.25">
      <c r="A74" s="106">
        <v>12.1</v>
      </c>
      <c r="B74" s="115" t="s">
        <v>926</v>
      </c>
      <c r="C74" s="116" t="s">
        <v>115</v>
      </c>
      <c r="D74" s="117">
        <v>520</v>
      </c>
      <c r="E74" s="546">
        <f>APU!F2711</f>
        <v>9116</v>
      </c>
      <c r="F74" s="493">
        <f t="shared" ref="F74:F83" si="5">ROUND(D74*E74,2)</f>
        <v>4740320</v>
      </c>
    </row>
    <row r="75" spans="1:6" ht="47.45" customHeight="1" x14ac:dyDescent="0.25">
      <c r="A75" s="106">
        <v>12.2</v>
      </c>
      <c r="B75" s="115" t="s">
        <v>927</v>
      </c>
      <c r="C75" s="116" t="s">
        <v>17</v>
      </c>
      <c r="D75" s="116">
        <v>3</v>
      </c>
      <c r="E75" s="546">
        <f>APU!F2759</f>
        <v>229820</v>
      </c>
      <c r="F75" s="496">
        <f t="shared" si="5"/>
        <v>689460</v>
      </c>
    </row>
    <row r="76" spans="1:6" ht="90" x14ac:dyDescent="0.25">
      <c r="A76" s="106">
        <v>12.3</v>
      </c>
      <c r="B76" s="115" t="s">
        <v>1024</v>
      </c>
      <c r="C76" s="116" t="s">
        <v>117</v>
      </c>
      <c r="D76" s="117">
        <f>850*1.3</f>
        <v>1105</v>
      </c>
      <c r="E76" s="553">
        <f>APU!F2807</f>
        <v>54511</v>
      </c>
      <c r="F76" s="493">
        <f t="shared" si="5"/>
        <v>60234655</v>
      </c>
    </row>
    <row r="77" spans="1:6" ht="30" x14ac:dyDescent="0.25">
      <c r="A77" s="106">
        <v>12.4</v>
      </c>
      <c r="B77" s="115" t="s">
        <v>929</v>
      </c>
      <c r="C77" s="116" t="s">
        <v>111</v>
      </c>
      <c r="D77" s="117">
        <v>43</v>
      </c>
      <c r="E77" s="553">
        <v>0</v>
      </c>
      <c r="F77" s="493">
        <f t="shared" si="5"/>
        <v>0</v>
      </c>
    </row>
    <row r="78" spans="1:6" ht="30" x14ac:dyDescent="0.25">
      <c r="A78" s="106">
        <v>12.5</v>
      </c>
      <c r="B78" s="115" t="s">
        <v>930</v>
      </c>
      <c r="C78" s="116" t="s">
        <v>49</v>
      </c>
      <c r="D78" s="117">
        <v>1</v>
      </c>
      <c r="E78" s="546">
        <f>APU!F2903</f>
        <v>4221892</v>
      </c>
      <c r="F78" s="493">
        <f t="shared" si="5"/>
        <v>4221892</v>
      </c>
    </row>
    <row r="79" spans="1:6" x14ac:dyDescent="0.25">
      <c r="A79" s="106">
        <v>12.6</v>
      </c>
      <c r="B79" s="115" t="s">
        <v>931</v>
      </c>
      <c r="C79" s="116" t="s">
        <v>599</v>
      </c>
      <c r="D79" s="117">
        <v>0</v>
      </c>
      <c r="E79" s="450">
        <v>0</v>
      </c>
      <c r="F79" s="493">
        <f t="shared" si="5"/>
        <v>0</v>
      </c>
    </row>
    <row r="80" spans="1:6" x14ac:dyDescent="0.25">
      <c r="A80" s="106">
        <v>12.7</v>
      </c>
      <c r="B80" s="115" t="s">
        <v>932</v>
      </c>
      <c r="C80" s="116" t="s">
        <v>599</v>
      </c>
      <c r="D80" s="117">
        <v>0</v>
      </c>
      <c r="E80" s="450">
        <v>0</v>
      </c>
      <c r="F80" s="493">
        <f t="shared" si="5"/>
        <v>0</v>
      </c>
    </row>
    <row r="81" spans="1:6" ht="60" x14ac:dyDescent="0.25">
      <c r="A81" s="106">
        <v>12.8</v>
      </c>
      <c r="B81" s="475" t="s">
        <v>940</v>
      </c>
      <c r="C81" s="476" t="s">
        <v>933</v>
      </c>
      <c r="D81" s="477">
        <v>1626</v>
      </c>
      <c r="E81" s="474">
        <f>APU!F2951</f>
        <v>7596</v>
      </c>
      <c r="F81" s="493">
        <f t="shared" si="5"/>
        <v>12351096</v>
      </c>
    </row>
    <row r="82" spans="1:6" ht="150" x14ac:dyDescent="0.25">
      <c r="A82" s="106">
        <v>12.9</v>
      </c>
      <c r="B82" s="475" t="s">
        <v>937</v>
      </c>
      <c r="C82" s="476" t="s">
        <v>17</v>
      </c>
      <c r="D82" s="477">
        <v>1</v>
      </c>
      <c r="E82" s="548">
        <f>APU!F2996</f>
        <v>1106322</v>
      </c>
      <c r="F82" s="493">
        <f t="shared" si="5"/>
        <v>1106322</v>
      </c>
    </row>
    <row r="83" spans="1:6" ht="45" x14ac:dyDescent="0.25">
      <c r="A83" s="247">
        <v>12.1</v>
      </c>
      <c r="B83" s="475" t="s">
        <v>934</v>
      </c>
      <c r="C83" s="476" t="s">
        <v>117</v>
      </c>
      <c r="D83" s="477">
        <v>0</v>
      </c>
      <c r="E83" s="474">
        <v>0</v>
      </c>
      <c r="F83" s="493">
        <f t="shared" si="5"/>
        <v>0</v>
      </c>
    </row>
    <row r="85" spans="1:6" ht="15.75" thickBot="1" x14ac:dyDescent="0.3"/>
    <row r="86" spans="1:6" ht="19.5" thickBot="1" x14ac:dyDescent="0.35">
      <c r="A86" s="121"/>
      <c r="B86" s="122" t="s">
        <v>134</v>
      </c>
      <c r="C86" s="123"/>
      <c r="D86" s="123"/>
      <c r="E86" s="124"/>
      <c r="F86" s="497">
        <f>SUM(F6:F85)</f>
        <v>912337651.50999999</v>
      </c>
    </row>
    <row r="87" spans="1:6" ht="19.5" thickBot="1" x14ac:dyDescent="0.35">
      <c r="A87" s="121"/>
      <c r="B87" s="122" t="s">
        <v>135</v>
      </c>
      <c r="C87" s="123"/>
      <c r="D87" s="125">
        <f>'AU 4 meses'!I85</f>
        <v>0.31753929624250488</v>
      </c>
      <c r="E87" s="124"/>
      <c r="F87" s="497">
        <f>ROUND(F86*D87,2)</f>
        <v>289703055.80000001</v>
      </c>
    </row>
    <row r="88" spans="1:6" ht="19.5" thickBot="1" x14ac:dyDescent="0.35">
      <c r="A88" s="121"/>
      <c r="B88" s="122" t="s">
        <v>3</v>
      </c>
      <c r="C88" s="123"/>
      <c r="D88" s="125">
        <f>'AU 4 meses'!I86</f>
        <v>0.05</v>
      </c>
      <c r="E88" s="124"/>
      <c r="F88" s="498">
        <f>ROUND(F86*D88,2)</f>
        <v>45616882.579999998</v>
      </c>
    </row>
    <row r="89" spans="1:6" ht="19.5" thickBot="1" x14ac:dyDescent="0.35">
      <c r="A89" s="121"/>
      <c r="B89" s="122" t="s">
        <v>136</v>
      </c>
      <c r="C89" s="123"/>
      <c r="D89" s="126">
        <v>0</v>
      </c>
      <c r="E89" s="124"/>
      <c r="F89" s="497">
        <f>+F88*D89</f>
        <v>0</v>
      </c>
    </row>
    <row r="90" spans="1:6" ht="19.5" thickBot="1" x14ac:dyDescent="0.35">
      <c r="A90" s="121"/>
      <c r="B90" s="122" t="s">
        <v>137</v>
      </c>
      <c r="C90" s="123"/>
      <c r="D90" s="123"/>
      <c r="E90" s="124"/>
      <c r="F90" s="497">
        <f>ROUND(SUM(F86:F89),2)</f>
        <v>1247657589.8900001</v>
      </c>
    </row>
  </sheetData>
  <mergeCells count="2">
    <mergeCell ref="A1:F1"/>
    <mergeCell ref="A2:F2"/>
  </mergeCells>
  <pageMargins left="0.70866141732283472" right="0.70866141732283472" top="0.74803149606299213" bottom="0.74803149606299213" header="0.31496062992125984" footer="0.31496062992125984"/>
  <pageSetup scale="61"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249977111117893"/>
    <pageSetUpPr fitToPage="1"/>
  </sheetPr>
  <dimension ref="B1:K3236"/>
  <sheetViews>
    <sheetView view="pageBreakPreview" topLeftCell="A2794" zoomScale="110" zoomScaleNormal="100" zoomScaleSheetLayoutView="110" workbookViewId="0">
      <selection activeCell="H2810" sqref="H2810"/>
    </sheetView>
  </sheetViews>
  <sheetFormatPr baseColWidth="10" defaultRowHeight="15" x14ac:dyDescent="0.25"/>
  <cols>
    <col min="2" max="2" width="36.7109375" customWidth="1"/>
    <col min="3" max="3" width="7.7109375" customWidth="1"/>
    <col min="4" max="4" width="11.85546875" customWidth="1"/>
    <col min="5" max="5" width="13.85546875" customWidth="1"/>
    <col min="6" max="6" width="19.28515625" customWidth="1"/>
    <col min="8" max="8" width="11.85546875" customWidth="1"/>
  </cols>
  <sheetData>
    <row r="1" spans="2:6" ht="15.75" thickBot="1" x14ac:dyDescent="0.3"/>
    <row r="2" spans="2:6" ht="15.75" thickBot="1" x14ac:dyDescent="0.3">
      <c r="B2" s="602" t="s">
        <v>276</v>
      </c>
      <c r="C2" s="603"/>
      <c r="D2" s="603"/>
      <c r="E2" s="603"/>
      <c r="F2" s="604"/>
    </row>
    <row r="3" spans="2:6" s="98" customFormat="1" ht="15.75" thickBot="1" x14ac:dyDescent="0.3">
      <c r="B3" s="605" t="s">
        <v>104</v>
      </c>
      <c r="C3" s="606"/>
      <c r="D3" s="607"/>
      <c r="E3" s="282" t="s">
        <v>105</v>
      </c>
      <c r="F3" s="283" t="s">
        <v>103</v>
      </c>
    </row>
    <row r="4" spans="2:6" ht="75" customHeight="1" thickBot="1" x14ac:dyDescent="0.3">
      <c r="B4" s="608" t="str">
        <f>'PRESUPUESTO CALLE 58 SUR'!B6</f>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
      <c r="C4" s="609"/>
      <c r="D4" s="610"/>
      <c r="E4" s="248" t="str">
        <f>'PRESUPUESTO CALLE 58 SUR'!C6</f>
        <v>m2</v>
      </c>
      <c r="F4" s="448">
        <f>'PRESUPUESTO CALLE 58 SUR'!A6</f>
        <v>1.1000000000000001</v>
      </c>
    </row>
    <row r="5" spans="2:6" ht="15.75" thickBot="1" x14ac:dyDescent="0.3">
      <c r="B5" s="250" t="s">
        <v>8</v>
      </c>
      <c r="C5" s="251" t="s">
        <v>9</v>
      </c>
      <c r="D5" s="252" t="s">
        <v>10</v>
      </c>
      <c r="E5" s="253" t="s">
        <v>283</v>
      </c>
      <c r="F5" s="254" t="s">
        <v>284</v>
      </c>
    </row>
    <row r="6" spans="2:6" x14ac:dyDescent="0.25">
      <c r="B6" s="594" t="s">
        <v>285</v>
      </c>
      <c r="C6" s="595"/>
      <c r="D6" s="595"/>
      <c r="E6" s="595"/>
      <c r="F6" s="596"/>
    </row>
    <row r="7" spans="2:6" ht="22.5" x14ac:dyDescent="0.25">
      <c r="B7" s="255" t="str">
        <f>INSUMOS!B192</f>
        <v>Lonas o costales de fibra de 50 kilos x un + transporte</v>
      </c>
      <c r="C7" s="256" t="s">
        <v>17</v>
      </c>
      <c r="D7" s="257">
        <v>0.25</v>
      </c>
      <c r="E7" s="258">
        <f>INSUMOS!D192</f>
        <v>2083.3333333333335</v>
      </c>
      <c r="F7" s="259">
        <f t="shared" ref="F7:F18" si="0">D7*E7</f>
        <v>520.83333333333337</v>
      </c>
    </row>
    <row r="8" spans="2:6" x14ac:dyDescent="0.25">
      <c r="B8" s="260"/>
      <c r="C8" s="256"/>
      <c r="D8" s="257"/>
      <c r="E8" s="258"/>
      <c r="F8" s="259">
        <f t="shared" si="0"/>
        <v>0</v>
      </c>
    </row>
    <row r="9" spans="2:6" x14ac:dyDescent="0.25">
      <c r="B9" s="261"/>
      <c r="C9" s="256"/>
      <c r="D9" s="257"/>
      <c r="E9" s="258"/>
      <c r="F9" s="259">
        <f t="shared" si="0"/>
        <v>0</v>
      </c>
    </row>
    <row r="10" spans="2:6" x14ac:dyDescent="0.25">
      <c r="B10" s="261"/>
      <c r="C10" s="256"/>
      <c r="D10" s="257"/>
      <c r="E10" s="258"/>
      <c r="F10" s="259">
        <f t="shared" si="0"/>
        <v>0</v>
      </c>
    </row>
    <row r="11" spans="2:6" x14ac:dyDescent="0.25">
      <c r="B11" s="261"/>
      <c r="C11" s="256"/>
      <c r="D11" s="257"/>
      <c r="E11" s="258"/>
      <c r="F11" s="259">
        <f t="shared" si="0"/>
        <v>0</v>
      </c>
    </row>
    <row r="12" spans="2:6" x14ac:dyDescent="0.25">
      <c r="B12" s="261"/>
      <c r="C12" s="256"/>
      <c r="D12" s="257"/>
      <c r="E12" s="258"/>
      <c r="F12" s="259">
        <f t="shared" si="0"/>
        <v>0</v>
      </c>
    </row>
    <row r="13" spans="2:6" x14ac:dyDescent="0.25">
      <c r="B13" s="261"/>
      <c r="C13" s="256"/>
      <c r="D13" s="257"/>
      <c r="E13" s="258"/>
      <c r="F13" s="259">
        <f t="shared" si="0"/>
        <v>0</v>
      </c>
    </row>
    <row r="14" spans="2:6" x14ac:dyDescent="0.25">
      <c r="B14" s="261"/>
      <c r="C14" s="256"/>
      <c r="D14" s="257"/>
      <c r="E14" s="258"/>
      <c r="F14" s="259">
        <f t="shared" si="0"/>
        <v>0</v>
      </c>
    </row>
    <row r="15" spans="2:6" x14ac:dyDescent="0.25">
      <c r="B15" s="261"/>
      <c r="C15" s="256"/>
      <c r="D15" s="257"/>
      <c r="E15" s="258"/>
      <c r="F15" s="259">
        <f t="shared" si="0"/>
        <v>0</v>
      </c>
    </row>
    <row r="16" spans="2:6" x14ac:dyDescent="0.25">
      <c r="B16" s="261"/>
      <c r="C16" s="256"/>
      <c r="D16" s="257"/>
      <c r="E16" s="258"/>
      <c r="F16" s="259">
        <f t="shared" si="0"/>
        <v>0</v>
      </c>
    </row>
    <row r="17" spans="2:6" x14ac:dyDescent="0.25">
      <c r="B17" s="261"/>
      <c r="C17" s="256"/>
      <c r="D17" s="257"/>
      <c r="E17" s="258"/>
      <c r="F17" s="259">
        <f t="shared" si="0"/>
        <v>0</v>
      </c>
    </row>
    <row r="18" spans="2:6" x14ac:dyDescent="0.25">
      <c r="B18" s="262"/>
      <c r="C18" s="263"/>
      <c r="D18" s="264"/>
      <c r="E18" s="265"/>
      <c r="F18" s="259">
        <f t="shared" si="0"/>
        <v>0</v>
      </c>
    </row>
    <row r="19" spans="2:6" ht="15.75" thickBot="1" x14ac:dyDescent="0.3">
      <c r="B19" s="611" t="s">
        <v>286</v>
      </c>
      <c r="C19" s="612"/>
      <c r="D19" s="612"/>
      <c r="E19" s="613"/>
      <c r="F19" s="284">
        <f>SUM(F7:F18)</f>
        <v>520.83333333333337</v>
      </c>
    </row>
    <row r="20" spans="2:6" x14ac:dyDescent="0.25">
      <c r="B20" s="594" t="s">
        <v>277</v>
      </c>
      <c r="C20" s="595"/>
      <c r="D20" s="595"/>
      <c r="E20" s="595"/>
      <c r="F20" s="596"/>
    </row>
    <row r="21" spans="2:6" x14ac:dyDescent="0.25">
      <c r="B21" s="266" t="str">
        <f>CUADRILLAS!A79</f>
        <v>Cuad. 1of + 1ay</v>
      </c>
      <c r="C21" s="267" t="s">
        <v>110</v>
      </c>
      <c r="D21" s="268">
        <v>1.1911370571142036E-2</v>
      </c>
      <c r="E21" s="269">
        <f>CUADRILLAS!B79</f>
        <v>207851</v>
      </c>
      <c r="F21" s="270">
        <f>D21*E21</f>
        <v>2475.7902845824433</v>
      </c>
    </row>
    <row r="22" spans="2:6" x14ac:dyDescent="0.25">
      <c r="B22" s="266"/>
      <c r="C22" s="267"/>
      <c r="D22" s="268"/>
      <c r="E22" s="269"/>
      <c r="F22" s="270">
        <f>D22*E22</f>
        <v>0</v>
      </c>
    </row>
    <row r="23" spans="2:6" x14ac:dyDescent="0.25">
      <c r="B23" s="266"/>
      <c r="C23" s="267"/>
      <c r="D23" s="268"/>
      <c r="E23" s="271"/>
      <c r="F23" s="270">
        <f>D23*E23</f>
        <v>0</v>
      </c>
    </row>
    <row r="24" spans="2:6" x14ac:dyDescent="0.25">
      <c r="B24" s="272"/>
      <c r="C24" s="273"/>
      <c r="D24" s="268"/>
      <c r="E24" s="271"/>
      <c r="F24" s="270">
        <f>D24*E24</f>
        <v>0</v>
      </c>
    </row>
    <row r="25" spans="2:6" ht="15.75" thickBot="1" x14ac:dyDescent="0.3">
      <c r="B25" s="611" t="s">
        <v>287</v>
      </c>
      <c r="C25" s="612"/>
      <c r="D25" s="612"/>
      <c r="E25" s="613"/>
      <c r="F25" s="274">
        <f>SUM(F21:F24)</f>
        <v>2475.7902845824433</v>
      </c>
    </row>
    <row r="26" spans="2:6" x14ac:dyDescent="0.25">
      <c r="B26" s="594" t="s">
        <v>278</v>
      </c>
      <c r="C26" s="595"/>
      <c r="D26" s="595"/>
      <c r="E26" s="595"/>
      <c r="F26" s="596"/>
    </row>
    <row r="27" spans="2:6" x14ac:dyDescent="0.25">
      <c r="B27" s="272" t="s">
        <v>279</v>
      </c>
      <c r="C27" s="273" t="s">
        <v>280</v>
      </c>
      <c r="D27" s="268">
        <v>0.05</v>
      </c>
      <c r="E27" s="271">
        <f>F25</f>
        <v>2475.7902845824433</v>
      </c>
      <c r="F27" s="270">
        <f>D27*E27</f>
        <v>123.78951422912218</v>
      </c>
    </row>
    <row r="28" spans="2:6" ht="15.75" thickBot="1" x14ac:dyDescent="0.3">
      <c r="B28" s="611" t="s">
        <v>288</v>
      </c>
      <c r="C28" s="612"/>
      <c r="D28" s="612"/>
      <c r="E28" s="613"/>
      <c r="F28" s="274">
        <f>SUM(F27)</f>
        <v>123.78951422912218</v>
      </c>
    </row>
    <row r="29" spans="2:6" x14ac:dyDescent="0.25">
      <c r="B29" s="594" t="s">
        <v>281</v>
      </c>
      <c r="C29" s="595"/>
      <c r="D29" s="595"/>
      <c r="E29" s="595"/>
      <c r="F29" s="596"/>
    </row>
    <row r="30" spans="2:6" ht="22.5" x14ac:dyDescent="0.25">
      <c r="B30" s="272" t="str">
        <f>INSUMOS!B487</f>
        <v>Guadañadora/ cortadora de cesped. Incluye combustible y transporte.</v>
      </c>
      <c r="C30" s="273" t="s">
        <v>110</v>
      </c>
      <c r="D30" s="268">
        <v>5.0000000000000001E-3</v>
      </c>
      <c r="E30" s="271">
        <f>INSUMOS!D487</f>
        <v>35200</v>
      </c>
      <c r="F30" s="259">
        <f t="shared" ref="F30:F41" si="1">D30*E30</f>
        <v>176</v>
      </c>
    </row>
    <row r="31" spans="2:6" x14ac:dyDescent="0.25">
      <c r="B31" s="272"/>
      <c r="C31" s="273"/>
      <c r="D31" s="268"/>
      <c r="E31" s="271"/>
      <c r="F31" s="259">
        <f t="shared" si="1"/>
        <v>0</v>
      </c>
    </row>
    <row r="32" spans="2:6" x14ac:dyDescent="0.25">
      <c r="B32" s="272"/>
      <c r="C32" s="273"/>
      <c r="D32" s="268"/>
      <c r="E32" s="271"/>
      <c r="F32" s="259">
        <f t="shared" si="1"/>
        <v>0</v>
      </c>
    </row>
    <row r="33" spans="2:6" x14ac:dyDescent="0.25">
      <c r="B33" s="272"/>
      <c r="C33" s="273"/>
      <c r="D33" s="268"/>
      <c r="E33" s="271"/>
      <c r="F33" s="259">
        <f t="shared" si="1"/>
        <v>0</v>
      </c>
    </row>
    <row r="34" spans="2:6" x14ac:dyDescent="0.25">
      <c r="B34" s="272"/>
      <c r="C34" s="273"/>
      <c r="D34" s="268"/>
      <c r="E34" s="271"/>
      <c r="F34" s="259">
        <f t="shared" si="1"/>
        <v>0</v>
      </c>
    </row>
    <row r="35" spans="2:6" x14ac:dyDescent="0.25">
      <c r="B35" s="272"/>
      <c r="C35" s="273"/>
      <c r="D35" s="268"/>
      <c r="E35" s="271"/>
      <c r="F35" s="259">
        <f t="shared" si="1"/>
        <v>0</v>
      </c>
    </row>
    <row r="36" spans="2:6" x14ac:dyDescent="0.25">
      <c r="B36" s="272"/>
      <c r="C36" s="273"/>
      <c r="D36" s="268"/>
      <c r="E36" s="271"/>
      <c r="F36" s="259">
        <f t="shared" si="1"/>
        <v>0</v>
      </c>
    </row>
    <row r="37" spans="2:6" x14ac:dyDescent="0.25">
      <c r="B37" s="272"/>
      <c r="C37" s="273"/>
      <c r="D37" s="268"/>
      <c r="E37" s="271"/>
      <c r="F37" s="259">
        <f t="shared" si="1"/>
        <v>0</v>
      </c>
    </row>
    <row r="38" spans="2:6" x14ac:dyDescent="0.25">
      <c r="B38" s="272"/>
      <c r="C38" s="273"/>
      <c r="D38" s="268"/>
      <c r="E38" s="271"/>
      <c r="F38" s="259">
        <f t="shared" si="1"/>
        <v>0</v>
      </c>
    </row>
    <row r="39" spans="2:6" x14ac:dyDescent="0.25">
      <c r="B39" s="272"/>
      <c r="C39" s="273"/>
      <c r="D39" s="268"/>
      <c r="E39" s="271"/>
      <c r="F39" s="259">
        <f t="shared" si="1"/>
        <v>0</v>
      </c>
    </row>
    <row r="40" spans="2:6" x14ac:dyDescent="0.25">
      <c r="B40" s="272"/>
      <c r="C40" s="273"/>
      <c r="D40" s="268"/>
      <c r="E40" s="271"/>
      <c r="F40" s="259">
        <f t="shared" si="1"/>
        <v>0</v>
      </c>
    </row>
    <row r="41" spans="2:6" x14ac:dyDescent="0.25">
      <c r="B41" s="272"/>
      <c r="C41" s="273"/>
      <c r="D41" s="268"/>
      <c r="E41" s="271"/>
      <c r="F41" s="259">
        <f t="shared" si="1"/>
        <v>0</v>
      </c>
    </row>
    <row r="42" spans="2:6" ht="15.75" thickBot="1" x14ac:dyDescent="0.3">
      <c r="B42" s="611" t="s">
        <v>289</v>
      </c>
      <c r="C42" s="612"/>
      <c r="D42" s="612"/>
      <c r="E42" s="613"/>
      <c r="F42" s="274">
        <f>SUM(F30:F41)</f>
        <v>176</v>
      </c>
    </row>
    <row r="43" spans="2:6" x14ac:dyDescent="0.25">
      <c r="B43" s="594" t="s">
        <v>290</v>
      </c>
      <c r="C43" s="595"/>
      <c r="D43" s="595"/>
      <c r="E43" s="595"/>
      <c r="F43" s="596"/>
    </row>
    <row r="44" spans="2:6" x14ac:dyDescent="0.25">
      <c r="B44" s="272" t="str">
        <f>CUADRILLAS!A103</f>
        <v>Cargue Manual-Transporte-Botada</v>
      </c>
      <c r="C44" s="273" t="s">
        <v>117</v>
      </c>
      <c r="D44" s="275">
        <v>0.1</v>
      </c>
      <c r="E44" s="276">
        <f>CUADRILLAS!B103</f>
        <v>58198</v>
      </c>
      <c r="F44" s="259">
        <f>D44*E44</f>
        <v>5819.8</v>
      </c>
    </row>
    <row r="45" spans="2:6" x14ac:dyDescent="0.25">
      <c r="B45" s="277"/>
      <c r="C45" s="278"/>
      <c r="D45" s="279"/>
      <c r="E45" s="280"/>
      <c r="F45" s="259">
        <f>D45*E45</f>
        <v>0</v>
      </c>
    </row>
    <row r="46" spans="2:6" x14ac:dyDescent="0.25">
      <c r="B46" s="277"/>
      <c r="C46" s="278"/>
      <c r="D46" s="279"/>
      <c r="E46" s="280"/>
      <c r="F46" s="259">
        <f>D46*E46</f>
        <v>0</v>
      </c>
    </row>
    <row r="47" spans="2:6" ht="15.75" thickBot="1" x14ac:dyDescent="0.3">
      <c r="B47" s="611" t="s">
        <v>291</v>
      </c>
      <c r="C47" s="612"/>
      <c r="D47" s="612"/>
      <c r="E47" s="613"/>
      <c r="F47" s="285">
        <f>SUM(F44:F46)</f>
        <v>5819.8</v>
      </c>
    </row>
    <row r="48" spans="2:6" ht="15.75" thickBot="1" x14ac:dyDescent="0.3">
      <c r="B48" s="600" t="s">
        <v>282</v>
      </c>
      <c r="C48" s="601"/>
      <c r="D48" s="601"/>
      <c r="E48" s="601"/>
      <c r="F48" s="499">
        <f>ROUND(F19+F25+F28+F42+F47,0)</f>
        <v>9116</v>
      </c>
    </row>
    <row r="49" spans="2:6" ht="15.75" thickBot="1" x14ac:dyDescent="0.3"/>
    <row r="50" spans="2:6" ht="15.75" thickBot="1" x14ac:dyDescent="0.3">
      <c r="B50" s="602" t="s">
        <v>276</v>
      </c>
      <c r="C50" s="603"/>
      <c r="D50" s="603"/>
      <c r="E50" s="603"/>
      <c r="F50" s="604"/>
    </row>
    <row r="51" spans="2:6" ht="15.75" thickBot="1" x14ac:dyDescent="0.3">
      <c r="B51" s="605" t="s">
        <v>104</v>
      </c>
      <c r="C51" s="606"/>
      <c r="D51" s="607"/>
      <c r="E51" s="282" t="s">
        <v>105</v>
      </c>
      <c r="F51" s="283" t="s">
        <v>103</v>
      </c>
    </row>
    <row r="52" spans="2:6" ht="71.45" customHeight="1" thickBot="1" x14ac:dyDescent="0.3">
      <c r="B52" s="608" t="str">
        <f>'PRESUPUESTO CALLE 58 SUR'!B7</f>
        <v>DEMOLICIÓN DE SUMIDEROS de cualquier tipo y material  existentes. Incluye: Cargue, transporte y botada de escombros, recuperación de los materiales aprovechables o su transporte hasta el sitio que lo indique la interventoría.</v>
      </c>
      <c r="C52" s="609"/>
      <c r="D52" s="610"/>
      <c r="E52" s="248" t="str">
        <f>'PRESUPUESTO CALLE 58 SUR'!C7</f>
        <v>un</v>
      </c>
      <c r="F52" s="448">
        <f>'PRESUPUESTO CALLE 58 SUR'!A7</f>
        <v>1.2</v>
      </c>
    </row>
    <row r="53" spans="2:6" ht="15.75" thickBot="1" x14ac:dyDescent="0.3">
      <c r="B53" s="250" t="s">
        <v>8</v>
      </c>
      <c r="C53" s="251" t="s">
        <v>9</v>
      </c>
      <c r="D53" s="252" t="s">
        <v>10</v>
      </c>
      <c r="E53" s="253" t="s">
        <v>283</v>
      </c>
      <c r="F53" s="254" t="s">
        <v>284</v>
      </c>
    </row>
    <row r="54" spans="2:6" x14ac:dyDescent="0.25">
      <c r="B54" s="594" t="s">
        <v>285</v>
      </c>
      <c r="C54" s="595"/>
      <c r="D54" s="595"/>
      <c r="E54" s="595"/>
      <c r="F54" s="596"/>
    </row>
    <row r="55" spans="2:6" x14ac:dyDescent="0.25">
      <c r="B55" s="255"/>
      <c r="C55" s="256"/>
      <c r="D55" s="257"/>
      <c r="E55" s="258"/>
      <c r="F55" s="259">
        <f t="shared" ref="F55:F66" si="2">D55*E55</f>
        <v>0</v>
      </c>
    </row>
    <row r="56" spans="2:6" x14ac:dyDescent="0.25">
      <c r="B56" s="260"/>
      <c r="C56" s="256"/>
      <c r="D56" s="257"/>
      <c r="E56" s="258"/>
      <c r="F56" s="259">
        <f t="shared" si="2"/>
        <v>0</v>
      </c>
    </row>
    <row r="57" spans="2:6" x14ac:dyDescent="0.25">
      <c r="B57" s="261"/>
      <c r="C57" s="256"/>
      <c r="D57" s="257"/>
      <c r="E57" s="258"/>
      <c r="F57" s="259">
        <f t="shared" si="2"/>
        <v>0</v>
      </c>
    </row>
    <row r="58" spans="2:6" x14ac:dyDescent="0.25">
      <c r="B58" s="261"/>
      <c r="C58" s="256"/>
      <c r="D58" s="257"/>
      <c r="E58" s="258"/>
      <c r="F58" s="259">
        <f t="shared" si="2"/>
        <v>0</v>
      </c>
    </row>
    <row r="59" spans="2:6" x14ac:dyDescent="0.25">
      <c r="B59" s="261"/>
      <c r="C59" s="256"/>
      <c r="D59" s="257"/>
      <c r="E59" s="258"/>
      <c r="F59" s="259">
        <f t="shared" si="2"/>
        <v>0</v>
      </c>
    </row>
    <row r="60" spans="2:6" x14ac:dyDescent="0.25">
      <c r="B60" s="261"/>
      <c r="C60" s="256"/>
      <c r="D60" s="257"/>
      <c r="E60" s="258"/>
      <c r="F60" s="259">
        <f t="shared" si="2"/>
        <v>0</v>
      </c>
    </row>
    <row r="61" spans="2:6" x14ac:dyDescent="0.25">
      <c r="B61" s="261"/>
      <c r="C61" s="256"/>
      <c r="D61" s="257"/>
      <c r="E61" s="258"/>
      <c r="F61" s="259">
        <f t="shared" si="2"/>
        <v>0</v>
      </c>
    </row>
    <row r="62" spans="2:6" x14ac:dyDescent="0.25">
      <c r="B62" s="261"/>
      <c r="C62" s="256"/>
      <c r="D62" s="257"/>
      <c r="E62" s="258"/>
      <c r="F62" s="259">
        <f t="shared" si="2"/>
        <v>0</v>
      </c>
    </row>
    <row r="63" spans="2:6" x14ac:dyDescent="0.25">
      <c r="B63" s="261"/>
      <c r="C63" s="256"/>
      <c r="D63" s="257"/>
      <c r="E63" s="258"/>
      <c r="F63" s="259">
        <f t="shared" si="2"/>
        <v>0</v>
      </c>
    </row>
    <row r="64" spans="2:6" x14ac:dyDescent="0.25">
      <c r="B64" s="261"/>
      <c r="C64" s="256"/>
      <c r="D64" s="257"/>
      <c r="E64" s="258"/>
      <c r="F64" s="259">
        <f t="shared" si="2"/>
        <v>0</v>
      </c>
    </row>
    <row r="65" spans="2:6" x14ac:dyDescent="0.25">
      <c r="B65" s="261"/>
      <c r="C65" s="256"/>
      <c r="D65" s="257"/>
      <c r="E65" s="258"/>
      <c r="F65" s="259">
        <f t="shared" si="2"/>
        <v>0</v>
      </c>
    </row>
    <row r="66" spans="2:6" x14ac:dyDescent="0.25">
      <c r="B66" s="262"/>
      <c r="C66" s="263"/>
      <c r="D66" s="264"/>
      <c r="E66" s="265"/>
      <c r="F66" s="259">
        <f t="shared" si="2"/>
        <v>0</v>
      </c>
    </row>
    <row r="67" spans="2:6" ht="15.75" thickBot="1" x14ac:dyDescent="0.3">
      <c r="B67" s="611" t="s">
        <v>286</v>
      </c>
      <c r="C67" s="612"/>
      <c r="D67" s="612"/>
      <c r="E67" s="613"/>
      <c r="F67" s="284">
        <f>SUM(F55:F66)</f>
        <v>0</v>
      </c>
    </row>
    <row r="68" spans="2:6" x14ac:dyDescent="0.25">
      <c r="B68" s="594" t="s">
        <v>277</v>
      </c>
      <c r="C68" s="595"/>
      <c r="D68" s="595"/>
      <c r="E68" s="595"/>
      <c r="F68" s="596"/>
    </row>
    <row r="69" spans="2:6" x14ac:dyDescent="0.25">
      <c r="B69" s="266" t="str">
        <f>CUADRILLAS!A81</f>
        <v>Cuadrilla 2Ayu.</v>
      </c>
      <c r="C69" s="267" t="s">
        <v>110</v>
      </c>
      <c r="D69" s="268">
        <v>1.1000000000000001</v>
      </c>
      <c r="E69" s="269">
        <f>CUADRILLAS!B81</f>
        <v>141572</v>
      </c>
      <c r="F69" s="270">
        <f>D69*E69</f>
        <v>155729.20000000001</v>
      </c>
    </row>
    <row r="70" spans="2:6" x14ac:dyDescent="0.25">
      <c r="B70" s="266"/>
      <c r="C70" s="267"/>
      <c r="D70" s="268"/>
      <c r="E70" s="269"/>
      <c r="F70" s="270">
        <f>D70*E70</f>
        <v>0</v>
      </c>
    </row>
    <row r="71" spans="2:6" x14ac:dyDescent="0.25">
      <c r="B71" s="266"/>
      <c r="C71" s="267"/>
      <c r="D71" s="268"/>
      <c r="E71" s="271"/>
      <c r="F71" s="270">
        <f>D71*E71</f>
        <v>0</v>
      </c>
    </row>
    <row r="72" spans="2:6" x14ac:dyDescent="0.25">
      <c r="B72" s="272"/>
      <c r="C72" s="273"/>
      <c r="D72" s="268"/>
      <c r="E72" s="271"/>
      <c r="F72" s="270">
        <f>D72*E72</f>
        <v>0</v>
      </c>
    </row>
    <row r="73" spans="2:6" ht="15.75" thickBot="1" x14ac:dyDescent="0.3">
      <c r="B73" s="611" t="s">
        <v>287</v>
      </c>
      <c r="C73" s="612"/>
      <c r="D73" s="612"/>
      <c r="E73" s="613"/>
      <c r="F73" s="274">
        <f>SUM(F69:F72)</f>
        <v>155729.20000000001</v>
      </c>
    </row>
    <row r="74" spans="2:6" x14ac:dyDescent="0.25">
      <c r="B74" s="594" t="s">
        <v>278</v>
      </c>
      <c r="C74" s="595"/>
      <c r="D74" s="595"/>
      <c r="E74" s="595"/>
      <c r="F74" s="596"/>
    </row>
    <row r="75" spans="2:6" x14ac:dyDescent="0.25">
      <c r="B75" s="272" t="s">
        <v>279</v>
      </c>
      <c r="C75" s="273" t="s">
        <v>280</v>
      </c>
      <c r="D75" s="268">
        <v>0.05</v>
      </c>
      <c r="E75" s="271">
        <f>F73</f>
        <v>155729.20000000001</v>
      </c>
      <c r="F75" s="270">
        <f>D75*E75</f>
        <v>7786.4600000000009</v>
      </c>
    </row>
    <row r="76" spans="2:6" ht="15.75" thickBot="1" x14ac:dyDescent="0.3">
      <c r="B76" s="611" t="s">
        <v>288</v>
      </c>
      <c r="C76" s="612"/>
      <c r="D76" s="612"/>
      <c r="E76" s="613"/>
      <c r="F76" s="274">
        <f>SUM(F75)</f>
        <v>7786.4600000000009</v>
      </c>
    </row>
    <row r="77" spans="2:6" x14ac:dyDescent="0.25">
      <c r="B77" s="594" t="s">
        <v>281</v>
      </c>
      <c r="C77" s="595"/>
      <c r="D77" s="595"/>
      <c r="E77" s="595"/>
      <c r="F77" s="596"/>
    </row>
    <row r="78" spans="2:6" x14ac:dyDescent="0.25">
      <c r="B78" s="272" t="str">
        <f>INSUMOS!B225</f>
        <v>Taladro demoledor Minero sin accesorios</v>
      </c>
      <c r="C78" s="273" t="s">
        <v>110</v>
      </c>
      <c r="D78" s="268">
        <v>0.5</v>
      </c>
      <c r="E78" s="271">
        <f>INSUMOS!E225</f>
        <v>114484</v>
      </c>
      <c r="F78" s="259">
        <f t="shared" ref="F78:F89" si="3">D78*E78</f>
        <v>57242</v>
      </c>
    </row>
    <row r="79" spans="2:6" x14ac:dyDescent="0.25">
      <c r="B79" s="272"/>
      <c r="C79" s="273"/>
      <c r="D79" s="268"/>
      <c r="E79" s="271"/>
      <c r="F79" s="259">
        <f t="shared" si="3"/>
        <v>0</v>
      </c>
    </row>
    <row r="80" spans="2:6" x14ac:dyDescent="0.25">
      <c r="B80" s="272"/>
      <c r="C80" s="273"/>
      <c r="D80" s="268"/>
      <c r="E80" s="271"/>
      <c r="F80" s="259">
        <f t="shared" si="3"/>
        <v>0</v>
      </c>
    </row>
    <row r="81" spans="2:6" x14ac:dyDescent="0.25">
      <c r="B81" s="272"/>
      <c r="C81" s="273"/>
      <c r="D81" s="268"/>
      <c r="E81" s="271"/>
      <c r="F81" s="259">
        <f t="shared" si="3"/>
        <v>0</v>
      </c>
    </row>
    <row r="82" spans="2:6" x14ac:dyDescent="0.25">
      <c r="B82" s="272"/>
      <c r="C82" s="273"/>
      <c r="D82" s="268"/>
      <c r="E82" s="271"/>
      <c r="F82" s="259">
        <f t="shared" si="3"/>
        <v>0</v>
      </c>
    </row>
    <row r="83" spans="2:6" x14ac:dyDescent="0.25">
      <c r="B83" s="272"/>
      <c r="C83" s="273"/>
      <c r="D83" s="268"/>
      <c r="E83" s="271"/>
      <c r="F83" s="259">
        <f t="shared" si="3"/>
        <v>0</v>
      </c>
    </row>
    <row r="84" spans="2:6" x14ac:dyDescent="0.25">
      <c r="B84" s="272"/>
      <c r="C84" s="273"/>
      <c r="D84" s="268"/>
      <c r="E84" s="271"/>
      <c r="F84" s="259">
        <f t="shared" si="3"/>
        <v>0</v>
      </c>
    </row>
    <row r="85" spans="2:6" x14ac:dyDescent="0.25">
      <c r="B85" s="272"/>
      <c r="C85" s="273"/>
      <c r="D85" s="268"/>
      <c r="E85" s="271"/>
      <c r="F85" s="259">
        <f t="shared" si="3"/>
        <v>0</v>
      </c>
    </row>
    <row r="86" spans="2:6" x14ac:dyDescent="0.25">
      <c r="B86" s="272"/>
      <c r="C86" s="273"/>
      <c r="D86" s="268"/>
      <c r="E86" s="271"/>
      <c r="F86" s="259">
        <f t="shared" si="3"/>
        <v>0</v>
      </c>
    </row>
    <row r="87" spans="2:6" x14ac:dyDescent="0.25">
      <c r="B87" s="272"/>
      <c r="C87" s="273"/>
      <c r="D87" s="268"/>
      <c r="E87" s="271"/>
      <c r="F87" s="259">
        <f t="shared" si="3"/>
        <v>0</v>
      </c>
    </row>
    <row r="88" spans="2:6" x14ac:dyDescent="0.25">
      <c r="B88" s="272"/>
      <c r="C88" s="273"/>
      <c r="D88" s="268"/>
      <c r="E88" s="271"/>
      <c r="F88" s="259">
        <f t="shared" si="3"/>
        <v>0</v>
      </c>
    </row>
    <row r="89" spans="2:6" x14ac:dyDescent="0.25">
      <c r="B89" s="272"/>
      <c r="C89" s="273"/>
      <c r="D89" s="268"/>
      <c r="E89" s="271"/>
      <c r="F89" s="259">
        <f t="shared" si="3"/>
        <v>0</v>
      </c>
    </row>
    <row r="90" spans="2:6" ht="15.75" thickBot="1" x14ac:dyDescent="0.3">
      <c r="B90" s="611" t="s">
        <v>289</v>
      </c>
      <c r="C90" s="612"/>
      <c r="D90" s="612"/>
      <c r="E90" s="613"/>
      <c r="F90" s="274">
        <f>SUM(F78:F89)</f>
        <v>57242</v>
      </c>
    </row>
    <row r="91" spans="2:6" x14ac:dyDescent="0.25">
      <c r="B91" s="594" t="s">
        <v>290</v>
      </c>
      <c r="C91" s="595"/>
      <c r="D91" s="595"/>
      <c r="E91" s="595"/>
      <c r="F91" s="596"/>
    </row>
    <row r="92" spans="2:6" x14ac:dyDescent="0.25">
      <c r="B92" s="272" t="str">
        <f>CUADRILLAS!A103</f>
        <v>Cargue Manual-Transporte-Botada</v>
      </c>
      <c r="C92" s="273" t="s">
        <v>117</v>
      </c>
      <c r="D92" s="275">
        <v>1.3</v>
      </c>
      <c r="E92" s="276">
        <f>CUADRILLAS!B103</f>
        <v>58198</v>
      </c>
      <c r="F92" s="259">
        <f>D92*E92</f>
        <v>75657.400000000009</v>
      </c>
    </row>
    <row r="93" spans="2:6" x14ac:dyDescent="0.25">
      <c r="B93" s="277" t="s">
        <v>879</v>
      </c>
      <c r="C93" s="278" t="s">
        <v>117</v>
      </c>
      <c r="D93" s="279">
        <v>1.3</v>
      </c>
      <c r="E93" s="280">
        <v>15000</v>
      </c>
      <c r="F93" s="259">
        <f>D93*E93</f>
        <v>19500</v>
      </c>
    </row>
    <row r="94" spans="2:6" x14ac:dyDescent="0.25">
      <c r="B94" s="277"/>
      <c r="C94" s="278"/>
      <c r="D94" s="279"/>
      <c r="E94" s="280"/>
      <c r="F94" s="259">
        <f>D94*E94</f>
        <v>0</v>
      </c>
    </row>
    <row r="95" spans="2:6" ht="15.75" thickBot="1" x14ac:dyDescent="0.3">
      <c r="B95" s="611" t="s">
        <v>291</v>
      </c>
      <c r="C95" s="612"/>
      <c r="D95" s="612"/>
      <c r="E95" s="613"/>
      <c r="F95" s="285">
        <f>SUM(F92:F94)</f>
        <v>95157.400000000009</v>
      </c>
    </row>
    <row r="96" spans="2:6" ht="15.75" thickBot="1" x14ac:dyDescent="0.3">
      <c r="B96" s="600" t="s">
        <v>282</v>
      </c>
      <c r="C96" s="601"/>
      <c r="D96" s="601"/>
      <c r="E96" s="601"/>
      <c r="F96" s="499">
        <f>ROUND(F67+F73+F76+F90+F95,0)</f>
        <v>315915</v>
      </c>
    </row>
    <row r="97" spans="2:6" ht="15.75" thickBot="1" x14ac:dyDescent="0.3"/>
    <row r="98" spans="2:6" ht="15.75" thickBot="1" x14ac:dyDescent="0.3">
      <c r="B98" s="602" t="s">
        <v>276</v>
      </c>
      <c r="C98" s="603"/>
      <c r="D98" s="603"/>
      <c r="E98" s="603"/>
      <c r="F98" s="604"/>
    </row>
    <row r="99" spans="2:6" ht="15.75" thickBot="1" x14ac:dyDescent="0.3">
      <c r="B99" s="605" t="s">
        <v>104</v>
      </c>
      <c r="C99" s="606"/>
      <c r="D99" s="607"/>
      <c r="E99" s="282" t="s">
        <v>105</v>
      </c>
      <c r="F99" s="283" t="s">
        <v>103</v>
      </c>
    </row>
    <row r="100" spans="2:6" ht="73.900000000000006" customHeight="1" thickBot="1" x14ac:dyDescent="0.3">
      <c r="B100" s="608" t="str">
        <f>'PRESUPUESTO CALLE 58 SUR'!B8</f>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
      <c r="C100" s="609"/>
      <c r="D100" s="610"/>
      <c r="E100" s="248" t="str">
        <f>'PRESUPUESTO CALLE 58 SUR'!C8</f>
        <v>m2</v>
      </c>
      <c r="F100" s="448">
        <f>'PRESUPUESTO CALLE 58 SUR'!A8</f>
        <v>1.3</v>
      </c>
    </row>
    <row r="101" spans="2:6" ht="15.75" thickBot="1" x14ac:dyDescent="0.3">
      <c r="B101" s="250" t="s">
        <v>8</v>
      </c>
      <c r="C101" s="251" t="s">
        <v>9</v>
      </c>
      <c r="D101" s="252" t="s">
        <v>10</v>
      </c>
      <c r="E101" s="253" t="s">
        <v>283</v>
      </c>
      <c r="F101" s="254" t="s">
        <v>284</v>
      </c>
    </row>
    <row r="102" spans="2:6" x14ac:dyDescent="0.25">
      <c r="B102" s="594" t="s">
        <v>285</v>
      </c>
      <c r="C102" s="595"/>
      <c r="D102" s="595"/>
      <c r="E102" s="595"/>
      <c r="F102" s="596"/>
    </row>
    <row r="103" spans="2:6" x14ac:dyDescent="0.25">
      <c r="B103" s="255"/>
      <c r="C103" s="256"/>
      <c r="D103" s="257"/>
      <c r="E103" s="258"/>
      <c r="F103" s="259">
        <f t="shared" ref="F103:F114" si="4">D103*E103</f>
        <v>0</v>
      </c>
    </row>
    <row r="104" spans="2:6" x14ac:dyDescent="0.25">
      <c r="B104" s="260"/>
      <c r="C104" s="256"/>
      <c r="D104" s="257"/>
      <c r="E104" s="258"/>
      <c r="F104" s="259">
        <f t="shared" si="4"/>
        <v>0</v>
      </c>
    </row>
    <row r="105" spans="2:6" x14ac:dyDescent="0.25">
      <c r="B105" s="261"/>
      <c r="C105" s="256"/>
      <c r="D105" s="257"/>
      <c r="E105" s="258"/>
      <c r="F105" s="259">
        <f t="shared" si="4"/>
        <v>0</v>
      </c>
    </row>
    <row r="106" spans="2:6" x14ac:dyDescent="0.25">
      <c r="B106" s="261"/>
      <c r="C106" s="256"/>
      <c r="D106" s="257"/>
      <c r="E106" s="258"/>
      <c r="F106" s="259">
        <f t="shared" si="4"/>
        <v>0</v>
      </c>
    </row>
    <row r="107" spans="2:6" x14ac:dyDescent="0.25">
      <c r="B107" s="261"/>
      <c r="C107" s="256"/>
      <c r="D107" s="257"/>
      <c r="E107" s="258"/>
      <c r="F107" s="259">
        <f t="shared" si="4"/>
        <v>0</v>
      </c>
    </row>
    <row r="108" spans="2:6" x14ac:dyDescent="0.25">
      <c r="B108" s="261"/>
      <c r="C108" s="256"/>
      <c r="D108" s="257"/>
      <c r="E108" s="258"/>
      <c r="F108" s="259">
        <f t="shared" si="4"/>
        <v>0</v>
      </c>
    </row>
    <row r="109" spans="2:6" x14ac:dyDescent="0.25">
      <c r="B109" s="261"/>
      <c r="C109" s="256"/>
      <c r="D109" s="257"/>
      <c r="E109" s="258"/>
      <c r="F109" s="259">
        <f t="shared" si="4"/>
        <v>0</v>
      </c>
    </row>
    <row r="110" spans="2:6" x14ac:dyDescent="0.25">
      <c r="B110" s="261"/>
      <c r="C110" s="256"/>
      <c r="D110" s="257"/>
      <c r="E110" s="258"/>
      <c r="F110" s="259">
        <f t="shared" si="4"/>
        <v>0</v>
      </c>
    </row>
    <row r="111" spans="2:6" x14ac:dyDescent="0.25">
      <c r="B111" s="261"/>
      <c r="C111" s="256"/>
      <c r="D111" s="257"/>
      <c r="E111" s="258"/>
      <c r="F111" s="259">
        <f t="shared" si="4"/>
        <v>0</v>
      </c>
    </row>
    <row r="112" spans="2:6" x14ac:dyDescent="0.25">
      <c r="B112" s="261"/>
      <c r="C112" s="256"/>
      <c r="D112" s="257"/>
      <c r="E112" s="258"/>
      <c r="F112" s="259">
        <f t="shared" si="4"/>
        <v>0</v>
      </c>
    </row>
    <row r="113" spans="2:6" x14ac:dyDescent="0.25">
      <c r="B113" s="261"/>
      <c r="C113" s="256"/>
      <c r="D113" s="257"/>
      <c r="E113" s="258"/>
      <c r="F113" s="259">
        <f t="shared" si="4"/>
        <v>0</v>
      </c>
    </row>
    <row r="114" spans="2:6" x14ac:dyDescent="0.25">
      <c r="B114" s="262"/>
      <c r="C114" s="263"/>
      <c r="D114" s="264"/>
      <c r="E114" s="265"/>
      <c r="F114" s="259">
        <f t="shared" si="4"/>
        <v>0</v>
      </c>
    </row>
    <row r="115" spans="2:6" ht="15.75" thickBot="1" x14ac:dyDescent="0.3">
      <c r="B115" s="611" t="s">
        <v>286</v>
      </c>
      <c r="C115" s="612"/>
      <c r="D115" s="612"/>
      <c r="E115" s="613"/>
      <c r="F115" s="284">
        <f>SUM(F103:F114)</f>
        <v>0</v>
      </c>
    </row>
    <row r="116" spans="2:6" x14ac:dyDescent="0.25">
      <c r="B116" s="594" t="s">
        <v>277</v>
      </c>
      <c r="C116" s="595"/>
      <c r="D116" s="595"/>
      <c r="E116" s="595"/>
      <c r="F116" s="596"/>
    </row>
    <row r="117" spans="2:6" x14ac:dyDescent="0.25">
      <c r="B117" s="266" t="str">
        <f>CUADRILLAS!A87</f>
        <v>Cuadrilla labores varias (1of + 2ay)</v>
      </c>
      <c r="C117" s="267" t="s">
        <v>110</v>
      </c>
      <c r="D117" s="268">
        <v>7.3591036460601889E-2</v>
      </c>
      <c r="E117" s="269">
        <f>CUADRILLAS!B87</f>
        <v>278637</v>
      </c>
      <c r="F117" s="270">
        <f>D117*E117</f>
        <v>20505.185626272727</v>
      </c>
    </row>
    <row r="118" spans="2:6" x14ac:dyDescent="0.25">
      <c r="B118" s="266"/>
      <c r="C118" s="267"/>
      <c r="D118" s="268"/>
      <c r="E118" s="269"/>
      <c r="F118" s="270">
        <f>D118*E118</f>
        <v>0</v>
      </c>
    </row>
    <row r="119" spans="2:6" x14ac:dyDescent="0.25">
      <c r="B119" s="266"/>
      <c r="C119" s="267"/>
      <c r="D119" s="268"/>
      <c r="E119" s="271"/>
      <c r="F119" s="270">
        <f>D119*E119</f>
        <v>0</v>
      </c>
    </row>
    <row r="120" spans="2:6" x14ac:dyDescent="0.25">
      <c r="B120" s="272"/>
      <c r="C120" s="273"/>
      <c r="D120" s="268"/>
      <c r="E120" s="271"/>
      <c r="F120" s="270">
        <f>D120*E120</f>
        <v>0</v>
      </c>
    </row>
    <row r="121" spans="2:6" ht="15.75" thickBot="1" x14ac:dyDescent="0.3">
      <c r="B121" s="611" t="s">
        <v>287</v>
      </c>
      <c r="C121" s="612"/>
      <c r="D121" s="612"/>
      <c r="E121" s="613"/>
      <c r="F121" s="274">
        <f>SUM(F117:F120)</f>
        <v>20505.185626272727</v>
      </c>
    </row>
    <row r="122" spans="2:6" x14ac:dyDescent="0.25">
      <c r="B122" s="594" t="s">
        <v>278</v>
      </c>
      <c r="C122" s="595"/>
      <c r="D122" s="595"/>
      <c r="E122" s="595"/>
      <c r="F122" s="596"/>
    </row>
    <row r="123" spans="2:6" x14ac:dyDescent="0.25">
      <c r="B123" s="272" t="s">
        <v>279</v>
      </c>
      <c r="C123" s="273" t="s">
        <v>280</v>
      </c>
      <c r="D123" s="268">
        <v>0.05</v>
      </c>
      <c r="E123" s="271">
        <f>F121</f>
        <v>20505.185626272727</v>
      </c>
      <c r="F123" s="270">
        <f>D123*E123</f>
        <v>1025.2592813136364</v>
      </c>
    </row>
    <row r="124" spans="2:6" ht="15.75" thickBot="1" x14ac:dyDescent="0.3">
      <c r="B124" s="611" t="s">
        <v>288</v>
      </c>
      <c r="C124" s="612"/>
      <c r="D124" s="612"/>
      <c r="E124" s="613"/>
      <c r="F124" s="274">
        <f>SUM(F123)</f>
        <v>1025.2592813136364</v>
      </c>
    </row>
    <row r="125" spans="2:6" x14ac:dyDescent="0.25">
      <c r="B125" s="594" t="s">
        <v>281</v>
      </c>
      <c r="C125" s="595"/>
      <c r="D125" s="595"/>
      <c r="E125" s="595"/>
      <c r="F125" s="596"/>
    </row>
    <row r="126" spans="2:6" x14ac:dyDescent="0.25">
      <c r="B126" s="272" t="str">
        <f>INSUMOS!B231</f>
        <v>Compresor para demolición 1 martillo + transporte</v>
      </c>
      <c r="C126" s="273" t="s">
        <v>599</v>
      </c>
      <c r="D126" s="268">
        <v>0.08</v>
      </c>
      <c r="E126" s="271">
        <f>INSUMOS!D231</f>
        <v>68500</v>
      </c>
      <c r="F126" s="259">
        <f t="shared" ref="F126:F137" si="5">D126*E126</f>
        <v>5480</v>
      </c>
    </row>
    <row r="127" spans="2:6" x14ac:dyDescent="0.25">
      <c r="B127" s="272" t="str">
        <f>INSUMOS!B284</f>
        <v>Retroexcavadora sobre llantas New Holland LB75</v>
      </c>
      <c r="C127" s="273" t="s">
        <v>599</v>
      </c>
      <c r="D127" s="268">
        <f>+D126</f>
        <v>0.08</v>
      </c>
      <c r="E127" s="271">
        <f>INSUMOS!D284</f>
        <v>95000</v>
      </c>
      <c r="F127" s="259">
        <f t="shared" si="5"/>
        <v>7600</v>
      </c>
    </row>
    <row r="128" spans="2:6" x14ac:dyDescent="0.25">
      <c r="B128" s="272" t="str">
        <f>INSUMOS!B379</f>
        <v>Cortadora DE Pavimento de disco + operario</v>
      </c>
      <c r="C128" s="273" t="s">
        <v>117</v>
      </c>
      <c r="D128" s="268">
        <v>0.5</v>
      </c>
      <c r="E128" s="271">
        <f>INSUMOS!D379</f>
        <v>13566</v>
      </c>
      <c r="F128" s="259">
        <v>0</v>
      </c>
    </row>
    <row r="129" spans="2:6" x14ac:dyDescent="0.25">
      <c r="B129" s="272"/>
      <c r="C129" s="273"/>
      <c r="D129" s="268"/>
      <c r="E129" s="271"/>
      <c r="F129" s="259">
        <f t="shared" si="5"/>
        <v>0</v>
      </c>
    </row>
    <row r="130" spans="2:6" x14ac:dyDescent="0.25">
      <c r="B130" s="272"/>
      <c r="C130" s="273"/>
      <c r="D130" s="268"/>
      <c r="E130" s="271"/>
      <c r="F130" s="259">
        <f t="shared" si="5"/>
        <v>0</v>
      </c>
    </row>
    <row r="131" spans="2:6" x14ac:dyDescent="0.25">
      <c r="B131" s="272"/>
      <c r="C131" s="273"/>
      <c r="D131" s="268"/>
      <c r="E131" s="271"/>
      <c r="F131" s="259">
        <f t="shared" si="5"/>
        <v>0</v>
      </c>
    </row>
    <row r="132" spans="2:6" x14ac:dyDescent="0.25">
      <c r="B132" s="272"/>
      <c r="C132" s="273"/>
      <c r="D132" s="268"/>
      <c r="E132" s="271"/>
      <c r="F132" s="259">
        <f t="shared" si="5"/>
        <v>0</v>
      </c>
    </row>
    <row r="133" spans="2:6" x14ac:dyDescent="0.25">
      <c r="B133" s="272"/>
      <c r="C133" s="273"/>
      <c r="D133" s="268"/>
      <c r="E133" s="271"/>
      <c r="F133" s="259">
        <f t="shared" si="5"/>
        <v>0</v>
      </c>
    </row>
    <row r="134" spans="2:6" x14ac:dyDescent="0.25">
      <c r="B134" s="272"/>
      <c r="C134" s="273"/>
      <c r="D134" s="268"/>
      <c r="E134" s="271"/>
      <c r="F134" s="259">
        <f t="shared" si="5"/>
        <v>0</v>
      </c>
    </row>
    <row r="135" spans="2:6" x14ac:dyDescent="0.25">
      <c r="B135" s="272"/>
      <c r="C135" s="273"/>
      <c r="D135" s="268"/>
      <c r="E135" s="271"/>
      <c r="F135" s="259">
        <f t="shared" si="5"/>
        <v>0</v>
      </c>
    </row>
    <row r="136" spans="2:6" x14ac:dyDescent="0.25">
      <c r="B136" s="272"/>
      <c r="C136" s="273"/>
      <c r="D136" s="268"/>
      <c r="E136" s="271"/>
      <c r="F136" s="259">
        <f t="shared" si="5"/>
        <v>0</v>
      </c>
    </row>
    <row r="137" spans="2:6" x14ac:dyDescent="0.25">
      <c r="B137" s="272"/>
      <c r="C137" s="273"/>
      <c r="D137" s="268"/>
      <c r="E137" s="271"/>
      <c r="F137" s="259">
        <f t="shared" si="5"/>
        <v>0</v>
      </c>
    </row>
    <row r="138" spans="2:6" ht="15.75" thickBot="1" x14ac:dyDescent="0.3">
      <c r="B138" s="611" t="s">
        <v>289</v>
      </c>
      <c r="C138" s="612"/>
      <c r="D138" s="612"/>
      <c r="E138" s="613"/>
      <c r="F138" s="274">
        <f>SUM(F126:F137)</f>
        <v>13080</v>
      </c>
    </row>
    <row r="139" spans="2:6" x14ac:dyDescent="0.25">
      <c r="B139" s="594" t="s">
        <v>290</v>
      </c>
      <c r="C139" s="595"/>
      <c r="D139" s="595"/>
      <c r="E139" s="595"/>
      <c r="F139" s="596"/>
    </row>
    <row r="140" spans="2:6" x14ac:dyDescent="0.25">
      <c r="B140" s="272" t="str">
        <f>CUADRILLAS!A103</f>
        <v>Cargue Manual-Transporte-Botada</v>
      </c>
      <c r="C140" s="273" t="s">
        <v>117</v>
      </c>
      <c r="D140" s="275">
        <v>0.14000000000000001</v>
      </c>
      <c r="E140" s="276">
        <f>CUADRILLAS!B103</f>
        <v>58198</v>
      </c>
      <c r="F140" s="259">
        <f>D140*E140</f>
        <v>8147.7200000000012</v>
      </c>
    </row>
    <row r="141" spans="2:6" x14ac:dyDescent="0.25">
      <c r="B141" s="277" t="s">
        <v>881</v>
      </c>
      <c r="C141" s="278" t="s">
        <v>117</v>
      </c>
      <c r="D141" s="279">
        <f>+D140</f>
        <v>0.14000000000000001</v>
      </c>
      <c r="E141" s="280">
        <v>15000</v>
      </c>
      <c r="F141" s="259">
        <f>D141*E141</f>
        <v>2100</v>
      </c>
    </row>
    <row r="142" spans="2:6" x14ac:dyDescent="0.25">
      <c r="B142" s="277"/>
      <c r="C142" s="278"/>
      <c r="D142" s="279"/>
      <c r="E142" s="280"/>
      <c r="F142" s="259">
        <f>D142*E142</f>
        <v>0</v>
      </c>
    </row>
    <row r="143" spans="2:6" ht="15.75" thickBot="1" x14ac:dyDescent="0.3">
      <c r="B143" s="611" t="s">
        <v>291</v>
      </c>
      <c r="C143" s="612"/>
      <c r="D143" s="612"/>
      <c r="E143" s="613"/>
      <c r="F143" s="285">
        <f>SUM(F140:F142)</f>
        <v>10247.720000000001</v>
      </c>
    </row>
    <row r="144" spans="2:6" ht="15.75" thickBot="1" x14ac:dyDescent="0.3">
      <c r="B144" s="600" t="s">
        <v>282</v>
      </c>
      <c r="C144" s="601"/>
      <c r="D144" s="601"/>
      <c r="E144" s="601"/>
      <c r="F144" s="286">
        <f>ROUND(F115+F121+F124+F138+F143,0)</f>
        <v>44858</v>
      </c>
    </row>
    <row r="145" spans="2:6" ht="15.75" thickBot="1" x14ac:dyDescent="0.3"/>
    <row r="146" spans="2:6" ht="15.75" thickBot="1" x14ac:dyDescent="0.3">
      <c r="B146" s="602" t="s">
        <v>276</v>
      </c>
      <c r="C146" s="603"/>
      <c r="D146" s="603"/>
      <c r="E146" s="603"/>
      <c r="F146" s="604"/>
    </row>
    <row r="147" spans="2:6" ht="15.75" thickBot="1" x14ac:dyDescent="0.3">
      <c r="B147" s="605" t="s">
        <v>104</v>
      </c>
      <c r="C147" s="606"/>
      <c r="D147" s="607"/>
      <c r="E147" s="282" t="s">
        <v>105</v>
      </c>
      <c r="F147" s="283" t="s">
        <v>103</v>
      </c>
    </row>
    <row r="148" spans="2:6" ht="58.9" customHeight="1" thickBot="1" x14ac:dyDescent="0.3">
      <c r="B148" s="608" t="str">
        <f>'PRESUPUESTO CALLE 58 SUR'!B9</f>
        <v>EXCAVACIÓN MANUAL de material heterogéneo HASTA 3 m., bajo cualquier grado de humedad. Incluye: roca descompuesta, bolas de roca de volumen inferior a 0.35 m³., el cargue, transporte interno de las excavaciones en los sitios donde lo indique la interventoría y su medida será en el sitio. La botada y el entibado, se pagaran por su respectivo Ítem.</v>
      </c>
      <c r="C148" s="609"/>
      <c r="D148" s="610"/>
      <c r="E148" s="248" t="str">
        <f>'PRESUPUESTO CALLE 58 SUR'!C9</f>
        <v>m3</v>
      </c>
      <c r="F148" s="448">
        <f>'PRESUPUESTO CALLE 58 SUR'!A9</f>
        <v>1.4</v>
      </c>
    </row>
    <row r="149" spans="2:6" ht="15.75" thickBot="1" x14ac:dyDescent="0.3">
      <c r="B149" s="250" t="s">
        <v>8</v>
      </c>
      <c r="C149" s="251" t="s">
        <v>9</v>
      </c>
      <c r="D149" s="252" t="s">
        <v>10</v>
      </c>
      <c r="E149" s="253" t="s">
        <v>283</v>
      </c>
      <c r="F149" s="254" t="s">
        <v>284</v>
      </c>
    </row>
    <row r="150" spans="2:6" x14ac:dyDescent="0.25">
      <c r="B150" s="594" t="s">
        <v>285</v>
      </c>
      <c r="C150" s="595"/>
      <c r="D150" s="595"/>
      <c r="E150" s="595"/>
      <c r="F150" s="596"/>
    </row>
    <row r="151" spans="2:6" x14ac:dyDescent="0.25">
      <c r="B151" s="255"/>
      <c r="C151" s="256"/>
      <c r="D151" s="257"/>
      <c r="E151" s="258"/>
      <c r="F151" s="259">
        <f t="shared" ref="F151:F162" si="6">D151*E151</f>
        <v>0</v>
      </c>
    </row>
    <row r="152" spans="2:6" x14ac:dyDescent="0.25">
      <c r="B152" s="260"/>
      <c r="C152" s="256"/>
      <c r="D152" s="257"/>
      <c r="E152" s="258"/>
      <c r="F152" s="259">
        <f t="shared" si="6"/>
        <v>0</v>
      </c>
    </row>
    <row r="153" spans="2:6" x14ac:dyDescent="0.25">
      <c r="B153" s="261"/>
      <c r="C153" s="256"/>
      <c r="D153" s="257"/>
      <c r="E153" s="258"/>
      <c r="F153" s="259">
        <f t="shared" si="6"/>
        <v>0</v>
      </c>
    </row>
    <row r="154" spans="2:6" x14ac:dyDescent="0.25">
      <c r="B154" s="261"/>
      <c r="C154" s="256"/>
      <c r="D154" s="257"/>
      <c r="E154" s="258"/>
      <c r="F154" s="259">
        <f t="shared" si="6"/>
        <v>0</v>
      </c>
    </row>
    <row r="155" spans="2:6" x14ac:dyDescent="0.25">
      <c r="B155" s="261"/>
      <c r="C155" s="256"/>
      <c r="D155" s="257"/>
      <c r="E155" s="258"/>
      <c r="F155" s="259">
        <f t="shared" si="6"/>
        <v>0</v>
      </c>
    </row>
    <row r="156" spans="2:6" x14ac:dyDescent="0.25">
      <c r="B156" s="261"/>
      <c r="C156" s="256"/>
      <c r="D156" s="257"/>
      <c r="E156" s="258"/>
      <c r="F156" s="259">
        <f t="shared" si="6"/>
        <v>0</v>
      </c>
    </row>
    <row r="157" spans="2:6" x14ac:dyDescent="0.25">
      <c r="B157" s="261"/>
      <c r="C157" s="256"/>
      <c r="D157" s="257"/>
      <c r="E157" s="258"/>
      <c r="F157" s="259">
        <f t="shared" si="6"/>
        <v>0</v>
      </c>
    </row>
    <row r="158" spans="2:6" x14ac:dyDescent="0.25">
      <c r="B158" s="261"/>
      <c r="C158" s="256"/>
      <c r="D158" s="257"/>
      <c r="E158" s="258"/>
      <c r="F158" s="259">
        <f t="shared" si="6"/>
        <v>0</v>
      </c>
    </row>
    <row r="159" spans="2:6" x14ac:dyDescent="0.25">
      <c r="B159" s="261"/>
      <c r="C159" s="256"/>
      <c r="D159" s="257"/>
      <c r="E159" s="258"/>
      <c r="F159" s="259">
        <f t="shared" si="6"/>
        <v>0</v>
      </c>
    </row>
    <row r="160" spans="2:6" x14ac:dyDescent="0.25">
      <c r="B160" s="261"/>
      <c r="C160" s="256"/>
      <c r="D160" s="257"/>
      <c r="E160" s="258"/>
      <c r="F160" s="259">
        <f t="shared" si="6"/>
        <v>0</v>
      </c>
    </row>
    <row r="161" spans="2:6" x14ac:dyDescent="0.25">
      <c r="B161" s="261"/>
      <c r="C161" s="256"/>
      <c r="D161" s="257"/>
      <c r="E161" s="258"/>
      <c r="F161" s="259">
        <f t="shared" si="6"/>
        <v>0</v>
      </c>
    </row>
    <row r="162" spans="2:6" x14ac:dyDescent="0.25">
      <c r="B162" s="262"/>
      <c r="C162" s="263"/>
      <c r="D162" s="264"/>
      <c r="E162" s="265"/>
      <c r="F162" s="259">
        <f t="shared" si="6"/>
        <v>0</v>
      </c>
    </row>
    <row r="163" spans="2:6" ht="15.75" thickBot="1" x14ac:dyDescent="0.3">
      <c r="B163" s="611" t="s">
        <v>286</v>
      </c>
      <c r="C163" s="612"/>
      <c r="D163" s="612"/>
      <c r="E163" s="613"/>
      <c r="F163" s="284">
        <f>SUM(F151:F162)</f>
        <v>0</v>
      </c>
    </row>
    <row r="164" spans="2:6" x14ac:dyDescent="0.25">
      <c r="B164" s="594" t="s">
        <v>277</v>
      </c>
      <c r="C164" s="595"/>
      <c r="D164" s="595"/>
      <c r="E164" s="595"/>
      <c r="F164" s="596"/>
    </row>
    <row r="165" spans="2:6" x14ac:dyDescent="0.25">
      <c r="B165" s="266" t="str">
        <f>CUADRILLAS!A80</f>
        <v>1Ay Raso</v>
      </c>
      <c r="C165" s="267" t="s">
        <v>110</v>
      </c>
      <c r="D165" s="268">
        <v>0.3</v>
      </c>
      <c r="E165" s="269">
        <f>CUADRILLAS!B80</f>
        <v>70786</v>
      </c>
      <c r="F165" s="270">
        <f>D165*E165</f>
        <v>21235.8</v>
      </c>
    </row>
    <row r="166" spans="2:6" x14ac:dyDescent="0.25">
      <c r="B166" s="266"/>
      <c r="C166" s="267"/>
      <c r="D166" s="268"/>
      <c r="E166" s="269"/>
      <c r="F166" s="270">
        <f>D166*E166</f>
        <v>0</v>
      </c>
    </row>
    <row r="167" spans="2:6" x14ac:dyDescent="0.25">
      <c r="B167" s="266"/>
      <c r="C167" s="267"/>
      <c r="D167" s="268"/>
      <c r="E167" s="271"/>
      <c r="F167" s="270">
        <f>D167*E167</f>
        <v>0</v>
      </c>
    </row>
    <row r="168" spans="2:6" x14ac:dyDescent="0.25">
      <c r="B168" s="272"/>
      <c r="C168" s="273"/>
      <c r="D168" s="268"/>
      <c r="E168" s="271"/>
      <c r="F168" s="270">
        <f>D168*E168</f>
        <v>0</v>
      </c>
    </row>
    <row r="169" spans="2:6" ht="15.75" thickBot="1" x14ac:dyDescent="0.3">
      <c r="B169" s="611" t="s">
        <v>287</v>
      </c>
      <c r="C169" s="612"/>
      <c r="D169" s="612"/>
      <c r="E169" s="613"/>
      <c r="F169" s="274">
        <f>SUM(F165:F168)</f>
        <v>21235.8</v>
      </c>
    </row>
    <row r="170" spans="2:6" x14ac:dyDescent="0.25">
      <c r="B170" s="594" t="s">
        <v>278</v>
      </c>
      <c r="C170" s="595"/>
      <c r="D170" s="595"/>
      <c r="E170" s="595"/>
      <c r="F170" s="596"/>
    </row>
    <row r="171" spans="2:6" x14ac:dyDescent="0.25">
      <c r="B171" s="272" t="s">
        <v>279</v>
      </c>
      <c r="C171" s="273" t="s">
        <v>280</v>
      </c>
      <c r="D171" s="268">
        <v>0.05</v>
      </c>
      <c r="E171" s="271">
        <f>F169</f>
        <v>21235.8</v>
      </c>
      <c r="F171" s="270">
        <f>D171*E171</f>
        <v>1061.79</v>
      </c>
    </row>
    <row r="172" spans="2:6" ht="15.75" thickBot="1" x14ac:dyDescent="0.3">
      <c r="B172" s="611" t="s">
        <v>288</v>
      </c>
      <c r="C172" s="612"/>
      <c r="D172" s="612"/>
      <c r="E172" s="613"/>
      <c r="F172" s="274">
        <f>SUM(F171)</f>
        <v>1061.79</v>
      </c>
    </row>
    <row r="173" spans="2:6" x14ac:dyDescent="0.25">
      <c r="B173" s="594" t="s">
        <v>281</v>
      </c>
      <c r="C173" s="595"/>
      <c r="D173" s="595"/>
      <c r="E173" s="595"/>
      <c r="F173" s="596"/>
    </row>
    <row r="174" spans="2:6" x14ac:dyDescent="0.25">
      <c r="B174" s="272" t="s">
        <v>648</v>
      </c>
      <c r="C174" s="273" t="s">
        <v>599</v>
      </c>
      <c r="D174" s="268">
        <v>0.14000000000000001</v>
      </c>
      <c r="E174" s="271">
        <v>95000</v>
      </c>
      <c r="F174" s="259">
        <v>0</v>
      </c>
    </row>
    <row r="175" spans="2:6" x14ac:dyDescent="0.25">
      <c r="B175" s="272" t="s">
        <v>583</v>
      </c>
      <c r="C175" s="273" t="s">
        <v>110</v>
      </c>
      <c r="D175" s="268">
        <v>0.14000000000000001</v>
      </c>
      <c r="E175" s="271">
        <v>30345</v>
      </c>
      <c r="F175" s="259">
        <f t="shared" ref="F175:F185" si="7">D175*E175</f>
        <v>4248.3</v>
      </c>
    </row>
    <row r="176" spans="2:6" ht="22.5" x14ac:dyDescent="0.25">
      <c r="B176" s="272" t="s">
        <v>585</v>
      </c>
      <c r="C176" s="273" t="s">
        <v>110</v>
      </c>
      <c r="D176" s="268">
        <v>0.14000000000000001</v>
      </c>
      <c r="E176" s="271">
        <v>19637</v>
      </c>
      <c r="F176" s="259">
        <f t="shared" si="7"/>
        <v>2749.1800000000003</v>
      </c>
    </row>
    <row r="177" spans="2:6" x14ac:dyDescent="0.25">
      <c r="B177" s="272" t="str">
        <f>INSUMOS!B219</f>
        <v xml:space="preserve">Extensión eléctrica encauchetada (20m) </v>
      </c>
      <c r="C177" s="273" t="s">
        <v>110</v>
      </c>
      <c r="D177" s="268">
        <v>0.14000000000000001</v>
      </c>
      <c r="E177" s="271">
        <f>INSUMOS!E219</f>
        <v>4379.2</v>
      </c>
      <c r="F177" s="259">
        <f t="shared" si="7"/>
        <v>613.08800000000008</v>
      </c>
    </row>
    <row r="178" spans="2:6" x14ac:dyDescent="0.25">
      <c r="B178" s="272" t="str">
        <f>INSUMOS!B233</f>
        <v>Planta eléctrica Diesel 6.5 Kva</v>
      </c>
      <c r="C178" s="273" t="s">
        <v>110</v>
      </c>
      <c r="D178" s="268">
        <v>0.14000000000000001</v>
      </c>
      <c r="E178" s="271">
        <f>INSUMOS!E233</f>
        <v>57120</v>
      </c>
      <c r="F178" s="259">
        <f t="shared" si="7"/>
        <v>7996.8000000000011</v>
      </c>
    </row>
    <row r="179" spans="2:6" x14ac:dyDescent="0.25">
      <c r="B179" s="272"/>
      <c r="C179" s="273"/>
      <c r="D179" s="268"/>
      <c r="E179" s="271"/>
      <c r="F179" s="259">
        <f t="shared" si="7"/>
        <v>0</v>
      </c>
    </row>
    <row r="180" spans="2:6" x14ac:dyDescent="0.25">
      <c r="B180" s="272"/>
      <c r="C180" s="273"/>
      <c r="D180" s="268"/>
      <c r="E180" s="271"/>
      <c r="F180" s="259">
        <f t="shared" si="7"/>
        <v>0</v>
      </c>
    </row>
    <row r="181" spans="2:6" x14ac:dyDescent="0.25">
      <c r="B181" s="272"/>
      <c r="C181" s="273"/>
      <c r="D181" s="268"/>
      <c r="E181" s="271"/>
      <c r="F181" s="259">
        <f t="shared" si="7"/>
        <v>0</v>
      </c>
    </row>
    <row r="182" spans="2:6" x14ac:dyDescent="0.25">
      <c r="B182" s="272"/>
      <c r="C182" s="273"/>
      <c r="D182" s="268"/>
      <c r="E182" s="271"/>
      <c r="F182" s="259">
        <f t="shared" si="7"/>
        <v>0</v>
      </c>
    </row>
    <row r="183" spans="2:6" x14ac:dyDescent="0.25">
      <c r="B183" s="272"/>
      <c r="C183" s="273"/>
      <c r="D183" s="268"/>
      <c r="E183" s="271"/>
      <c r="F183" s="259">
        <f t="shared" si="7"/>
        <v>0</v>
      </c>
    </row>
    <row r="184" spans="2:6" x14ac:dyDescent="0.25">
      <c r="B184" s="272"/>
      <c r="C184" s="273"/>
      <c r="D184" s="268"/>
      <c r="E184" s="271"/>
      <c r="F184" s="259">
        <f t="shared" si="7"/>
        <v>0</v>
      </c>
    </row>
    <row r="185" spans="2:6" x14ac:dyDescent="0.25">
      <c r="B185" s="272"/>
      <c r="C185" s="273"/>
      <c r="D185" s="268"/>
      <c r="E185" s="271"/>
      <c r="F185" s="259">
        <f t="shared" si="7"/>
        <v>0</v>
      </c>
    </row>
    <row r="186" spans="2:6" ht="15.75" thickBot="1" x14ac:dyDescent="0.3">
      <c r="B186" s="611" t="s">
        <v>289</v>
      </c>
      <c r="C186" s="612"/>
      <c r="D186" s="612"/>
      <c r="E186" s="613"/>
      <c r="F186" s="274">
        <f>SUM(F174:F185)</f>
        <v>15607.368000000002</v>
      </c>
    </row>
    <row r="187" spans="2:6" x14ac:dyDescent="0.25">
      <c r="B187" s="594" t="s">
        <v>290</v>
      </c>
      <c r="C187" s="595"/>
      <c r="D187" s="595"/>
      <c r="E187" s="595"/>
      <c r="F187" s="596"/>
    </row>
    <row r="188" spans="2:6" x14ac:dyDescent="0.25">
      <c r="B188" s="272"/>
      <c r="C188" s="273"/>
      <c r="D188" s="275"/>
      <c r="E188" s="276">
        <f>CUADRILLAS!B103</f>
        <v>58198</v>
      </c>
      <c r="F188" s="259">
        <f>D188*E188</f>
        <v>0</v>
      </c>
    </row>
    <row r="189" spans="2:6" x14ac:dyDescent="0.25">
      <c r="B189" s="277" t="s">
        <v>881</v>
      </c>
      <c r="C189" s="278" t="s">
        <v>117</v>
      </c>
      <c r="D189" s="279">
        <v>1.3</v>
      </c>
      <c r="E189" s="280">
        <v>15000</v>
      </c>
      <c r="F189" s="259">
        <f>D189*E189</f>
        <v>19500</v>
      </c>
    </row>
    <row r="190" spans="2:6" x14ac:dyDescent="0.25">
      <c r="B190" s="277"/>
      <c r="C190" s="278"/>
      <c r="D190" s="279"/>
      <c r="E190" s="280"/>
      <c r="F190" s="259">
        <f>D190*E190</f>
        <v>0</v>
      </c>
    </row>
    <row r="191" spans="2:6" ht="15.75" thickBot="1" x14ac:dyDescent="0.3">
      <c r="B191" s="611" t="s">
        <v>291</v>
      </c>
      <c r="C191" s="612"/>
      <c r="D191" s="612"/>
      <c r="E191" s="613"/>
      <c r="F191" s="285">
        <f>SUM(F188:F190)</f>
        <v>19500</v>
      </c>
    </row>
    <row r="192" spans="2:6" ht="15.75" thickBot="1" x14ac:dyDescent="0.3">
      <c r="B192" s="600" t="s">
        <v>282</v>
      </c>
      <c r="C192" s="601"/>
      <c r="D192" s="601"/>
      <c r="E192" s="601"/>
      <c r="F192" s="286">
        <f>ROUND(F163+F169+F172+F186+F191,0)</f>
        <v>57405</v>
      </c>
    </row>
    <row r="193" spans="2:6" ht="15.75" thickBot="1" x14ac:dyDescent="0.3"/>
    <row r="194" spans="2:6" ht="15.75" thickBot="1" x14ac:dyDescent="0.3">
      <c r="B194" s="602" t="s">
        <v>276</v>
      </c>
      <c r="C194" s="603"/>
      <c r="D194" s="603"/>
      <c r="E194" s="603"/>
      <c r="F194" s="604"/>
    </row>
    <row r="195" spans="2:6" ht="15.75" thickBot="1" x14ac:dyDescent="0.3">
      <c r="B195" s="605" t="s">
        <v>104</v>
      </c>
      <c r="C195" s="606"/>
      <c r="D195" s="607"/>
      <c r="E195" s="282" t="s">
        <v>105</v>
      </c>
      <c r="F195" s="283" t="s">
        <v>103</v>
      </c>
    </row>
    <row r="196" spans="2:6" ht="59.45" customHeight="1" thickBot="1" x14ac:dyDescent="0.3">
      <c r="B196" s="608" t="str">
        <f>'PRESUPUESTO CALLE 58 SUR'!B10</f>
        <v>LLENOS EN MATERIAL ESTABILIZADO CON CEMENTO CON MATERIAL TIPO SUB-BASE GRANULAR, compactados mecánicamente. Incluye material de préstamo, 2 sacos de cemento 50 kg por cada m3, transporte interno y todo lo necesario para su correcta compactación. Y su medida será en sitio ya compactado.</v>
      </c>
      <c r="C196" s="609"/>
      <c r="D196" s="610"/>
      <c r="E196" s="248" t="str">
        <f>'PRESUPUESTO CALLE 58 SUR'!C10</f>
        <v>m3</v>
      </c>
      <c r="F196" s="448">
        <f>'PRESUPUESTO CALLE 58 SUR'!A10</f>
        <v>1.5</v>
      </c>
    </row>
    <row r="197" spans="2:6" ht="15.75" thickBot="1" x14ac:dyDescent="0.3">
      <c r="B197" s="250" t="s">
        <v>8</v>
      </c>
      <c r="C197" s="251" t="s">
        <v>9</v>
      </c>
      <c r="D197" s="252" t="s">
        <v>10</v>
      </c>
      <c r="E197" s="253" t="s">
        <v>283</v>
      </c>
      <c r="F197" s="254" t="s">
        <v>284</v>
      </c>
    </row>
    <row r="198" spans="2:6" x14ac:dyDescent="0.25">
      <c r="B198" s="594" t="s">
        <v>285</v>
      </c>
      <c r="C198" s="595"/>
      <c r="D198" s="595"/>
      <c r="E198" s="595"/>
      <c r="F198" s="596"/>
    </row>
    <row r="199" spans="2:6" x14ac:dyDescent="0.25">
      <c r="B199" s="255" t="str">
        <f>SUBANALISIS!H5</f>
        <v>SUB-BASE GRANULAR</v>
      </c>
      <c r="C199" s="256" t="s">
        <v>117</v>
      </c>
      <c r="D199" s="257">
        <v>1.3</v>
      </c>
      <c r="E199" s="258">
        <f>SUBANALISIS!I5</f>
        <v>74970</v>
      </c>
      <c r="F199" s="259">
        <f t="shared" ref="F199:F210" si="8">D199*E199</f>
        <v>97461</v>
      </c>
    </row>
    <row r="200" spans="2:6" x14ac:dyDescent="0.25">
      <c r="B200" s="452" t="str">
        <f>SUBANALISIS!H13</f>
        <v>Cemento 50kg</v>
      </c>
      <c r="C200" s="256" t="s">
        <v>839</v>
      </c>
      <c r="D200" s="257">
        <v>1</v>
      </c>
      <c r="E200" s="258">
        <f>SUBANALISIS!K13</f>
        <v>35000</v>
      </c>
      <c r="F200" s="259">
        <f t="shared" si="8"/>
        <v>35000</v>
      </c>
    </row>
    <row r="201" spans="2:6" x14ac:dyDescent="0.25">
      <c r="B201" s="261"/>
      <c r="C201" s="256"/>
      <c r="D201" s="257"/>
      <c r="E201" s="258"/>
      <c r="F201" s="259">
        <f t="shared" si="8"/>
        <v>0</v>
      </c>
    </row>
    <row r="202" spans="2:6" x14ac:dyDescent="0.25">
      <c r="B202" s="261"/>
      <c r="C202" s="256"/>
      <c r="D202" s="257"/>
      <c r="E202" s="258"/>
      <c r="F202" s="259">
        <f t="shared" si="8"/>
        <v>0</v>
      </c>
    </row>
    <row r="203" spans="2:6" x14ac:dyDescent="0.25">
      <c r="B203" s="261"/>
      <c r="C203" s="256"/>
      <c r="D203" s="257"/>
      <c r="E203" s="258"/>
      <c r="F203" s="259">
        <f t="shared" si="8"/>
        <v>0</v>
      </c>
    </row>
    <row r="204" spans="2:6" x14ac:dyDescent="0.25">
      <c r="B204" s="261"/>
      <c r="C204" s="256"/>
      <c r="D204" s="257"/>
      <c r="E204" s="258"/>
      <c r="F204" s="259">
        <f t="shared" si="8"/>
        <v>0</v>
      </c>
    </row>
    <row r="205" spans="2:6" x14ac:dyDescent="0.25">
      <c r="B205" s="261"/>
      <c r="C205" s="256"/>
      <c r="D205" s="257"/>
      <c r="E205" s="258"/>
      <c r="F205" s="259">
        <f t="shared" si="8"/>
        <v>0</v>
      </c>
    </row>
    <row r="206" spans="2:6" x14ac:dyDescent="0.25">
      <c r="B206" s="261"/>
      <c r="C206" s="256"/>
      <c r="D206" s="257"/>
      <c r="E206" s="258"/>
      <c r="F206" s="259">
        <f t="shared" si="8"/>
        <v>0</v>
      </c>
    </row>
    <row r="207" spans="2:6" x14ac:dyDescent="0.25">
      <c r="B207" s="261"/>
      <c r="C207" s="256"/>
      <c r="D207" s="257"/>
      <c r="E207" s="258"/>
      <c r="F207" s="259">
        <f t="shared" si="8"/>
        <v>0</v>
      </c>
    </row>
    <row r="208" spans="2:6" x14ac:dyDescent="0.25">
      <c r="B208" s="261"/>
      <c r="C208" s="256"/>
      <c r="D208" s="257"/>
      <c r="E208" s="258"/>
      <c r="F208" s="259">
        <f t="shared" si="8"/>
        <v>0</v>
      </c>
    </row>
    <row r="209" spans="2:6" x14ac:dyDescent="0.25">
      <c r="B209" s="261"/>
      <c r="C209" s="256"/>
      <c r="D209" s="257"/>
      <c r="E209" s="258"/>
      <c r="F209" s="259">
        <f t="shared" si="8"/>
        <v>0</v>
      </c>
    </row>
    <row r="210" spans="2:6" x14ac:dyDescent="0.25">
      <c r="B210" s="262"/>
      <c r="C210" s="263"/>
      <c r="D210" s="264"/>
      <c r="E210" s="265"/>
      <c r="F210" s="259">
        <f t="shared" si="8"/>
        <v>0</v>
      </c>
    </row>
    <row r="211" spans="2:6" ht="15.75" thickBot="1" x14ac:dyDescent="0.3">
      <c r="B211" s="611" t="s">
        <v>286</v>
      </c>
      <c r="C211" s="612"/>
      <c r="D211" s="612"/>
      <c r="E211" s="613"/>
      <c r="F211" s="284">
        <f>SUM(F199:F210)</f>
        <v>132461</v>
      </c>
    </row>
    <row r="212" spans="2:6" x14ac:dyDescent="0.25">
      <c r="B212" s="594" t="s">
        <v>277</v>
      </c>
      <c r="C212" s="595"/>
      <c r="D212" s="595"/>
      <c r="E212" s="595"/>
      <c r="F212" s="596"/>
    </row>
    <row r="213" spans="2:6" x14ac:dyDescent="0.25">
      <c r="B213" s="266" t="str">
        <f>CUADRILLAS!A91</f>
        <v>Cuadrilla Exc y Llenos. (1ayE + 2ay)</v>
      </c>
      <c r="C213" s="267" t="s">
        <v>110</v>
      </c>
      <c r="D213" s="268">
        <v>0.12</v>
      </c>
      <c r="E213" s="269">
        <f>CUADRILLAS!B91</f>
        <v>215672</v>
      </c>
      <c r="F213" s="270">
        <f>D213*E213</f>
        <v>25880.639999999999</v>
      </c>
    </row>
    <row r="214" spans="2:6" x14ac:dyDescent="0.25">
      <c r="B214" s="266"/>
      <c r="C214" s="267"/>
      <c r="D214" s="268"/>
      <c r="E214" s="269"/>
      <c r="F214" s="270">
        <f>D214*E214</f>
        <v>0</v>
      </c>
    </row>
    <row r="215" spans="2:6" x14ac:dyDescent="0.25">
      <c r="B215" s="266"/>
      <c r="C215" s="267"/>
      <c r="D215" s="268"/>
      <c r="E215" s="271"/>
      <c r="F215" s="270">
        <f>D215*E215</f>
        <v>0</v>
      </c>
    </row>
    <row r="216" spans="2:6" x14ac:dyDescent="0.25">
      <c r="B216" s="272"/>
      <c r="C216" s="273"/>
      <c r="D216" s="268"/>
      <c r="E216" s="271"/>
      <c r="F216" s="270">
        <f>D216*E216</f>
        <v>0</v>
      </c>
    </row>
    <row r="217" spans="2:6" ht="15.75" thickBot="1" x14ac:dyDescent="0.3">
      <c r="B217" s="611" t="s">
        <v>287</v>
      </c>
      <c r="C217" s="612"/>
      <c r="D217" s="612"/>
      <c r="E217" s="613"/>
      <c r="F217" s="274">
        <f>SUM(F213:F216)</f>
        <v>25880.639999999999</v>
      </c>
    </row>
    <row r="218" spans="2:6" x14ac:dyDescent="0.25">
      <c r="B218" s="594" t="s">
        <v>278</v>
      </c>
      <c r="C218" s="595"/>
      <c r="D218" s="595"/>
      <c r="E218" s="595"/>
      <c r="F218" s="596"/>
    </row>
    <row r="219" spans="2:6" x14ac:dyDescent="0.25">
      <c r="B219" s="272" t="s">
        <v>279</v>
      </c>
      <c r="C219" s="273" t="s">
        <v>280</v>
      </c>
      <c r="D219" s="268">
        <v>0.05</v>
      </c>
      <c r="E219" s="271">
        <f>F217</f>
        <v>25880.639999999999</v>
      </c>
      <c r="F219" s="270">
        <f>D219*E219</f>
        <v>1294.0320000000002</v>
      </c>
    </row>
    <row r="220" spans="2:6" ht="15.75" thickBot="1" x14ac:dyDescent="0.3">
      <c r="B220" s="611" t="s">
        <v>288</v>
      </c>
      <c r="C220" s="612"/>
      <c r="D220" s="612"/>
      <c r="E220" s="613"/>
      <c r="F220" s="274">
        <f>SUM(F219)</f>
        <v>1294.0320000000002</v>
      </c>
    </row>
    <row r="221" spans="2:6" x14ac:dyDescent="0.25">
      <c r="B221" s="594" t="s">
        <v>281</v>
      </c>
      <c r="C221" s="595"/>
      <c r="D221" s="595"/>
      <c r="E221" s="595"/>
      <c r="F221" s="596"/>
    </row>
    <row r="222" spans="2:6" x14ac:dyDescent="0.25">
      <c r="B222" s="272" t="str">
        <f>INSUMOS!B284</f>
        <v>Retroexcavadora sobre llantas New Holland LB75</v>
      </c>
      <c r="C222" s="273" t="s">
        <v>599</v>
      </c>
      <c r="D222" s="268">
        <v>0.05</v>
      </c>
      <c r="E222" s="271">
        <f>INSUMOS!D284</f>
        <v>95000</v>
      </c>
      <c r="F222" s="259">
        <f t="shared" ref="F222:F233" si="9">D222*E222</f>
        <v>4750</v>
      </c>
    </row>
    <row r="223" spans="2:6" ht="22.5" x14ac:dyDescent="0.25">
      <c r="B223" s="272" t="str">
        <f>INSUMOS!B289</f>
        <v>Compactador tipo Canguro. Incluye operador, combustible y transporte.</v>
      </c>
      <c r="C223" s="273" t="s">
        <v>599</v>
      </c>
      <c r="D223" s="268">
        <v>0.15</v>
      </c>
      <c r="E223" s="271">
        <f>INSUMOS!D289</f>
        <v>146590</v>
      </c>
      <c r="F223" s="259">
        <f t="shared" si="9"/>
        <v>21988.5</v>
      </c>
    </row>
    <row r="224" spans="2:6" x14ac:dyDescent="0.25">
      <c r="B224" s="272" t="str">
        <f>INSUMOS!B292</f>
        <v>Rana Compactadora + Transporte</v>
      </c>
      <c r="C224" s="273" t="s">
        <v>110</v>
      </c>
      <c r="D224" s="268">
        <v>9.8000000000000004E-2</v>
      </c>
      <c r="E224" s="271">
        <f>INSUMOS!D292</f>
        <v>44900</v>
      </c>
      <c r="F224" s="259">
        <v>0</v>
      </c>
    </row>
    <row r="225" spans="2:6" x14ac:dyDescent="0.25">
      <c r="B225" s="272"/>
      <c r="C225" s="273"/>
      <c r="D225" s="268"/>
      <c r="E225" s="271"/>
      <c r="F225" s="259">
        <f t="shared" si="9"/>
        <v>0</v>
      </c>
    </row>
    <row r="226" spans="2:6" x14ac:dyDescent="0.25">
      <c r="B226" s="272"/>
      <c r="C226" s="273"/>
      <c r="D226" s="268"/>
      <c r="E226" s="271"/>
      <c r="F226" s="259">
        <f t="shared" si="9"/>
        <v>0</v>
      </c>
    </row>
    <row r="227" spans="2:6" x14ac:dyDescent="0.25">
      <c r="B227" s="272"/>
      <c r="C227" s="273"/>
      <c r="D227" s="268"/>
      <c r="E227" s="271"/>
      <c r="F227" s="259">
        <f t="shared" si="9"/>
        <v>0</v>
      </c>
    </row>
    <row r="228" spans="2:6" x14ac:dyDescent="0.25">
      <c r="B228" s="272"/>
      <c r="C228" s="273"/>
      <c r="D228" s="268"/>
      <c r="E228" s="271"/>
      <c r="F228" s="259">
        <f t="shared" si="9"/>
        <v>0</v>
      </c>
    </row>
    <row r="229" spans="2:6" x14ac:dyDescent="0.25">
      <c r="B229" s="272"/>
      <c r="C229" s="273"/>
      <c r="D229" s="268"/>
      <c r="E229" s="271"/>
      <c r="F229" s="259">
        <f t="shared" si="9"/>
        <v>0</v>
      </c>
    </row>
    <row r="230" spans="2:6" x14ac:dyDescent="0.25">
      <c r="B230" s="272"/>
      <c r="C230" s="273"/>
      <c r="D230" s="268"/>
      <c r="E230" s="271"/>
      <c r="F230" s="259">
        <f t="shared" si="9"/>
        <v>0</v>
      </c>
    </row>
    <row r="231" spans="2:6" x14ac:dyDescent="0.25">
      <c r="B231" s="272"/>
      <c r="C231" s="273"/>
      <c r="D231" s="268"/>
      <c r="E231" s="271"/>
      <c r="F231" s="259">
        <f t="shared" si="9"/>
        <v>0</v>
      </c>
    </row>
    <row r="232" spans="2:6" x14ac:dyDescent="0.25">
      <c r="B232" s="272"/>
      <c r="C232" s="273"/>
      <c r="D232" s="268"/>
      <c r="E232" s="271"/>
      <c r="F232" s="259">
        <f t="shared" si="9"/>
        <v>0</v>
      </c>
    </row>
    <row r="233" spans="2:6" x14ac:dyDescent="0.25">
      <c r="B233" s="272"/>
      <c r="C233" s="273"/>
      <c r="D233" s="268"/>
      <c r="E233" s="271"/>
      <c r="F233" s="259">
        <f t="shared" si="9"/>
        <v>0</v>
      </c>
    </row>
    <row r="234" spans="2:6" ht="15.75" thickBot="1" x14ac:dyDescent="0.3">
      <c r="B234" s="611" t="s">
        <v>289</v>
      </c>
      <c r="C234" s="612"/>
      <c r="D234" s="612"/>
      <c r="E234" s="613"/>
      <c r="F234" s="274">
        <f>SUM(F222:F233)</f>
        <v>26738.5</v>
      </c>
    </row>
    <row r="235" spans="2:6" x14ac:dyDescent="0.25">
      <c r="B235" s="594" t="s">
        <v>290</v>
      </c>
      <c r="C235" s="595"/>
      <c r="D235" s="595"/>
      <c r="E235" s="595"/>
      <c r="F235" s="596"/>
    </row>
    <row r="236" spans="2:6" x14ac:dyDescent="0.25">
      <c r="B236" s="272" t="s">
        <v>881</v>
      </c>
      <c r="C236" s="273" t="s">
        <v>117</v>
      </c>
      <c r="D236" s="275">
        <v>1.3</v>
      </c>
      <c r="E236" s="276">
        <v>15000</v>
      </c>
      <c r="F236" s="259">
        <f>D236*E236</f>
        <v>19500</v>
      </c>
    </row>
    <row r="237" spans="2:6" x14ac:dyDescent="0.25">
      <c r="B237" s="277" t="s">
        <v>948</v>
      </c>
      <c r="C237" s="278" t="s">
        <v>117</v>
      </c>
      <c r="D237" s="279">
        <v>1.3</v>
      </c>
      <c r="E237" s="280">
        <f>SUBANALISIS!J1</f>
        <v>72000</v>
      </c>
      <c r="F237" s="259">
        <f>D237*E237</f>
        <v>93600</v>
      </c>
    </row>
    <row r="238" spans="2:6" x14ac:dyDescent="0.25">
      <c r="B238" s="277"/>
      <c r="C238" s="278"/>
      <c r="D238" s="279"/>
      <c r="E238" s="280"/>
      <c r="F238" s="259">
        <f>D238*E238</f>
        <v>0</v>
      </c>
    </row>
    <row r="239" spans="2:6" ht="15.75" thickBot="1" x14ac:dyDescent="0.3">
      <c r="B239" s="611" t="s">
        <v>291</v>
      </c>
      <c r="C239" s="612"/>
      <c r="D239" s="612"/>
      <c r="E239" s="613"/>
      <c r="F239" s="285">
        <f>SUM(F236:F238)</f>
        <v>113100</v>
      </c>
    </row>
    <row r="240" spans="2:6" ht="15.75" thickBot="1" x14ac:dyDescent="0.3">
      <c r="B240" s="600" t="s">
        <v>282</v>
      </c>
      <c r="C240" s="601"/>
      <c r="D240" s="601"/>
      <c r="E240" s="601"/>
      <c r="F240" s="499">
        <f>ROUND(F211+F217+F220+F234+F239,0)</f>
        <v>299474</v>
      </c>
    </row>
    <row r="241" spans="2:6" ht="15.75" thickBot="1" x14ac:dyDescent="0.3"/>
    <row r="242" spans="2:6" ht="15.75" thickBot="1" x14ac:dyDescent="0.3">
      <c r="B242" s="602" t="s">
        <v>276</v>
      </c>
      <c r="C242" s="603"/>
      <c r="D242" s="603"/>
      <c r="E242" s="603"/>
      <c r="F242" s="604"/>
    </row>
    <row r="243" spans="2:6" ht="15.75" thickBot="1" x14ac:dyDescent="0.3">
      <c r="B243" s="605" t="s">
        <v>104</v>
      </c>
      <c r="C243" s="606"/>
      <c r="D243" s="607"/>
      <c r="E243" s="282" t="s">
        <v>105</v>
      </c>
      <c r="F243" s="283" t="s">
        <v>103</v>
      </c>
    </row>
    <row r="244" spans="2:6" ht="60.6" customHeight="1" thickBot="1" x14ac:dyDescent="0.3">
      <c r="B244" s="608" t="str">
        <f>'PRESUPUESTO CALLE 58 SUR'!B11</f>
        <v>Colocación de concreto de 14 Mpa para SOLADO, con un espesor DE 0.05 m. Incluye el suministro y el transporte del concreto y todos los demás elementos necesarios para su correcta construcción, incluye acarreo interno.</v>
      </c>
      <c r="C244" s="609"/>
      <c r="D244" s="610"/>
      <c r="E244" s="248" t="str">
        <f>'PRESUPUESTO CALLE 58 SUR'!C11</f>
        <v>m2</v>
      </c>
      <c r="F244" s="448">
        <f>'PRESUPUESTO CALLE 58 SUR'!A11</f>
        <v>1.6</v>
      </c>
    </row>
    <row r="245" spans="2:6" ht="15.75" thickBot="1" x14ac:dyDescent="0.3">
      <c r="B245" s="250" t="s">
        <v>8</v>
      </c>
      <c r="C245" s="251" t="s">
        <v>9</v>
      </c>
      <c r="D245" s="252" t="s">
        <v>10</v>
      </c>
      <c r="E245" s="253" t="s">
        <v>283</v>
      </c>
      <c r="F245" s="254" t="s">
        <v>284</v>
      </c>
    </row>
    <row r="246" spans="2:6" x14ac:dyDescent="0.25">
      <c r="B246" s="594" t="s">
        <v>285</v>
      </c>
      <c r="C246" s="595"/>
      <c r="D246" s="595"/>
      <c r="E246" s="595"/>
      <c r="F246" s="596"/>
    </row>
    <row r="247" spans="2:6" x14ac:dyDescent="0.25">
      <c r="B247" s="255" t="str">
        <f>SUBANALISIS!A64</f>
        <v>Concr.en obra 2000 psi 3/4"</v>
      </c>
      <c r="C247" s="256" t="s">
        <v>117</v>
      </c>
      <c r="D247" s="257">
        <f>0.05*1.05</f>
        <v>5.2500000000000005E-2</v>
      </c>
      <c r="E247" s="258">
        <f>SUBANALISIS!F64</f>
        <v>533198.90610000002</v>
      </c>
      <c r="F247" s="259">
        <f t="shared" ref="F247:F258" si="10">D247*E247</f>
        <v>27992.942570250005</v>
      </c>
    </row>
    <row r="248" spans="2:6" x14ac:dyDescent="0.25">
      <c r="B248" s="260"/>
      <c r="C248" s="256"/>
      <c r="D248" s="257"/>
      <c r="E248" s="258"/>
      <c r="F248" s="259">
        <f t="shared" si="10"/>
        <v>0</v>
      </c>
    </row>
    <row r="249" spans="2:6" x14ac:dyDescent="0.25">
      <c r="B249" s="261"/>
      <c r="C249" s="256"/>
      <c r="D249" s="257"/>
      <c r="E249" s="258"/>
      <c r="F249" s="259">
        <f t="shared" si="10"/>
        <v>0</v>
      </c>
    </row>
    <row r="250" spans="2:6" x14ac:dyDescent="0.25">
      <c r="B250" s="261"/>
      <c r="C250" s="256"/>
      <c r="D250" s="257"/>
      <c r="E250" s="258"/>
      <c r="F250" s="259">
        <f t="shared" si="10"/>
        <v>0</v>
      </c>
    </row>
    <row r="251" spans="2:6" x14ac:dyDescent="0.25">
      <c r="B251" s="261"/>
      <c r="C251" s="256"/>
      <c r="D251" s="257"/>
      <c r="E251" s="258"/>
      <c r="F251" s="259">
        <f t="shared" si="10"/>
        <v>0</v>
      </c>
    </row>
    <row r="252" spans="2:6" x14ac:dyDescent="0.25">
      <c r="B252" s="261"/>
      <c r="C252" s="256"/>
      <c r="D252" s="257"/>
      <c r="E252" s="258"/>
      <c r="F252" s="259">
        <f t="shared" si="10"/>
        <v>0</v>
      </c>
    </row>
    <row r="253" spans="2:6" x14ac:dyDescent="0.25">
      <c r="B253" s="261"/>
      <c r="C253" s="256"/>
      <c r="D253" s="257"/>
      <c r="E253" s="258"/>
      <c r="F253" s="259">
        <f t="shared" si="10"/>
        <v>0</v>
      </c>
    </row>
    <row r="254" spans="2:6" x14ac:dyDescent="0.25">
      <c r="B254" s="261"/>
      <c r="C254" s="256"/>
      <c r="D254" s="257"/>
      <c r="E254" s="258"/>
      <c r="F254" s="259">
        <f t="shared" si="10"/>
        <v>0</v>
      </c>
    </row>
    <row r="255" spans="2:6" x14ac:dyDescent="0.25">
      <c r="B255" s="261"/>
      <c r="C255" s="256"/>
      <c r="D255" s="257"/>
      <c r="E255" s="258"/>
      <c r="F255" s="259">
        <f t="shared" si="10"/>
        <v>0</v>
      </c>
    </row>
    <row r="256" spans="2:6" x14ac:dyDescent="0.25">
      <c r="B256" s="261"/>
      <c r="C256" s="256"/>
      <c r="D256" s="257"/>
      <c r="E256" s="258"/>
      <c r="F256" s="259">
        <f t="shared" si="10"/>
        <v>0</v>
      </c>
    </row>
    <row r="257" spans="2:6" x14ac:dyDescent="0.25">
      <c r="B257" s="261"/>
      <c r="C257" s="256"/>
      <c r="D257" s="257"/>
      <c r="E257" s="258"/>
      <c r="F257" s="259">
        <f t="shared" si="10"/>
        <v>0</v>
      </c>
    </row>
    <row r="258" spans="2:6" x14ac:dyDescent="0.25">
      <c r="B258" s="262"/>
      <c r="C258" s="263"/>
      <c r="D258" s="264"/>
      <c r="E258" s="265"/>
      <c r="F258" s="259">
        <f t="shared" si="10"/>
        <v>0</v>
      </c>
    </row>
    <row r="259" spans="2:6" ht="15.75" thickBot="1" x14ac:dyDescent="0.3">
      <c r="B259" s="611" t="s">
        <v>286</v>
      </c>
      <c r="C259" s="612"/>
      <c r="D259" s="612"/>
      <c r="E259" s="613"/>
      <c r="F259" s="284">
        <f>SUM(F247:F258)</f>
        <v>27992.942570250005</v>
      </c>
    </row>
    <row r="260" spans="2:6" x14ac:dyDescent="0.25">
      <c r="B260" s="594" t="s">
        <v>277</v>
      </c>
      <c r="C260" s="595"/>
      <c r="D260" s="595"/>
      <c r="E260" s="595"/>
      <c r="F260" s="596"/>
    </row>
    <row r="261" spans="2:6" x14ac:dyDescent="0.25">
      <c r="B261" s="266" t="str">
        <f>CUADRILLAS!A87</f>
        <v>Cuadrilla labores varias (1of + 2ay)</v>
      </c>
      <c r="C261" s="267" t="s">
        <v>110</v>
      </c>
      <c r="D261" s="268">
        <v>7.2790878531067568E-2</v>
      </c>
      <c r="E261" s="269">
        <f>CUADRILLAS!B87</f>
        <v>278637</v>
      </c>
      <c r="F261" s="270">
        <f>D261*E261</f>
        <v>20282.232021261076</v>
      </c>
    </row>
    <row r="262" spans="2:6" x14ac:dyDescent="0.25">
      <c r="B262" s="266"/>
      <c r="C262" s="267"/>
      <c r="D262" s="268"/>
      <c r="E262" s="269"/>
      <c r="F262" s="270">
        <f>D262*E262</f>
        <v>0</v>
      </c>
    </row>
    <row r="263" spans="2:6" x14ac:dyDescent="0.25">
      <c r="B263" s="266"/>
      <c r="C263" s="267"/>
      <c r="D263" s="268"/>
      <c r="E263" s="271"/>
      <c r="F263" s="270">
        <f>D263*E263</f>
        <v>0</v>
      </c>
    </row>
    <row r="264" spans="2:6" x14ac:dyDescent="0.25">
      <c r="B264" s="272"/>
      <c r="C264" s="273"/>
      <c r="D264" s="268"/>
      <c r="E264" s="271"/>
      <c r="F264" s="270">
        <f>D264*E264</f>
        <v>0</v>
      </c>
    </row>
    <row r="265" spans="2:6" ht="15.75" thickBot="1" x14ac:dyDescent="0.3">
      <c r="B265" s="611" t="s">
        <v>287</v>
      </c>
      <c r="C265" s="612"/>
      <c r="D265" s="612"/>
      <c r="E265" s="613"/>
      <c r="F265" s="274">
        <f>SUM(F261:F264)</f>
        <v>20282.232021261076</v>
      </c>
    </row>
    <row r="266" spans="2:6" x14ac:dyDescent="0.25">
      <c r="B266" s="594" t="s">
        <v>278</v>
      </c>
      <c r="C266" s="595"/>
      <c r="D266" s="595"/>
      <c r="E266" s="595"/>
      <c r="F266" s="596"/>
    </row>
    <row r="267" spans="2:6" x14ac:dyDescent="0.25">
      <c r="B267" s="272" t="s">
        <v>279</v>
      </c>
      <c r="C267" s="273" t="s">
        <v>280</v>
      </c>
      <c r="D267" s="268">
        <v>0.05</v>
      </c>
      <c r="E267" s="271">
        <f>F265</f>
        <v>20282.232021261076</v>
      </c>
      <c r="F267" s="270">
        <f>D267*E267</f>
        <v>1014.1116010630539</v>
      </c>
    </row>
    <row r="268" spans="2:6" ht="15.75" thickBot="1" x14ac:dyDescent="0.3">
      <c r="B268" s="611" t="s">
        <v>288</v>
      </c>
      <c r="C268" s="612"/>
      <c r="D268" s="612"/>
      <c r="E268" s="613"/>
      <c r="F268" s="274">
        <f>SUM(F267)</f>
        <v>1014.1116010630539</v>
      </c>
    </row>
    <row r="269" spans="2:6" x14ac:dyDescent="0.25">
      <c r="B269" s="594" t="s">
        <v>281</v>
      </c>
      <c r="C269" s="595"/>
      <c r="D269" s="595"/>
      <c r="E269" s="595"/>
      <c r="F269" s="596"/>
    </row>
    <row r="270" spans="2:6" x14ac:dyDescent="0.25">
      <c r="B270" s="272"/>
      <c r="C270" s="273"/>
      <c r="D270" s="268"/>
      <c r="E270" s="271"/>
      <c r="F270" s="259">
        <f t="shared" ref="F270:F281" si="11">D270*E270</f>
        <v>0</v>
      </c>
    </row>
    <row r="271" spans="2:6" x14ac:dyDescent="0.25">
      <c r="B271" s="272"/>
      <c r="C271" s="273"/>
      <c r="D271" s="268"/>
      <c r="E271" s="271"/>
      <c r="F271" s="259">
        <f t="shared" si="11"/>
        <v>0</v>
      </c>
    </row>
    <row r="272" spans="2:6" x14ac:dyDescent="0.25">
      <c r="B272" s="272"/>
      <c r="C272" s="273"/>
      <c r="D272" s="268"/>
      <c r="E272" s="271"/>
      <c r="F272" s="259">
        <f t="shared" si="11"/>
        <v>0</v>
      </c>
    </row>
    <row r="273" spans="2:6" x14ac:dyDescent="0.25">
      <c r="B273" s="272"/>
      <c r="C273" s="273"/>
      <c r="D273" s="268"/>
      <c r="E273" s="271"/>
      <c r="F273" s="259">
        <f t="shared" si="11"/>
        <v>0</v>
      </c>
    </row>
    <row r="274" spans="2:6" x14ac:dyDescent="0.25">
      <c r="B274" s="272"/>
      <c r="C274" s="273"/>
      <c r="D274" s="268"/>
      <c r="E274" s="271"/>
      <c r="F274" s="259">
        <f t="shared" si="11"/>
        <v>0</v>
      </c>
    </row>
    <row r="275" spans="2:6" x14ac:dyDescent="0.25">
      <c r="B275" s="272"/>
      <c r="C275" s="273"/>
      <c r="D275" s="268"/>
      <c r="E275" s="271"/>
      <c r="F275" s="259">
        <f t="shared" si="11"/>
        <v>0</v>
      </c>
    </row>
    <row r="276" spans="2:6" x14ac:dyDescent="0.25">
      <c r="B276" s="272"/>
      <c r="C276" s="273"/>
      <c r="D276" s="268"/>
      <c r="E276" s="271"/>
      <c r="F276" s="259">
        <f t="shared" si="11"/>
        <v>0</v>
      </c>
    </row>
    <row r="277" spans="2:6" x14ac:dyDescent="0.25">
      <c r="B277" s="272"/>
      <c r="C277" s="273"/>
      <c r="D277" s="268"/>
      <c r="E277" s="271"/>
      <c r="F277" s="259">
        <f t="shared" si="11"/>
        <v>0</v>
      </c>
    </row>
    <row r="278" spans="2:6" x14ac:dyDescent="0.25">
      <c r="B278" s="272"/>
      <c r="C278" s="273"/>
      <c r="D278" s="268"/>
      <c r="E278" s="271"/>
      <c r="F278" s="259">
        <f t="shared" si="11"/>
        <v>0</v>
      </c>
    </row>
    <row r="279" spans="2:6" x14ac:dyDescent="0.25">
      <c r="B279" s="272"/>
      <c r="C279" s="273"/>
      <c r="D279" s="268"/>
      <c r="E279" s="271"/>
      <c r="F279" s="259">
        <f t="shared" si="11"/>
        <v>0</v>
      </c>
    </row>
    <row r="280" spans="2:6" x14ac:dyDescent="0.25">
      <c r="B280" s="272"/>
      <c r="C280" s="273"/>
      <c r="D280" s="268"/>
      <c r="E280" s="271"/>
      <c r="F280" s="259">
        <f t="shared" si="11"/>
        <v>0</v>
      </c>
    </row>
    <row r="281" spans="2:6" x14ac:dyDescent="0.25">
      <c r="B281" s="272"/>
      <c r="C281" s="273"/>
      <c r="D281" s="268"/>
      <c r="E281" s="271"/>
      <c r="F281" s="259">
        <f t="shared" si="11"/>
        <v>0</v>
      </c>
    </row>
    <row r="282" spans="2:6" ht="15.75" thickBot="1" x14ac:dyDescent="0.3">
      <c r="B282" s="611" t="s">
        <v>289</v>
      </c>
      <c r="C282" s="612"/>
      <c r="D282" s="612"/>
      <c r="E282" s="613"/>
      <c r="F282" s="274">
        <f>SUM(F270:F281)</f>
        <v>0</v>
      </c>
    </row>
    <row r="283" spans="2:6" x14ac:dyDescent="0.25">
      <c r="B283" s="594" t="s">
        <v>290</v>
      </c>
      <c r="C283" s="595"/>
      <c r="D283" s="595"/>
      <c r="E283" s="595"/>
      <c r="F283" s="596"/>
    </row>
    <row r="284" spans="2:6" x14ac:dyDescent="0.25">
      <c r="B284" s="272" t="s">
        <v>883</v>
      </c>
      <c r="C284" s="273" t="s">
        <v>117</v>
      </c>
      <c r="D284" s="275">
        <f>D247*(SUBANALISIS!C65+SUBANALISIS!C66+SUBANALISIS!C67/25)</f>
        <v>8.8095000000000007E-2</v>
      </c>
      <c r="E284" s="276">
        <v>15000</v>
      </c>
      <c r="F284" s="259">
        <f>D284*E284</f>
        <v>1321.4250000000002</v>
      </c>
    </row>
    <row r="285" spans="2:6" x14ac:dyDescent="0.25">
      <c r="B285" s="277"/>
      <c r="C285" s="278"/>
      <c r="D285" s="279"/>
      <c r="E285" s="280"/>
      <c r="F285" s="259">
        <f>D285*E285</f>
        <v>0</v>
      </c>
    </row>
    <row r="286" spans="2:6" x14ac:dyDescent="0.25">
      <c r="B286" s="277"/>
      <c r="C286" s="278"/>
      <c r="D286" s="279"/>
      <c r="E286" s="280"/>
      <c r="F286" s="259">
        <f>D286*E286</f>
        <v>0</v>
      </c>
    </row>
    <row r="287" spans="2:6" ht="15.75" thickBot="1" x14ac:dyDescent="0.3">
      <c r="B287" s="611" t="s">
        <v>291</v>
      </c>
      <c r="C287" s="612"/>
      <c r="D287" s="612"/>
      <c r="E287" s="613"/>
      <c r="F287" s="285">
        <f>SUM(F284:F286)</f>
        <v>1321.4250000000002</v>
      </c>
    </row>
    <row r="288" spans="2:6" ht="15.75" thickBot="1" x14ac:dyDescent="0.3">
      <c r="B288" s="600" t="s">
        <v>282</v>
      </c>
      <c r="C288" s="601"/>
      <c r="D288" s="601"/>
      <c r="E288" s="601"/>
      <c r="F288" s="499">
        <f>ROUND(F259+F265+F268+F282+F287,0)</f>
        <v>50611</v>
      </c>
    </row>
    <row r="289" spans="2:6" ht="15.75" thickBot="1" x14ac:dyDescent="0.3"/>
    <row r="290" spans="2:6" ht="15.75" thickBot="1" x14ac:dyDescent="0.3">
      <c r="B290" s="602" t="s">
        <v>276</v>
      </c>
      <c r="C290" s="603"/>
      <c r="D290" s="603"/>
      <c r="E290" s="603"/>
      <c r="F290" s="604"/>
    </row>
    <row r="291" spans="2:6" ht="15.75" thickBot="1" x14ac:dyDescent="0.3">
      <c r="B291" s="605" t="s">
        <v>104</v>
      </c>
      <c r="C291" s="606"/>
      <c r="D291" s="607"/>
      <c r="E291" s="282" t="s">
        <v>105</v>
      </c>
      <c r="F291" s="283" t="s">
        <v>103</v>
      </c>
    </row>
    <row r="292" spans="2:6" ht="63" customHeight="1" thickBot="1" x14ac:dyDescent="0.3">
      <c r="B292" s="608" t="str">
        <f>'PRESUPUESTO CALLE 58 SUR'!B12</f>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
      <c r="C292" s="609"/>
      <c r="D292" s="610"/>
      <c r="E292" s="248" t="str">
        <f>'PRESUPUESTO CALLE 58 SUR'!C12</f>
        <v>m3</v>
      </c>
      <c r="F292" s="448">
        <f>'PRESUPUESTO CALLE 58 SUR'!A12</f>
        <v>1.7</v>
      </c>
    </row>
    <row r="293" spans="2:6" ht="15.75" thickBot="1" x14ac:dyDescent="0.3">
      <c r="B293" s="250" t="s">
        <v>8</v>
      </c>
      <c r="C293" s="251" t="s">
        <v>9</v>
      </c>
      <c r="D293" s="252" t="s">
        <v>10</v>
      </c>
      <c r="E293" s="253" t="s">
        <v>283</v>
      </c>
      <c r="F293" s="254" t="s">
        <v>284</v>
      </c>
    </row>
    <row r="294" spans="2:6" x14ac:dyDescent="0.25">
      <c r="B294" s="594" t="s">
        <v>285</v>
      </c>
      <c r="C294" s="595"/>
      <c r="D294" s="595"/>
      <c r="E294" s="595"/>
      <c r="F294" s="596"/>
    </row>
    <row r="295" spans="2:6" x14ac:dyDescent="0.25">
      <c r="B295" s="255" t="str">
        <f>SUBANALISIS!A78</f>
        <v>Concr.en obra 3000 psi 3/4"</v>
      </c>
      <c r="C295" s="256" t="s">
        <v>117</v>
      </c>
      <c r="D295" s="257">
        <f>0.6*1.05</f>
        <v>0.63</v>
      </c>
      <c r="E295" s="258">
        <f>SUBANALISIS!F78</f>
        <v>630810.91779999994</v>
      </c>
      <c r="F295" s="259">
        <f t="shared" ref="F295:F306" si="12">D295*E295</f>
        <v>397410.87821399997</v>
      </c>
    </row>
    <row r="296" spans="2:6" x14ac:dyDescent="0.25">
      <c r="B296" s="260" t="str">
        <f>INSUMOS!B245</f>
        <v>Telera 90x135 + Transporte</v>
      </c>
      <c r="C296" s="256" t="s">
        <v>17</v>
      </c>
      <c r="D296" s="257">
        <v>2</v>
      </c>
      <c r="E296" s="258">
        <f>INSUMOS!D246</f>
        <v>21420</v>
      </c>
      <c r="F296" s="259">
        <f t="shared" si="12"/>
        <v>42840</v>
      </c>
    </row>
    <row r="297" spans="2:6" x14ac:dyDescent="0.25">
      <c r="B297" s="261" t="str">
        <f>INSUMOS!B204</f>
        <v>Taco de madera de 3.0 m</v>
      </c>
      <c r="C297" s="256" t="s">
        <v>17</v>
      </c>
      <c r="D297" s="257">
        <v>2</v>
      </c>
      <c r="E297" s="258">
        <f>INSUMOS!D204</f>
        <v>9482</v>
      </c>
      <c r="F297" s="259">
        <f t="shared" si="12"/>
        <v>18964</v>
      </c>
    </row>
    <row r="298" spans="2:6" ht="22.5" x14ac:dyDescent="0.25">
      <c r="B298" s="261" t="str">
        <f>INSUMOS!B202</f>
        <v>Larguero madera comun 4 cmx8cmx2.80 m. Incluye transporte</v>
      </c>
      <c r="C298" s="256" t="s">
        <v>17</v>
      </c>
      <c r="D298" s="257">
        <v>1</v>
      </c>
      <c r="E298" s="258">
        <f>INSUMOS!D202</f>
        <v>20135</v>
      </c>
      <c r="F298" s="259">
        <f t="shared" si="12"/>
        <v>20135</v>
      </c>
    </row>
    <row r="299" spans="2:6" x14ac:dyDescent="0.25">
      <c r="B299" s="261" t="str">
        <f>INSUMOS!B205</f>
        <v>Clavo común x CAJA por 500 gr</v>
      </c>
      <c r="C299" s="256" t="s">
        <v>576</v>
      </c>
      <c r="D299" s="257">
        <v>0.5</v>
      </c>
      <c r="E299" s="258">
        <f>INSUMOS!E205</f>
        <v>5000</v>
      </c>
      <c r="F299" s="259">
        <f t="shared" si="12"/>
        <v>2500</v>
      </c>
    </row>
    <row r="300" spans="2:6" x14ac:dyDescent="0.25">
      <c r="B300" s="261" t="str">
        <f>INSUMOS!B208</f>
        <v>Alambre recocido C 18</v>
      </c>
      <c r="C300" s="256" t="s">
        <v>122</v>
      </c>
      <c r="D300" s="257">
        <v>0.05</v>
      </c>
      <c r="E300" s="258">
        <f>INSUMOS!D208</f>
        <v>8687</v>
      </c>
      <c r="F300" s="259">
        <f t="shared" si="12"/>
        <v>434.35</v>
      </c>
    </row>
    <row r="301" spans="2:6" x14ac:dyDescent="0.25">
      <c r="B301" s="526" t="str">
        <f>SUBANALISIS!H12</f>
        <v>Piedra entresuelo-gaviones y/o ciclópeo</v>
      </c>
      <c r="C301" s="527" t="s">
        <v>117</v>
      </c>
      <c r="D301" s="528">
        <v>0</v>
      </c>
      <c r="E301" s="500">
        <f>SUBANALISIS!I12</f>
        <v>111848.63549999999</v>
      </c>
      <c r="F301" s="529">
        <f t="shared" si="12"/>
        <v>0</v>
      </c>
    </row>
    <row r="302" spans="2:6" x14ac:dyDescent="0.25">
      <c r="B302" s="261"/>
      <c r="C302" s="256"/>
      <c r="D302" s="257"/>
      <c r="E302" s="258"/>
      <c r="F302" s="259">
        <f t="shared" si="12"/>
        <v>0</v>
      </c>
    </row>
    <row r="303" spans="2:6" x14ac:dyDescent="0.25">
      <c r="B303" s="261"/>
      <c r="C303" s="256"/>
      <c r="D303" s="257"/>
      <c r="E303" s="258"/>
      <c r="F303" s="259">
        <f t="shared" si="12"/>
        <v>0</v>
      </c>
    </row>
    <row r="304" spans="2:6" x14ac:dyDescent="0.25">
      <c r="B304" s="261"/>
      <c r="C304" s="256"/>
      <c r="D304" s="257"/>
      <c r="E304" s="258"/>
      <c r="F304" s="259">
        <f t="shared" si="12"/>
        <v>0</v>
      </c>
    </row>
    <row r="305" spans="2:6" x14ac:dyDescent="0.25">
      <c r="B305" s="261"/>
      <c r="C305" s="256"/>
      <c r="D305" s="257"/>
      <c r="E305" s="258"/>
      <c r="F305" s="259">
        <f t="shared" si="12"/>
        <v>0</v>
      </c>
    </row>
    <row r="306" spans="2:6" x14ac:dyDescent="0.25">
      <c r="B306" s="262"/>
      <c r="C306" s="263"/>
      <c r="D306" s="264"/>
      <c r="E306" s="265"/>
      <c r="F306" s="259">
        <f t="shared" si="12"/>
        <v>0</v>
      </c>
    </row>
    <row r="307" spans="2:6" ht="15.75" thickBot="1" x14ac:dyDescent="0.3">
      <c r="B307" s="611" t="s">
        <v>286</v>
      </c>
      <c r="C307" s="612"/>
      <c r="D307" s="612"/>
      <c r="E307" s="613"/>
      <c r="F307" s="284">
        <f>SUM(F295:F306)</f>
        <v>482284.22821399994</v>
      </c>
    </row>
    <row r="308" spans="2:6" x14ac:dyDescent="0.25">
      <c r="B308" s="594" t="s">
        <v>277</v>
      </c>
      <c r="C308" s="595"/>
      <c r="D308" s="595"/>
      <c r="E308" s="595"/>
      <c r="F308" s="596"/>
    </row>
    <row r="309" spans="2:6" x14ac:dyDescent="0.25">
      <c r="B309" s="266" t="str">
        <f>CUADRILLAS!A87</f>
        <v>Cuadrilla labores varias (1of + 2ay)</v>
      </c>
      <c r="C309" s="267" t="s">
        <v>110</v>
      </c>
      <c r="D309" s="268">
        <v>0.61324613451448851</v>
      </c>
      <c r="E309" s="269">
        <f>CUADRILLAS!B87</f>
        <v>278637</v>
      </c>
      <c r="F309" s="270">
        <f>D309*E309</f>
        <v>170873.06318271352</v>
      </c>
    </row>
    <row r="310" spans="2:6" x14ac:dyDescent="0.25">
      <c r="B310" s="266"/>
      <c r="C310" s="267"/>
      <c r="D310" s="268"/>
      <c r="E310" s="269"/>
      <c r="F310" s="270">
        <f>D310*E310</f>
        <v>0</v>
      </c>
    </row>
    <row r="311" spans="2:6" x14ac:dyDescent="0.25">
      <c r="B311" s="266"/>
      <c r="C311" s="267"/>
      <c r="D311" s="268"/>
      <c r="E311" s="271"/>
      <c r="F311" s="270">
        <f>D311*E311</f>
        <v>0</v>
      </c>
    </row>
    <row r="312" spans="2:6" x14ac:dyDescent="0.25">
      <c r="B312" s="272"/>
      <c r="C312" s="273"/>
      <c r="D312" s="268"/>
      <c r="E312" s="271"/>
      <c r="F312" s="270">
        <f>D312*E312</f>
        <v>0</v>
      </c>
    </row>
    <row r="313" spans="2:6" ht="15.75" thickBot="1" x14ac:dyDescent="0.3">
      <c r="B313" s="611" t="s">
        <v>287</v>
      </c>
      <c r="C313" s="612"/>
      <c r="D313" s="612"/>
      <c r="E313" s="613"/>
      <c r="F313" s="274">
        <f>SUM(F309:F312)</f>
        <v>170873.06318271352</v>
      </c>
    </row>
    <row r="314" spans="2:6" x14ac:dyDescent="0.25">
      <c r="B314" s="594" t="s">
        <v>278</v>
      </c>
      <c r="C314" s="595"/>
      <c r="D314" s="595"/>
      <c r="E314" s="595"/>
      <c r="F314" s="596"/>
    </row>
    <row r="315" spans="2:6" x14ac:dyDescent="0.25">
      <c r="B315" s="272" t="s">
        <v>279</v>
      </c>
      <c r="C315" s="273" t="s">
        <v>280</v>
      </c>
      <c r="D315" s="268">
        <v>0.05</v>
      </c>
      <c r="E315" s="271">
        <f>F313</f>
        <v>170873.06318271352</v>
      </c>
      <c r="F315" s="270">
        <f>D315*E315</f>
        <v>8543.6531591356761</v>
      </c>
    </row>
    <row r="316" spans="2:6" ht="15.75" thickBot="1" x14ac:dyDescent="0.3">
      <c r="B316" s="611" t="s">
        <v>288</v>
      </c>
      <c r="C316" s="612"/>
      <c r="D316" s="612"/>
      <c r="E316" s="613"/>
      <c r="F316" s="274">
        <f>SUM(F315)</f>
        <v>8543.6531591356761</v>
      </c>
    </row>
    <row r="317" spans="2:6" x14ac:dyDescent="0.25">
      <c r="B317" s="594" t="s">
        <v>281</v>
      </c>
      <c r="C317" s="595"/>
      <c r="D317" s="595"/>
      <c r="E317" s="595"/>
      <c r="F317" s="596"/>
    </row>
    <row r="318" spans="2:6" x14ac:dyDescent="0.25">
      <c r="B318" s="272"/>
      <c r="C318" s="273"/>
      <c r="D318" s="268"/>
      <c r="E318" s="271"/>
      <c r="F318" s="259">
        <f t="shared" ref="F318:F329" si="13">D318*E318</f>
        <v>0</v>
      </c>
    </row>
    <row r="319" spans="2:6" x14ac:dyDescent="0.25">
      <c r="B319" s="272"/>
      <c r="C319" s="273"/>
      <c r="D319" s="268"/>
      <c r="E319" s="271"/>
      <c r="F319" s="259">
        <f t="shared" si="13"/>
        <v>0</v>
      </c>
    </row>
    <row r="320" spans="2:6" x14ac:dyDescent="0.25">
      <c r="B320" s="272"/>
      <c r="C320" s="273"/>
      <c r="D320" s="268"/>
      <c r="E320" s="271"/>
      <c r="F320" s="259">
        <f t="shared" si="13"/>
        <v>0</v>
      </c>
    </row>
    <row r="321" spans="2:8" x14ac:dyDescent="0.25">
      <c r="B321" s="272"/>
      <c r="C321" s="273"/>
      <c r="D321" s="268"/>
      <c r="E321" s="271"/>
      <c r="F321" s="259">
        <f t="shared" si="13"/>
        <v>0</v>
      </c>
    </row>
    <row r="322" spans="2:8" x14ac:dyDescent="0.25">
      <c r="B322" s="272"/>
      <c r="C322" s="273"/>
      <c r="D322" s="268"/>
      <c r="E322" s="271"/>
      <c r="F322" s="259">
        <f t="shared" si="13"/>
        <v>0</v>
      </c>
    </row>
    <row r="323" spans="2:8" x14ac:dyDescent="0.25">
      <c r="B323" s="272"/>
      <c r="C323" s="273"/>
      <c r="D323" s="268"/>
      <c r="E323" s="271"/>
      <c r="F323" s="259">
        <f t="shared" si="13"/>
        <v>0</v>
      </c>
    </row>
    <row r="324" spans="2:8" x14ac:dyDescent="0.25">
      <c r="B324" s="272"/>
      <c r="C324" s="273"/>
      <c r="D324" s="268"/>
      <c r="E324" s="271"/>
      <c r="F324" s="259">
        <f t="shared" si="13"/>
        <v>0</v>
      </c>
    </row>
    <row r="325" spans="2:8" x14ac:dyDescent="0.25">
      <c r="B325" s="272"/>
      <c r="C325" s="273"/>
      <c r="D325" s="268"/>
      <c r="E325" s="271"/>
      <c r="F325" s="259">
        <f t="shared" si="13"/>
        <v>0</v>
      </c>
    </row>
    <row r="326" spans="2:8" x14ac:dyDescent="0.25">
      <c r="B326" s="272"/>
      <c r="C326" s="273"/>
      <c r="D326" s="268"/>
      <c r="E326" s="271"/>
      <c r="F326" s="259">
        <f t="shared" si="13"/>
        <v>0</v>
      </c>
    </row>
    <row r="327" spans="2:8" x14ac:dyDescent="0.25">
      <c r="B327" s="272"/>
      <c r="C327" s="273"/>
      <c r="D327" s="268"/>
      <c r="E327" s="271"/>
      <c r="F327" s="259">
        <f t="shared" si="13"/>
        <v>0</v>
      </c>
    </row>
    <row r="328" spans="2:8" x14ac:dyDescent="0.25">
      <c r="B328" s="272"/>
      <c r="C328" s="273"/>
      <c r="D328" s="268"/>
      <c r="E328" s="271"/>
      <c r="F328" s="259">
        <f t="shared" si="13"/>
        <v>0</v>
      </c>
    </row>
    <row r="329" spans="2:8" x14ac:dyDescent="0.25">
      <c r="B329" s="272"/>
      <c r="C329" s="273"/>
      <c r="D329" s="268"/>
      <c r="E329" s="271"/>
      <c r="F329" s="259">
        <f t="shared" si="13"/>
        <v>0</v>
      </c>
    </row>
    <row r="330" spans="2:8" ht="15.75" thickBot="1" x14ac:dyDescent="0.3">
      <c r="B330" s="611" t="s">
        <v>289</v>
      </c>
      <c r="C330" s="612"/>
      <c r="D330" s="612"/>
      <c r="E330" s="613"/>
      <c r="F330" s="274">
        <f>SUM(F318:F329)</f>
        <v>0</v>
      </c>
    </row>
    <row r="331" spans="2:8" x14ac:dyDescent="0.25">
      <c r="B331" s="594" t="s">
        <v>290</v>
      </c>
      <c r="C331" s="595"/>
      <c r="D331" s="595"/>
      <c r="E331" s="595"/>
      <c r="F331" s="596"/>
    </row>
    <row r="332" spans="2:8" x14ac:dyDescent="0.25">
      <c r="B332" s="272" t="s">
        <v>883</v>
      </c>
      <c r="C332" s="273" t="s">
        <v>117</v>
      </c>
      <c r="D332" s="275">
        <f>+D295*(SUBANALISIS!C79+SUBANALISIS!C80+SUBANALISIS!C81/25)+0.4*1.1</f>
        <v>1.5299</v>
      </c>
      <c r="E332" s="276">
        <v>15000</v>
      </c>
      <c r="F332" s="259">
        <f>D332*E332</f>
        <v>22948.5</v>
      </c>
    </row>
    <row r="333" spans="2:8" x14ac:dyDescent="0.25">
      <c r="B333" s="530" t="s">
        <v>980</v>
      </c>
      <c r="C333" s="531" t="s">
        <v>117</v>
      </c>
      <c r="D333" s="532">
        <f>D301</f>
        <v>0</v>
      </c>
      <c r="E333" s="533">
        <f>SUBANALISIS!J1</f>
        <v>72000</v>
      </c>
      <c r="F333" s="529">
        <f>D333*E333</f>
        <v>0</v>
      </c>
    </row>
    <row r="334" spans="2:8" x14ac:dyDescent="0.25">
      <c r="B334" s="277"/>
      <c r="C334" s="278"/>
      <c r="D334" s="279"/>
      <c r="E334" s="280"/>
      <c r="F334" s="259">
        <f>D334*E334</f>
        <v>0</v>
      </c>
    </row>
    <row r="335" spans="2:8" ht="15.75" thickBot="1" x14ac:dyDescent="0.3">
      <c r="B335" s="611" t="s">
        <v>291</v>
      </c>
      <c r="C335" s="612"/>
      <c r="D335" s="612"/>
      <c r="E335" s="613"/>
      <c r="F335" s="285">
        <f>SUM(F332:F334)</f>
        <v>22948.5</v>
      </c>
    </row>
    <row r="336" spans="2:8" ht="15.75" thickBot="1" x14ac:dyDescent="0.3">
      <c r="B336" s="600" t="s">
        <v>282</v>
      </c>
      <c r="C336" s="601"/>
      <c r="D336" s="601"/>
      <c r="E336" s="601"/>
      <c r="F336" s="499">
        <f>ROUND(F307+F313+F316+F330+F335,0)</f>
        <v>684649</v>
      </c>
      <c r="H336" s="502"/>
    </row>
    <row r="337" spans="2:6" ht="15.75" thickBot="1" x14ac:dyDescent="0.3"/>
    <row r="338" spans="2:6" ht="15.75" thickBot="1" x14ac:dyDescent="0.3">
      <c r="B338" s="602" t="s">
        <v>276</v>
      </c>
      <c r="C338" s="603"/>
      <c r="D338" s="603"/>
      <c r="E338" s="603"/>
      <c r="F338" s="604"/>
    </row>
    <row r="339" spans="2:6" ht="15.75" thickBot="1" x14ac:dyDescent="0.3">
      <c r="B339" s="605" t="s">
        <v>104</v>
      </c>
      <c r="C339" s="606"/>
      <c r="D339" s="607"/>
      <c r="E339" s="282" t="s">
        <v>105</v>
      </c>
      <c r="F339" s="283" t="s">
        <v>103</v>
      </c>
    </row>
    <row r="340" spans="2:6" ht="63.6" customHeight="1" thickBot="1" x14ac:dyDescent="0.3">
      <c r="B340" s="608" t="str">
        <f>'PRESUPUESTO CALLE 58 SUR'!B13</f>
        <v>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v>
      </c>
      <c r="C340" s="609"/>
      <c r="D340" s="610"/>
      <c r="E340" s="248" t="str">
        <f>'PRESUPUESTO CALLE 58 SUR'!C13</f>
        <v>un</v>
      </c>
      <c r="F340" s="448">
        <f>'PRESUPUESTO CALLE 58 SUR'!A13</f>
        <v>1.8</v>
      </c>
    </row>
    <row r="341" spans="2:6" ht="15.75" thickBot="1" x14ac:dyDescent="0.3">
      <c r="B341" s="250" t="s">
        <v>8</v>
      </c>
      <c r="C341" s="251" t="s">
        <v>9</v>
      </c>
      <c r="D341" s="252" t="s">
        <v>10</v>
      </c>
      <c r="E341" s="253" t="s">
        <v>283</v>
      </c>
      <c r="F341" s="254" t="s">
        <v>284</v>
      </c>
    </row>
    <row r="342" spans="2:6" x14ac:dyDescent="0.25">
      <c r="B342" s="594" t="s">
        <v>285</v>
      </c>
      <c r="C342" s="595"/>
      <c r="D342" s="595"/>
      <c r="E342" s="595"/>
      <c r="F342" s="596"/>
    </row>
    <row r="343" spans="2:6" x14ac:dyDescent="0.25">
      <c r="B343" s="255" t="str">
        <f>SUBANALISIS!A78</f>
        <v>Concr.en obra 3000 psi 3/4"</v>
      </c>
      <c r="C343" s="256" t="s">
        <v>117</v>
      </c>
      <c r="D343" s="257">
        <f>(0.6*0.8-PI()*0.3^2)*1.05</f>
        <v>0.20711949423576453</v>
      </c>
      <c r="E343" s="258">
        <f>SUBANALISIS!F78</f>
        <v>630810.91779999994</v>
      </c>
      <c r="F343" s="259">
        <f t="shared" ref="F343:F354" si="14">D343*E343</f>
        <v>130653.23825313442</v>
      </c>
    </row>
    <row r="344" spans="2:6" ht="22.5" x14ac:dyDescent="0.25">
      <c r="B344" s="260" t="str">
        <f>INSUMOS!B248</f>
        <v>Tabla madera común de 2.5 cm x 20cm x 2.80m. Incluye transporte.</v>
      </c>
      <c r="C344" s="256" t="s">
        <v>17</v>
      </c>
      <c r="D344" s="257">
        <v>0.5</v>
      </c>
      <c r="E344" s="258">
        <f>INSUMOS!D248</f>
        <v>17255</v>
      </c>
      <c r="F344" s="259">
        <f t="shared" si="14"/>
        <v>8627.5</v>
      </c>
    </row>
    <row r="345" spans="2:6" x14ac:dyDescent="0.25">
      <c r="B345" s="261" t="str">
        <f>INSUMOS!B204</f>
        <v>Taco de madera de 3.0 m</v>
      </c>
      <c r="C345" s="256" t="s">
        <v>17</v>
      </c>
      <c r="D345" s="257">
        <v>1</v>
      </c>
      <c r="E345" s="258">
        <f>INSUMOS!D204</f>
        <v>9482</v>
      </c>
      <c r="F345" s="259">
        <f t="shared" si="14"/>
        <v>9482</v>
      </c>
    </row>
    <row r="346" spans="2:6" x14ac:dyDescent="0.25">
      <c r="B346" s="261" t="str">
        <f>INSUMOS!B205</f>
        <v>Clavo común x CAJA por 500 gr</v>
      </c>
      <c r="C346" s="256" t="s">
        <v>576</v>
      </c>
      <c r="D346" s="257">
        <v>0.2</v>
      </c>
      <c r="E346" s="258">
        <f>INSUMOS!E205</f>
        <v>5000</v>
      </c>
      <c r="F346" s="259">
        <f t="shared" si="14"/>
        <v>1000</v>
      </c>
    </row>
    <row r="347" spans="2:6" x14ac:dyDescent="0.25">
      <c r="B347" s="261"/>
      <c r="C347" s="256"/>
      <c r="D347" s="257"/>
      <c r="E347" s="258"/>
      <c r="F347" s="259">
        <f t="shared" si="14"/>
        <v>0</v>
      </c>
    </row>
    <row r="348" spans="2:6" x14ac:dyDescent="0.25">
      <c r="B348" s="261"/>
      <c r="C348" s="256"/>
      <c r="D348" s="257"/>
      <c r="E348" s="258"/>
      <c r="F348" s="259">
        <f t="shared" si="14"/>
        <v>0</v>
      </c>
    </row>
    <row r="349" spans="2:6" x14ac:dyDescent="0.25">
      <c r="B349" s="261"/>
      <c r="C349" s="256"/>
      <c r="D349" s="257"/>
      <c r="E349" s="258"/>
      <c r="F349" s="259">
        <f t="shared" si="14"/>
        <v>0</v>
      </c>
    </row>
    <row r="350" spans="2:6" x14ac:dyDescent="0.25">
      <c r="B350" s="261"/>
      <c r="C350" s="256"/>
      <c r="D350" s="257"/>
      <c r="E350" s="258"/>
      <c r="F350" s="259">
        <f t="shared" si="14"/>
        <v>0</v>
      </c>
    </row>
    <row r="351" spans="2:6" x14ac:dyDescent="0.25">
      <c r="B351" s="261"/>
      <c r="C351" s="256"/>
      <c r="D351" s="257"/>
      <c r="E351" s="258"/>
      <c r="F351" s="259">
        <f t="shared" si="14"/>
        <v>0</v>
      </c>
    </row>
    <row r="352" spans="2:6" x14ac:dyDescent="0.25">
      <c r="B352" s="261"/>
      <c r="C352" s="256"/>
      <c r="D352" s="257"/>
      <c r="E352" s="258"/>
      <c r="F352" s="259">
        <f t="shared" si="14"/>
        <v>0</v>
      </c>
    </row>
    <row r="353" spans="2:6" x14ac:dyDescent="0.25">
      <c r="B353" s="261"/>
      <c r="C353" s="256"/>
      <c r="D353" s="257"/>
      <c r="E353" s="258"/>
      <c r="F353" s="259">
        <f t="shared" si="14"/>
        <v>0</v>
      </c>
    </row>
    <row r="354" spans="2:6" x14ac:dyDescent="0.25">
      <c r="B354" s="262"/>
      <c r="C354" s="263"/>
      <c r="D354" s="264"/>
      <c r="E354" s="265"/>
      <c r="F354" s="259">
        <f t="shared" si="14"/>
        <v>0</v>
      </c>
    </row>
    <row r="355" spans="2:6" ht="15.75" thickBot="1" x14ac:dyDescent="0.3">
      <c r="B355" s="611" t="s">
        <v>286</v>
      </c>
      <c r="C355" s="612"/>
      <c r="D355" s="612"/>
      <c r="E355" s="613"/>
      <c r="F355" s="284">
        <f>SUM(F343:F354)</f>
        <v>149762.73825313442</v>
      </c>
    </row>
    <row r="356" spans="2:6" x14ac:dyDescent="0.25">
      <c r="B356" s="594" t="s">
        <v>277</v>
      </c>
      <c r="C356" s="595"/>
      <c r="D356" s="595"/>
      <c r="E356" s="595"/>
      <c r="F356" s="596"/>
    </row>
    <row r="357" spans="2:6" x14ac:dyDescent="0.25">
      <c r="B357" s="266" t="str">
        <f>CUADRILLAS!A87</f>
        <v>Cuadrilla labores varias (1of + 2ay)</v>
      </c>
      <c r="C357" s="267" t="s">
        <v>110</v>
      </c>
      <c r="D357" s="268">
        <v>0.5</v>
      </c>
      <c r="E357" s="269">
        <f>CUADRILLAS!B87</f>
        <v>278637</v>
      </c>
      <c r="F357" s="270">
        <f>D357*E357</f>
        <v>139318.5</v>
      </c>
    </row>
    <row r="358" spans="2:6" x14ac:dyDescent="0.25">
      <c r="B358" s="266"/>
      <c r="C358" s="267"/>
      <c r="D358" s="268"/>
      <c r="E358" s="269"/>
      <c r="F358" s="270">
        <f>D358*E358</f>
        <v>0</v>
      </c>
    </row>
    <row r="359" spans="2:6" x14ac:dyDescent="0.25">
      <c r="B359" s="266"/>
      <c r="C359" s="267"/>
      <c r="D359" s="268"/>
      <c r="E359" s="271"/>
      <c r="F359" s="270">
        <f>D359*E359</f>
        <v>0</v>
      </c>
    </row>
    <row r="360" spans="2:6" x14ac:dyDescent="0.25">
      <c r="B360" s="272"/>
      <c r="C360" s="273"/>
      <c r="D360" s="268"/>
      <c r="E360" s="271"/>
      <c r="F360" s="270">
        <f>D360*E360</f>
        <v>0</v>
      </c>
    </row>
    <row r="361" spans="2:6" ht="15.75" thickBot="1" x14ac:dyDescent="0.3">
      <c r="B361" s="611" t="s">
        <v>287</v>
      </c>
      <c r="C361" s="612"/>
      <c r="D361" s="612"/>
      <c r="E361" s="613"/>
      <c r="F361" s="274">
        <f>SUM(F357:F360)</f>
        <v>139318.5</v>
      </c>
    </row>
    <row r="362" spans="2:6" x14ac:dyDescent="0.25">
      <c r="B362" s="594" t="s">
        <v>278</v>
      </c>
      <c r="C362" s="595"/>
      <c r="D362" s="595"/>
      <c r="E362" s="595"/>
      <c r="F362" s="596"/>
    </row>
    <row r="363" spans="2:6" x14ac:dyDescent="0.25">
      <c r="B363" s="272" t="s">
        <v>279</v>
      </c>
      <c r="C363" s="273" t="s">
        <v>280</v>
      </c>
      <c r="D363" s="268">
        <v>0.05</v>
      </c>
      <c r="E363" s="271">
        <f>F361</f>
        <v>139318.5</v>
      </c>
      <c r="F363" s="270">
        <f>D363*E363</f>
        <v>6965.9250000000002</v>
      </c>
    </row>
    <row r="364" spans="2:6" ht="15.75" thickBot="1" x14ac:dyDescent="0.3">
      <c r="B364" s="611" t="s">
        <v>288</v>
      </c>
      <c r="C364" s="612"/>
      <c r="D364" s="612"/>
      <c r="E364" s="613"/>
      <c r="F364" s="274">
        <f>SUM(F363)</f>
        <v>6965.9250000000002</v>
      </c>
    </row>
    <row r="365" spans="2:6" x14ac:dyDescent="0.25">
      <c r="B365" s="594" t="s">
        <v>281</v>
      </c>
      <c r="C365" s="595"/>
      <c r="D365" s="595"/>
      <c r="E365" s="595"/>
      <c r="F365" s="596"/>
    </row>
    <row r="366" spans="2:6" x14ac:dyDescent="0.25">
      <c r="B366" s="272" t="str">
        <f>INSUMOS!B230</f>
        <v>Vibrador eléctrico de aguja a 110 V</v>
      </c>
      <c r="C366" s="273" t="s">
        <v>110</v>
      </c>
      <c r="D366" s="268">
        <v>0.12</v>
      </c>
      <c r="E366" s="271">
        <f>INSUMOS!D230</f>
        <v>48433</v>
      </c>
      <c r="F366" s="259">
        <f t="shared" ref="F366:F377" si="15">D366*E366</f>
        <v>5811.96</v>
      </c>
    </row>
    <row r="367" spans="2:6" x14ac:dyDescent="0.25">
      <c r="B367" s="272" t="str">
        <f>INSUMOS!B219</f>
        <v xml:space="preserve">Extensión eléctrica encauchetada (20m) </v>
      </c>
      <c r="C367" s="273" t="s">
        <v>110</v>
      </c>
      <c r="D367" s="268">
        <v>0.12</v>
      </c>
      <c r="E367" s="271">
        <f>INSUMOS!E219</f>
        <v>4379.2</v>
      </c>
      <c r="F367" s="259">
        <f t="shared" si="15"/>
        <v>525.50399999999991</v>
      </c>
    </row>
    <row r="368" spans="2:6" x14ac:dyDescent="0.25">
      <c r="B368" s="272"/>
      <c r="C368" s="273"/>
      <c r="D368" s="268"/>
      <c r="E368" s="271"/>
      <c r="F368" s="259">
        <f t="shared" si="15"/>
        <v>0</v>
      </c>
    </row>
    <row r="369" spans="2:6" x14ac:dyDescent="0.25">
      <c r="B369" s="272"/>
      <c r="C369" s="273"/>
      <c r="D369" s="268"/>
      <c r="E369" s="271"/>
      <c r="F369" s="259">
        <f t="shared" si="15"/>
        <v>0</v>
      </c>
    </row>
    <row r="370" spans="2:6" x14ac:dyDescent="0.25">
      <c r="B370" s="272"/>
      <c r="C370" s="273"/>
      <c r="D370" s="268"/>
      <c r="E370" s="271"/>
      <c r="F370" s="259">
        <f t="shared" si="15"/>
        <v>0</v>
      </c>
    </row>
    <row r="371" spans="2:6" x14ac:dyDescent="0.25">
      <c r="B371" s="272"/>
      <c r="C371" s="273"/>
      <c r="D371" s="268"/>
      <c r="E371" s="271"/>
      <c r="F371" s="259">
        <f t="shared" si="15"/>
        <v>0</v>
      </c>
    </row>
    <row r="372" spans="2:6" x14ac:dyDescent="0.25">
      <c r="B372" s="272"/>
      <c r="C372" s="273"/>
      <c r="D372" s="268"/>
      <c r="E372" s="271"/>
      <c r="F372" s="259">
        <f t="shared" si="15"/>
        <v>0</v>
      </c>
    </row>
    <row r="373" spans="2:6" x14ac:dyDescent="0.25">
      <c r="B373" s="272"/>
      <c r="C373" s="273"/>
      <c r="D373" s="268"/>
      <c r="E373" s="271"/>
      <c r="F373" s="259">
        <f t="shared" si="15"/>
        <v>0</v>
      </c>
    </row>
    <row r="374" spans="2:6" x14ac:dyDescent="0.25">
      <c r="B374" s="272"/>
      <c r="C374" s="273"/>
      <c r="D374" s="268"/>
      <c r="E374" s="271"/>
      <c r="F374" s="259">
        <f t="shared" si="15"/>
        <v>0</v>
      </c>
    </row>
    <row r="375" spans="2:6" x14ac:dyDescent="0.25">
      <c r="B375" s="272"/>
      <c r="C375" s="273"/>
      <c r="D375" s="268"/>
      <c r="E375" s="271"/>
      <c r="F375" s="259">
        <f t="shared" si="15"/>
        <v>0</v>
      </c>
    </row>
    <row r="376" spans="2:6" x14ac:dyDescent="0.25">
      <c r="B376" s="272"/>
      <c r="C376" s="273"/>
      <c r="D376" s="268"/>
      <c r="E376" s="271"/>
      <c r="F376" s="259">
        <f t="shared" si="15"/>
        <v>0</v>
      </c>
    </row>
    <row r="377" spans="2:6" x14ac:dyDescent="0.25">
      <c r="B377" s="272"/>
      <c r="C377" s="273"/>
      <c r="D377" s="268"/>
      <c r="E377" s="271"/>
      <c r="F377" s="259">
        <f t="shared" si="15"/>
        <v>0</v>
      </c>
    </row>
    <row r="378" spans="2:6" ht="15.75" thickBot="1" x14ac:dyDescent="0.3">
      <c r="B378" s="611" t="s">
        <v>289</v>
      </c>
      <c r="C378" s="612"/>
      <c r="D378" s="612"/>
      <c r="E378" s="613"/>
      <c r="F378" s="274">
        <f>SUM(F366:F377)</f>
        <v>6337.4639999999999</v>
      </c>
    </row>
    <row r="379" spans="2:6" x14ac:dyDescent="0.25">
      <c r="B379" s="594" t="s">
        <v>290</v>
      </c>
      <c r="C379" s="595"/>
      <c r="D379" s="595"/>
      <c r="E379" s="595"/>
      <c r="F379" s="596"/>
    </row>
    <row r="380" spans="2:6" x14ac:dyDescent="0.25">
      <c r="B380" s="272" t="s">
        <v>883</v>
      </c>
      <c r="C380" s="273" t="s">
        <v>117</v>
      </c>
      <c r="D380" s="275">
        <f>D343*(SUBANALISIS!C79+SUBANALISIS!C80+SUBANALISIS!C81/25)</f>
        <v>0.35831672502787271</v>
      </c>
      <c r="E380" s="276">
        <v>15000</v>
      </c>
      <c r="F380" s="259">
        <f>D380*E380</f>
        <v>5374.7508754180908</v>
      </c>
    </row>
    <row r="381" spans="2:6" x14ac:dyDescent="0.25">
      <c r="B381" s="277"/>
      <c r="C381" s="278"/>
      <c r="D381" s="279"/>
      <c r="E381" s="280"/>
      <c r="F381" s="259">
        <f>D381*E381</f>
        <v>0</v>
      </c>
    </row>
    <row r="382" spans="2:6" x14ac:dyDescent="0.25">
      <c r="B382" s="277"/>
      <c r="C382" s="278"/>
      <c r="D382" s="279"/>
      <c r="E382" s="280"/>
      <c r="F382" s="259">
        <f>D382*E382</f>
        <v>0</v>
      </c>
    </row>
    <row r="383" spans="2:6" ht="15.75" thickBot="1" x14ac:dyDescent="0.3">
      <c r="B383" s="611" t="s">
        <v>291</v>
      </c>
      <c r="C383" s="612"/>
      <c r="D383" s="612"/>
      <c r="E383" s="613"/>
      <c r="F383" s="285">
        <f>SUM(F380:F382)</f>
        <v>5374.7508754180908</v>
      </c>
    </row>
    <row r="384" spans="2:6" ht="15.75" thickBot="1" x14ac:dyDescent="0.3">
      <c r="B384" s="600" t="s">
        <v>282</v>
      </c>
      <c r="C384" s="601"/>
      <c r="D384" s="601"/>
      <c r="E384" s="601"/>
      <c r="F384" s="499">
        <f>ROUND(F355+F361+F364+F378+F383,0)</f>
        <v>307759</v>
      </c>
    </row>
    <row r="385" spans="2:6" ht="15.75" thickBot="1" x14ac:dyDescent="0.3"/>
    <row r="386" spans="2:6" ht="15.75" thickBot="1" x14ac:dyDescent="0.3">
      <c r="B386" s="602" t="s">
        <v>276</v>
      </c>
      <c r="C386" s="603"/>
      <c r="D386" s="603"/>
      <c r="E386" s="603"/>
      <c r="F386" s="604"/>
    </row>
    <row r="387" spans="2:6" ht="15.75" thickBot="1" x14ac:dyDescent="0.3">
      <c r="B387" s="605" t="s">
        <v>104</v>
      </c>
      <c r="C387" s="606"/>
      <c r="D387" s="607"/>
      <c r="E387" s="282" t="s">
        <v>105</v>
      </c>
      <c r="F387" s="283" t="s">
        <v>103</v>
      </c>
    </row>
    <row r="388" spans="2:6" ht="61.15" customHeight="1" thickBot="1" x14ac:dyDescent="0.3">
      <c r="B388" s="608" t="str">
        <f>'PRESUPUESTO CALLE 58 SUR'!B14</f>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C388" s="609"/>
      <c r="D388" s="610"/>
      <c r="E388" s="248" t="str">
        <f>'PRESUPUESTO CALLE 58 SUR'!C14</f>
        <v>m</v>
      </c>
      <c r="F388" s="448">
        <f>'PRESUPUESTO CALLE 58 SUR'!A14</f>
        <v>1.9</v>
      </c>
    </row>
    <row r="389" spans="2:6" ht="15.75" thickBot="1" x14ac:dyDescent="0.3">
      <c r="B389" s="250" t="s">
        <v>8</v>
      </c>
      <c r="C389" s="251" t="s">
        <v>9</v>
      </c>
      <c r="D389" s="252" t="s">
        <v>10</v>
      </c>
      <c r="E389" s="253" t="s">
        <v>283</v>
      </c>
      <c r="F389" s="254" t="s">
        <v>284</v>
      </c>
    </row>
    <row r="390" spans="2:6" x14ac:dyDescent="0.25">
      <c r="B390" s="594" t="s">
        <v>285</v>
      </c>
      <c r="C390" s="595"/>
      <c r="D390" s="595"/>
      <c r="E390" s="595"/>
      <c r="F390" s="596"/>
    </row>
    <row r="391" spans="2:6" ht="22.5" x14ac:dyDescent="0.25">
      <c r="B391" s="255" t="str">
        <f>INSUMOS!B42</f>
        <v>Tubería NOVAFORT x 6.5 metros, incluye transporte a obra, diámetro 24"</v>
      </c>
      <c r="C391" s="256" t="s">
        <v>111</v>
      </c>
      <c r="D391" s="257">
        <v>1.05</v>
      </c>
      <c r="E391" s="453">
        <f>INSUMOS!D42</f>
        <v>617294.16666666663</v>
      </c>
      <c r="F391" s="259">
        <f t="shared" ref="F391:F402" si="16">D391*E391</f>
        <v>648158.875</v>
      </c>
    </row>
    <row r="392" spans="2:6" x14ac:dyDescent="0.25">
      <c r="B392" s="260" t="str">
        <f>INSUMOS!B139</f>
        <v>Limpiador Removedor PVC X 1/4 de galón.</v>
      </c>
      <c r="C392" s="256" t="str">
        <f>INSUMOS!C362</f>
        <v>un</v>
      </c>
      <c r="D392" s="257">
        <v>0.01</v>
      </c>
      <c r="E392" s="258">
        <f>INSUMOS!D139</f>
        <v>64921.259999999995</v>
      </c>
      <c r="F392" s="259">
        <f>D392*E392</f>
        <v>649.21259999999995</v>
      </c>
    </row>
    <row r="393" spans="2:6" x14ac:dyDescent="0.25">
      <c r="B393" s="261" t="str">
        <f>INSUMOS!B361</f>
        <v>Soldadura PVC (Unión simple) 1/4</v>
      </c>
      <c r="C393" s="256" t="s">
        <v>17</v>
      </c>
      <c r="D393" s="257">
        <v>0.09</v>
      </c>
      <c r="E393" s="258">
        <f>INSUMOS!D361</f>
        <v>124272</v>
      </c>
      <c r="F393" s="259">
        <f t="shared" si="16"/>
        <v>11184.48</v>
      </c>
    </row>
    <row r="394" spans="2:6" x14ac:dyDescent="0.25">
      <c r="B394" s="261" t="str">
        <f>INSUMOS!B363</f>
        <v>Estopa</v>
      </c>
      <c r="C394" s="256" t="str">
        <f>INSUMOS!C363</f>
        <v>kg</v>
      </c>
      <c r="D394" s="257">
        <v>0.1</v>
      </c>
      <c r="E394" s="258">
        <f>INSUMOS!D363</f>
        <v>20000</v>
      </c>
      <c r="F394" s="259">
        <f t="shared" si="16"/>
        <v>2000</v>
      </c>
    </row>
    <row r="395" spans="2:6" x14ac:dyDescent="0.25">
      <c r="B395" s="261" t="str">
        <f>INSUMOS!B159</f>
        <v>Hidrosello Novafort de 24" S4</v>
      </c>
      <c r="C395" s="256" t="s">
        <v>17</v>
      </c>
      <c r="D395" s="257">
        <v>0.16751519857819905</v>
      </c>
      <c r="E395" s="258">
        <f>INSUMOS!D159</f>
        <v>126354.2</v>
      </c>
      <c r="F395" s="259">
        <f t="shared" si="16"/>
        <v>21166.248904189477</v>
      </c>
    </row>
    <row r="396" spans="2:6" x14ac:dyDescent="0.25">
      <c r="B396" s="261"/>
      <c r="C396" s="256"/>
      <c r="D396" s="257"/>
      <c r="E396" s="258"/>
      <c r="F396" s="259">
        <f t="shared" si="16"/>
        <v>0</v>
      </c>
    </row>
    <row r="397" spans="2:6" x14ac:dyDescent="0.25">
      <c r="B397" s="261"/>
      <c r="C397" s="256"/>
      <c r="D397" s="257"/>
      <c r="E397" s="258"/>
      <c r="F397" s="259">
        <f t="shared" si="16"/>
        <v>0</v>
      </c>
    </row>
    <row r="398" spans="2:6" x14ac:dyDescent="0.25">
      <c r="B398" s="261"/>
      <c r="C398" s="256"/>
      <c r="D398" s="257"/>
      <c r="E398" s="258"/>
      <c r="F398" s="259">
        <f t="shared" si="16"/>
        <v>0</v>
      </c>
    </row>
    <row r="399" spans="2:6" x14ac:dyDescent="0.25">
      <c r="B399" s="261"/>
      <c r="C399" s="256"/>
      <c r="D399" s="257"/>
      <c r="E399" s="258"/>
      <c r="F399" s="259">
        <f t="shared" si="16"/>
        <v>0</v>
      </c>
    </row>
    <row r="400" spans="2:6" x14ac:dyDescent="0.25">
      <c r="B400" s="261"/>
      <c r="C400" s="256"/>
      <c r="D400" s="257"/>
      <c r="E400" s="258"/>
      <c r="F400" s="259">
        <f t="shared" si="16"/>
        <v>0</v>
      </c>
    </row>
    <row r="401" spans="2:6" x14ac:dyDescent="0.25">
      <c r="B401" s="261"/>
      <c r="C401" s="256"/>
      <c r="D401" s="257"/>
      <c r="E401" s="258"/>
      <c r="F401" s="259">
        <f t="shared" si="16"/>
        <v>0</v>
      </c>
    </row>
    <row r="402" spans="2:6" x14ac:dyDescent="0.25">
      <c r="B402" s="262"/>
      <c r="C402" s="263"/>
      <c r="D402" s="264"/>
      <c r="E402" s="265"/>
      <c r="F402" s="259">
        <f t="shared" si="16"/>
        <v>0</v>
      </c>
    </row>
    <row r="403" spans="2:6" ht="15.75" thickBot="1" x14ac:dyDescent="0.3">
      <c r="B403" s="611" t="s">
        <v>286</v>
      </c>
      <c r="C403" s="612"/>
      <c r="D403" s="612"/>
      <c r="E403" s="613"/>
      <c r="F403" s="284">
        <f>SUM(F391:F402)</f>
        <v>683158.8165041894</v>
      </c>
    </row>
    <row r="404" spans="2:6" x14ac:dyDescent="0.25">
      <c r="B404" s="594" t="s">
        <v>277</v>
      </c>
      <c r="C404" s="595"/>
      <c r="D404" s="595"/>
      <c r="E404" s="595"/>
      <c r="F404" s="596"/>
    </row>
    <row r="405" spans="2:6" x14ac:dyDescent="0.25">
      <c r="B405" s="266" t="str">
        <f>CUADRILLAS!A76</f>
        <v>Cuad. Hidrosa. (1ofH+1ayH)</v>
      </c>
      <c r="C405" s="267" t="s">
        <v>110</v>
      </c>
      <c r="D405" s="268">
        <v>0.4</v>
      </c>
      <c r="E405" s="269">
        <f>CUADRILLAS!B76</f>
        <v>213286</v>
      </c>
      <c r="F405" s="270">
        <f>D405*E405</f>
        <v>85314.400000000009</v>
      </c>
    </row>
    <row r="406" spans="2:6" x14ac:dyDescent="0.25">
      <c r="B406" s="266"/>
      <c r="C406" s="267"/>
      <c r="D406" s="268"/>
      <c r="E406" s="269"/>
      <c r="F406" s="270">
        <f>D406*E406</f>
        <v>0</v>
      </c>
    </row>
    <row r="407" spans="2:6" x14ac:dyDescent="0.25">
      <c r="B407" s="266"/>
      <c r="C407" s="267"/>
      <c r="D407" s="268"/>
      <c r="E407" s="271"/>
      <c r="F407" s="270">
        <f>D407*E407</f>
        <v>0</v>
      </c>
    </row>
    <row r="408" spans="2:6" x14ac:dyDescent="0.25">
      <c r="B408" s="272"/>
      <c r="C408" s="273"/>
      <c r="D408" s="268"/>
      <c r="E408" s="271"/>
      <c r="F408" s="270">
        <f>D408*E408</f>
        <v>0</v>
      </c>
    </row>
    <row r="409" spans="2:6" ht="15.75" thickBot="1" x14ac:dyDescent="0.3">
      <c r="B409" s="611" t="s">
        <v>287</v>
      </c>
      <c r="C409" s="612"/>
      <c r="D409" s="612"/>
      <c r="E409" s="613"/>
      <c r="F409" s="274">
        <f>SUM(F405:F408)</f>
        <v>85314.400000000009</v>
      </c>
    </row>
    <row r="410" spans="2:6" x14ac:dyDescent="0.25">
      <c r="B410" s="594" t="s">
        <v>278</v>
      </c>
      <c r="C410" s="595"/>
      <c r="D410" s="595"/>
      <c r="E410" s="595"/>
      <c r="F410" s="596"/>
    </row>
    <row r="411" spans="2:6" x14ac:dyDescent="0.25">
      <c r="B411" s="272" t="s">
        <v>279</v>
      </c>
      <c r="C411" s="273" t="s">
        <v>280</v>
      </c>
      <c r="D411" s="268">
        <v>0.05</v>
      </c>
      <c r="E411" s="271">
        <f>F409</f>
        <v>85314.400000000009</v>
      </c>
      <c r="F411" s="270">
        <f>D411*E411</f>
        <v>4265.72</v>
      </c>
    </row>
    <row r="412" spans="2:6" ht="15.75" thickBot="1" x14ac:dyDescent="0.3">
      <c r="B412" s="611" t="s">
        <v>288</v>
      </c>
      <c r="C412" s="612"/>
      <c r="D412" s="612"/>
      <c r="E412" s="613"/>
      <c r="F412" s="274">
        <f>SUM(F411)</f>
        <v>4265.72</v>
      </c>
    </row>
    <row r="413" spans="2:6" x14ac:dyDescent="0.25">
      <c r="B413" s="594" t="s">
        <v>281</v>
      </c>
      <c r="C413" s="595"/>
      <c r="D413" s="595"/>
      <c r="E413" s="595"/>
      <c r="F413" s="596"/>
    </row>
    <row r="414" spans="2:6" x14ac:dyDescent="0.25">
      <c r="B414" s="272"/>
      <c r="C414" s="273"/>
      <c r="D414" s="268"/>
      <c r="E414" s="271"/>
      <c r="F414" s="259">
        <f t="shared" ref="F414:F425" si="17">D414*E414</f>
        <v>0</v>
      </c>
    </row>
    <row r="415" spans="2:6" x14ac:dyDescent="0.25">
      <c r="B415" s="272"/>
      <c r="C415" s="273"/>
      <c r="D415" s="268"/>
      <c r="E415" s="271"/>
      <c r="F415" s="259">
        <f t="shared" si="17"/>
        <v>0</v>
      </c>
    </row>
    <row r="416" spans="2:6" x14ac:dyDescent="0.25">
      <c r="B416" s="272"/>
      <c r="C416" s="273"/>
      <c r="D416" s="268"/>
      <c r="E416" s="271"/>
      <c r="F416" s="259">
        <f t="shared" si="17"/>
        <v>0</v>
      </c>
    </row>
    <row r="417" spans="2:6" x14ac:dyDescent="0.25">
      <c r="B417" s="272"/>
      <c r="C417" s="273"/>
      <c r="D417" s="268"/>
      <c r="E417" s="271"/>
      <c r="F417" s="259">
        <f t="shared" si="17"/>
        <v>0</v>
      </c>
    </row>
    <row r="418" spans="2:6" x14ac:dyDescent="0.25">
      <c r="B418" s="272"/>
      <c r="C418" s="273"/>
      <c r="D418" s="268"/>
      <c r="E418" s="271"/>
      <c r="F418" s="259">
        <f t="shared" si="17"/>
        <v>0</v>
      </c>
    </row>
    <row r="419" spans="2:6" x14ac:dyDescent="0.25">
      <c r="B419" s="272"/>
      <c r="C419" s="273"/>
      <c r="D419" s="268"/>
      <c r="E419" s="271"/>
      <c r="F419" s="259">
        <f t="shared" si="17"/>
        <v>0</v>
      </c>
    </row>
    <row r="420" spans="2:6" x14ac:dyDescent="0.25">
      <c r="B420" s="272"/>
      <c r="C420" s="273"/>
      <c r="D420" s="268"/>
      <c r="E420" s="271"/>
      <c r="F420" s="259">
        <f t="shared" si="17"/>
        <v>0</v>
      </c>
    </row>
    <row r="421" spans="2:6" x14ac:dyDescent="0.25">
      <c r="B421" s="272"/>
      <c r="C421" s="273"/>
      <c r="D421" s="268"/>
      <c r="E421" s="271"/>
      <c r="F421" s="259">
        <f t="shared" si="17"/>
        <v>0</v>
      </c>
    </row>
    <row r="422" spans="2:6" x14ac:dyDescent="0.25">
      <c r="B422" s="272"/>
      <c r="C422" s="273"/>
      <c r="D422" s="268"/>
      <c r="E422" s="271"/>
      <c r="F422" s="259">
        <f t="shared" si="17"/>
        <v>0</v>
      </c>
    </row>
    <row r="423" spans="2:6" x14ac:dyDescent="0.25">
      <c r="B423" s="272"/>
      <c r="C423" s="273"/>
      <c r="D423" s="268"/>
      <c r="E423" s="271"/>
      <c r="F423" s="259">
        <f t="shared" si="17"/>
        <v>0</v>
      </c>
    </row>
    <row r="424" spans="2:6" x14ac:dyDescent="0.25">
      <c r="B424" s="272"/>
      <c r="C424" s="273"/>
      <c r="D424" s="268"/>
      <c r="E424" s="271"/>
      <c r="F424" s="259">
        <f t="shared" si="17"/>
        <v>0</v>
      </c>
    </row>
    <row r="425" spans="2:6" x14ac:dyDescent="0.25">
      <c r="B425" s="272"/>
      <c r="C425" s="273"/>
      <c r="D425" s="268"/>
      <c r="E425" s="271"/>
      <c r="F425" s="259">
        <f t="shared" si="17"/>
        <v>0</v>
      </c>
    </row>
    <row r="426" spans="2:6" ht="15.75" thickBot="1" x14ac:dyDescent="0.3">
      <c r="B426" s="611" t="s">
        <v>289</v>
      </c>
      <c r="C426" s="612"/>
      <c r="D426" s="612"/>
      <c r="E426" s="613"/>
      <c r="F426" s="274">
        <f>SUM(F414:F425)</f>
        <v>0</v>
      </c>
    </row>
    <row r="427" spans="2:6" x14ac:dyDescent="0.25">
      <c r="B427" s="594" t="s">
        <v>290</v>
      </c>
      <c r="C427" s="595"/>
      <c r="D427" s="595"/>
      <c r="E427" s="595"/>
      <c r="F427" s="596"/>
    </row>
    <row r="428" spans="2:6" x14ac:dyDescent="0.25">
      <c r="B428" s="272" t="s">
        <v>884</v>
      </c>
      <c r="C428" s="273" t="s">
        <v>49</v>
      </c>
      <c r="D428" s="275">
        <v>1</v>
      </c>
      <c r="E428" s="276">
        <v>5000</v>
      </c>
      <c r="F428" s="259">
        <f>D428*E428</f>
        <v>5000</v>
      </c>
    </row>
    <row r="429" spans="2:6" x14ac:dyDescent="0.25">
      <c r="B429" s="277"/>
      <c r="C429" s="278"/>
      <c r="D429" s="279"/>
      <c r="E429" s="280"/>
      <c r="F429" s="259">
        <f>D429*E429</f>
        <v>0</v>
      </c>
    </row>
    <row r="430" spans="2:6" x14ac:dyDescent="0.25">
      <c r="B430" s="277"/>
      <c r="C430" s="278"/>
      <c r="D430" s="279"/>
      <c r="E430" s="280"/>
      <c r="F430" s="259">
        <f>D430*E430</f>
        <v>0</v>
      </c>
    </row>
    <row r="431" spans="2:6" ht="15.75" thickBot="1" x14ac:dyDescent="0.3">
      <c r="B431" s="611" t="s">
        <v>291</v>
      </c>
      <c r="C431" s="612"/>
      <c r="D431" s="612"/>
      <c r="E431" s="613"/>
      <c r="F431" s="285">
        <f>SUM(F428:F430)</f>
        <v>5000</v>
      </c>
    </row>
    <row r="432" spans="2:6" ht="15.75" thickBot="1" x14ac:dyDescent="0.3">
      <c r="B432" s="600" t="s">
        <v>282</v>
      </c>
      <c r="C432" s="601"/>
      <c r="D432" s="601"/>
      <c r="E432" s="601"/>
      <c r="F432" s="286">
        <f>ROUND(F403+F409+F412+F426+F431,0)</f>
        <v>777739</v>
      </c>
    </row>
    <row r="433" spans="2:6" ht="15.75" thickBot="1" x14ac:dyDescent="0.3"/>
    <row r="434" spans="2:6" ht="15.75" thickBot="1" x14ac:dyDescent="0.3">
      <c r="B434" s="602" t="s">
        <v>276</v>
      </c>
      <c r="C434" s="603"/>
      <c r="D434" s="603"/>
      <c r="E434" s="603"/>
      <c r="F434" s="604"/>
    </row>
    <row r="435" spans="2:6" ht="15.75" thickBot="1" x14ac:dyDescent="0.3">
      <c r="B435" s="605" t="s">
        <v>104</v>
      </c>
      <c r="C435" s="606"/>
      <c r="D435" s="607"/>
      <c r="E435" s="282" t="s">
        <v>105</v>
      </c>
      <c r="F435" s="283" t="s">
        <v>103</v>
      </c>
    </row>
    <row r="436" spans="2:6" ht="61.15" customHeight="1" thickBot="1" x14ac:dyDescent="0.3">
      <c r="B436" s="608" t="str">
        <f>'PRESUPUESTO CALLE 58 SUR'!B15</f>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C436" s="609"/>
      <c r="D436" s="610"/>
      <c r="E436" s="248" t="str">
        <f>'PRESUPUESTO CALLE 58 SUR'!C15</f>
        <v>m</v>
      </c>
      <c r="F436" s="249">
        <f>'PRESUPUESTO CALLE 58 SUR'!A15</f>
        <v>1.1000000000000001</v>
      </c>
    </row>
    <row r="437" spans="2:6" ht="15.75" thickBot="1" x14ac:dyDescent="0.3">
      <c r="B437" s="250" t="s">
        <v>8</v>
      </c>
      <c r="C437" s="251" t="s">
        <v>9</v>
      </c>
      <c r="D437" s="252" t="s">
        <v>10</v>
      </c>
      <c r="E437" s="253" t="s">
        <v>283</v>
      </c>
      <c r="F437" s="254" t="s">
        <v>284</v>
      </c>
    </row>
    <row r="438" spans="2:6" x14ac:dyDescent="0.25">
      <c r="B438" s="594" t="s">
        <v>285</v>
      </c>
      <c r="C438" s="595"/>
      <c r="D438" s="595"/>
      <c r="E438" s="595"/>
      <c r="F438" s="596"/>
    </row>
    <row r="439" spans="2:6" ht="22.5" x14ac:dyDescent="0.25">
      <c r="B439" s="255" t="str">
        <f>INSUMOS!B36</f>
        <v>Tubería NOVAFORT x 6 metros, incluye transporte a obra, diámetro 250 mm</v>
      </c>
      <c r="C439" s="256" t="s">
        <v>111</v>
      </c>
      <c r="D439" s="257">
        <v>1.05</v>
      </c>
      <c r="E439" s="258">
        <f>INSUMOS!D36</f>
        <v>104084.33333333333</v>
      </c>
      <c r="F439" s="259">
        <f t="shared" ref="F439:F450" si="18">D439*E439</f>
        <v>109288.55</v>
      </c>
    </row>
    <row r="440" spans="2:6" x14ac:dyDescent="0.25">
      <c r="B440" s="260" t="str">
        <f>INSUMOS!B146</f>
        <v>Hidrosello Novafort de 250 mm</v>
      </c>
      <c r="C440" s="256" t="s">
        <v>17</v>
      </c>
      <c r="D440" s="257">
        <v>0.16667000000000001</v>
      </c>
      <c r="E440" s="258">
        <f>INSUMOS!D151</f>
        <v>16693.32</v>
      </c>
      <c r="F440" s="259">
        <f t="shared" si="18"/>
        <v>2782.2756444000001</v>
      </c>
    </row>
    <row r="441" spans="2:6" x14ac:dyDescent="0.25">
      <c r="B441" s="261" t="str">
        <f>INSUMOS!B139</f>
        <v>Limpiador Removedor PVC X 1/4 de galón.</v>
      </c>
      <c r="C441" s="256" t="s">
        <v>17</v>
      </c>
      <c r="D441" s="257">
        <v>8.3000000000000004E-2</v>
      </c>
      <c r="E441" s="258">
        <f>INSUMOS!D139</f>
        <v>64921.259999999995</v>
      </c>
      <c r="F441" s="259">
        <f t="shared" si="18"/>
        <v>5388.4645799999998</v>
      </c>
    </row>
    <row r="442" spans="2:6" x14ac:dyDescent="0.25">
      <c r="B442" s="261" t="str">
        <f>INSUMOS!B140</f>
        <v>Soldadura PVC (Unión simple) 1/4</v>
      </c>
      <c r="C442" s="256" t="s">
        <v>17</v>
      </c>
      <c r="D442" s="257">
        <v>5.7000000000000002E-2</v>
      </c>
      <c r="E442" s="258">
        <f>INSUMOS!D140</f>
        <v>129271.7</v>
      </c>
      <c r="F442" s="259">
        <f t="shared" si="18"/>
        <v>7368.4868999999999</v>
      </c>
    </row>
    <row r="443" spans="2:6" x14ac:dyDescent="0.25">
      <c r="B443" s="261" t="str">
        <f>INSUMOS!B363</f>
        <v>Estopa</v>
      </c>
      <c r="C443" s="256" t="s">
        <v>122</v>
      </c>
      <c r="D443" s="257">
        <v>0.05</v>
      </c>
      <c r="E443" s="258">
        <f>INSUMOS!D363</f>
        <v>20000</v>
      </c>
      <c r="F443" s="259">
        <f t="shared" si="18"/>
        <v>1000</v>
      </c>
    </row>
    <row r="444" spans="2:6" ht="22.5" x14ac:dyDescent="0.25">
      <c r="B444" s="261" t="str">
        <f>INSUMOS!B54</f>
        <v>Conexiones Alcantarillado NOVAFORT uniones Diámetro 250 mm</v>
      </c>
      <c r="C444" s="256" t="s">
        <v>17</v>
      </c>
      <c r="D444" s="257">
        <v>1.9105511811023629E-2</v>
      </c>
      <c r="E444" s="258">
        <f>INSUMOS!D54</f>
        <v>181139</v>
      </c>
      <c r="F444" s="259">
        <f t="shared" si="18"/>
        <v>3460.7533039370092</v>
      </c>
    </row>
    <row r="445" spans="2:6" x14ac:dyDescent="0.25">
      <c r="B445" s="261"/>
      <c r="C445" s="256"/>
      <c r="D445" s="257"/>
      <c r="E445" s="258"/>
      <c r="F445" s="259">
        <f t="shared" si="18"/>
        <v>0</v>
      </c>
    </row>
    <row r="446" spans="2:6" x14ac:dyDescent="0.25">
      <c r="B446" s="261"/>
      <c r="C446" s="256"/>
      <c r="D446" s="257"/>
      <c r="E446" s="258"/>
      <c r="F446" s="259">
        <f t="shared" si="18"/>
        <v>0</v>
      </c>
    </row>
    <row r="447" spans="2:6" x14ac:dyDescent="0.25">
      <c r="B447" s="261"/>
      <c r="C447" s="256"/>
      <c r="D447" s="257"/>
      <c r="E447" s="258"/>
      <c r="F447" s="259">
        <f t="shared" si="18"/>
        <v>0</v>
      </c>
    </row>
    <row r="448" spans="2:6" x14ac:dyDescent="0.25">
      <c r="B448" s="261"/>
      <c r="C448" s="256"/>
      <c r="D448" s="257"/>
      <c r="E448" s="258"/>
      <c r="F448" s="259">
        <f t="shared" si="18"/>
        <v>0</v>
      </c>
    </row>
    <row r="449" spans="2:6" x14ac:dyDescent="0.25">
      <c r="B449" s="261"/>
      <c r="C449" s="256"/>
      <c r="D449" s="257"/>
      <c r="E449" s="258"/>
      <c r="F449" s="259">
        <f t="shared" si="18"/>
        <v>0</v>
      </c>
    </row>
    <row r="450" spans="2:6" x14ac:dyDescent="0.25">
      <c r="B450" s="262"/>
      <c r="C450" s="263"/>
      <c r="D450" s="264"/>
      <c r="E450" s="265"/>
      <c r="F450" s="259">
        <f t="shared" si="18"/>
        <v>0</v>
      </c>
    </row>
    <row r="451" spans="2:6" ht="15.75" thickBot="1" x14ac:dyDescent="0.3">
      <c r="B451" s="611" t="s">
        <v>286</v>
      </c>
      <c r="C451" s="612"/>
      <c r="D451" s="612"/>
      <c r="E451" s="613"/>
      <c r="F451" s="284">
        <f>SUM(F439:F450)</f>
        <v>129288.53042833701</v>
      </c>
    </row>
    <row r="452" spans="2:6" x14ac:dyDescent="0.25">
      <c r="B452" s="594" t="s">
        <v>277</v>
      </c>
      <c r="C452" s="595"/>
      <c r="D452" s="595"/>
      <c r="E452" s="595"/>
      <c r="F452" s="596"/>
    </row>
    <row r="453" spans="2:6" x14ac:dyDescent="0.25">
      <c r="B453" s="266" t="str">
        <f>CUADRILLAS!A76</f>
        <v>Cuad. Hidrosa. (1ofH+1ayH)</v>
      </c>
      <c r="C453" s="267" t="s">
        <v>110</v>
      </c>
      <c r="D453" s="268">
        <v>0.15</v>
      </c>
      <c r="E453" s="269">
        <f>CUADRILLAS!B76</f>
        <v>213286</v>
      </c>
      <c r="F453" s="270">
        <f>D453*E453</f>
        <v>31992.899999999998</v>
      </c>
    </row>
    <row r="454" spans="2:6" x14ac:dyDescent="0.25">
      <c r="B454" s="266"/>
      <c r="C454" s="267"/>
      <c r="D454" s="268"/>
      <c r="E454" s="269"/>
      <c r="F454" s="270">
        <f>D454*E454</f>
        <v>0</v>
      </c>
    </row>
    <row r="455" spans="2:6" x14ac:dyDescent="0.25">
      <c r="B455" s="266"/>
      <c r="C455" s="267"/>
      <c r="D455" s="268"/>
      <c r="E455" s="271"/>
      <c r="F455" s="270">
        <f>D455*E455</f>
        <v>0</v>
      </c>
    </row>
    <row r="456" spans="2:6" x14ac:dyDescent="0.25">
      <c r="B456" s="272"/>
      <c r="C456" s="273"/>
      <c r="D456" s="268"/>
      <c r="E456" s="271"/>
      <c r="F456" s="270">
        <f>D456*E456</f>
        <v>0</v>
      </c>
    </row>
    <row r="457" spans="2:6" ht="15.75" thickBot="1" x14ac:dyDescent="0.3">
      <c r="B457" s="611" t="s">
        <v>287</v>
      </c>
      <c r="C457" s="612"/>
      <c r="D457" s="612"/>
      <c r="E457" s="613"/>
      <c r="F457" s="274">
        <f>SUM(F453:F456)</f>
        <v>31992.899999999998</v>
      </c>
    </row>
    <row r="458" spans="2:6" x14ac:dyDescent="0.25">
      <c r="B458" s="594" t="s">
        <v>278</v>
      </c>
      <c r="C458" s="595"/>
      <c r="D458" s="595"/>
      <c r="E458" s="595"/>
      <c r="F458" s="596"/>
    </row>
    <row r="459" spans="2:6" x14ac:dyDescent="0.25">
      <c r="B459" s="272" t="s">
        <v>279</v>
      </c>
      <c r="C459" s="273" t="s">
        <v>280</v>
      </c>
      <c r="D459" s="268">
        <v>0.05</v>
      </c>
      <c r="E459" s="271">
        <f>F457</f>
        <v>31992.899999999998</v>
      </c>
      <c r="F459" s="270">
        <f>D459*E459</f>
        <v>1599.645</v>
      </c>
    </row>
    <row r="460" spans="2:6" ht="15.75" thickBot="1" x14ac:dyDescent="0.3">
      <c r="B460" s="611" t="s">
        <v>288</v>
      </c>
      <c r="C460" s="612"/>
      <c r="D460" s="612"/>
      <c r="E460" s="613"/>
      <c r="F460" s="274">
        <f>SUM(F459)</f>
        <v>1599.645</v>
      </c>
    </row>
    <row r="461" spans="2:6" x14ac:dyDescent="0.25">
      <c r="B461" s="594" t="s">
        <v>281</v>
      </c>
      <c r="C461" s="595"/>
      <c r="D461" s="595"/>
      <c r="E461" s="595"/>
      <c r="F461" s="596"/>
    </row>
    <row r="462" spans="2:6" x14ac:dyDescent="0.25">
      <c r="B462" s="272"/>
      <c r="C462" s="273"/>
      <c r="D462" s="268"/>
      <c r="E462" s="271"/>
      <c r="F462" s="259">
        <f t="shared" ref="F462:F473" si="19">D462*E462</f>
        <v>0</v>
      </c>
    </row>
    <row r="463" spans="2:6" x14ac:dyDescent="0.25">
      <c r="B463" s="272"/>
      <c r="C463" s="273"/>
      <c r="D463" s="268"/>
      <c r="E463" s="271"/>
      <c r="F463" s="259">
        <f t="shared" si="19"/>
        <v>0</v>
      </c>
    </row>
    <row r="464" spans="2:6" x14ac:dyDescent="0.25">
      <c r="B464" s="272"/>
      <c r="C464" s="273"/>
      <c r="D464" s="268"/>
      <c r="E464" s="271"/>
      <c r="F464" s="259">
        <f t="shared" si="19"/>
        <v>0</v>
      </c>
    </row>
    <row r="465" spans="2:6" x14ac:dyDescent="0.25">
      <c r="B465" s="272"/>
      <c r="C465" s="273"/>
      <c r="D465" s="268"/>
      <c r="E465" s="271"/>
      <c r="F465" s="259">
        <f t="shared" si="19"/>
        <v>0</v>
      </c>
    </row>
    <row r="466" spans="2:6" x14ac:dyDescent="0.25">
      <c r="B466" s="272"/>
      <c r="C466" s="273"/>
      <c r="D466" s="268"/>
      <c r="E466" s="271"/>
      <c r="F466" s="259">
        <f t="shared" si="19"/>
        <v>0</v>
      </c>
    </row>
    <row r="467" spans="2:6" x14ac:dyDescent="0.25">
      <c r="B467" s="272"/>
      <c r="C467" s="273"/>
      <c r="D467" s="268"/>
      <c r="E467" s="271"/>
      <c r="F467" s="259">
        <f t="shared" si="19"/>
        <v>0</v>
      </c>
    </row>
    <row r="468" spans="2:6" x14ac:dyDescent="0.25">
      <c r="B468" s="272"/>
      <c r="C468" s="273"/>
      <c r="D468" s="268"/>
      <c r="E468" s="271"/>
      <c r="F468" s="259">
        <f t="shared" si="19"/>
        <v>0</v>
      </c>
    </row>
    <row r="469" spans="2:6" x14ac:dyDescent="0.25">
      <c r="B469" s="272"/>
      <c r="C469" s="273"/>
      <c r="D469" s="268"/>
      <c r="E469" s="271"/>
      <c r="F469" s="259">
        <f t="shared" si="19"/>
        <v>0</v>
      </c>
    </row>
    <row r="470" spans="2:6" x14ac:dyDescent="0.25">
      <c r="B470" s="272"/>
      <c r="C470" s="273"/>
      <c r="D470" s="268"/>
      <c r="E470" s="271"/>
      <c r="F470" s="259">
        <f t="shared" si="19"/>
        <v>0</v>
      </c>
    </row>
    <row r="471" spans="2:6" x14ac:dyDescent="0.25">
      <c r="B471" s="272"/>
      <c r="C471" s="273"/>
      <c r="D471" s="268"/>
      <c r="E471" s="271"/>
      <c r="F471" s="259">
        <f t="shared" si="19"/>
        <v>0</v>
      </c>
    </row>
    <row r="472" spans="2:6" x14ac:dyDescent="0.25">
      <c r="B472" s="272"/>
      <c r="C472" s="273"/>
      <c r="D472" s="268"/>
      <c r="E472" s="271"/>
      <c r="F472" s="259">
        <f t="shared" si="19"/>
        <v>0</v>
      </c>
    </row>
    <row r="473" spans="2:6" x14ac:dyDescent="0.25">
      <c r="B473" s="272"/>
      <c r="C473" s="273"/>
      <c r="D473" s="268"/>
      <c r="E473" s="271"/>
      <c r="F473" s="259">
        <f t="shared" si="19"/>
        <v>0</v>
      </c>
    </row>
    <row r="474" spans="2:6" ht="15.75" thickBot="1" x14ac:dyDescent="0.3">
      <c r="B474" s="611" t="s">
        <v>289</v>
      </c>
      <c r="C474" s="612"/>
      <c r="D474" s="612"/>
      <c r="E474" s="613"/>
      <c r="F474" s="274">
        <f>SUM(F462:F473)</f>
        <v>0</v>
      </c>
    </row>
    <row r="475" spans="2:6" x14ac:dyDescent="0.25">
      <c r="B475" s="594" t="s">
        <v>290</v>
      </c>
      <c r="C475" s="595"/>
      <c r="D475" s="595"/>
      <c r="E475" s="595"/>
      <c r="F475" s="596"/>
    </row>
    <row r="476" spans="2:6" x14ac:dyDescent="0.25">
      <c r="B476" s="272" t="s">
        <v>883</v>
      </c>
      <c r="C476" s="273" t="s">
        <v>49</v>
      </c>
      <c r="D476" s="275">
        <v>1</v>
      </c>
      <c r="E476" s="276">
        <v>2500</v>
      </c>
      <c r="F476" s="259">
        <f>D476*E476</f>
        <v>2500</v>
      </c>
    </row>
    <row r="477" spans="2:6" x14ac:dyDescent="0.25">
      <c r="B477" s="277"/>
      <c r="C477" s="278"/>
      <c r="D477" s="279"/>
      <c r="E477" s="280"/>
      <c r="F477" s="259">
        <f>D477*E477</f>
        <v>0</v>
      </c>
    </row>
    <row r="478" spans="2:6" x14ac:dyDescent="0.25">
      <c r="B478" s="277"/>
      <c r="C478" s="278"/>
      <c r="D478" s="279"/>
      <c r="E478" s="280"/>
      <c r="F478" s="259">
        <f>D478*E478</f>
        <v>0</v>
      </c>
    </row>
    <row r="479" spans="2:6" ht="15.75" thickBot="1" x14ac:dyDescent="0.3">
      <c r="B479" s="611" t="s">
        <v>291</v>
      </c>
      <c r="C479" s="612"/>
      <c r="D479" s="612"/>
      <c r="E479" s="613"/>
      <c r="F479" s="285">
        <f>SUM(F476:F478)</f>
        <v>2500</v>
      </c>
    </row>
    <row r="480" spans="2:6" ht="15.75" thickBot="1" x14ac:dyDescent="0.3">
      <c r="B480" s="600" t="s">
        <v>282</v>
      </c>
      <c r="C480" s="601"/>
      <c r="D480" s="601"/>
      <c r="E480" s="601"/>
      <c r="F480" s="286">
        <f>ROUND(F451+F457+F460+F474+F479,0)</f>
        <v>165381</v>
      </c>
    </row>
    <row r="481" spans="2:6" ht="15.75" thickBot="1" x14ac:dyDescent="0.3"/>
    <row r="482" spans="2:6" ht="15.75" thickBot="1" x14ac:dyDescent="0.3">
      <c r="B482" s="602" t="s">
        <v>276</v>
      </c>
      <c r="C482" s="603"/>
      <c r="D482" s="603"/>
      <c r="E482" s="603"/>
      <c r="F482" s="604"/>
    </row>
    <row r="483" spans="2:6" ht="15.75" thickBot="1" x14ac:dyDescent="0.3">
      <c r="B483" s="605" t="s">
        <v>104</v>
      </c>
      <c r="C483" s="606"/>
      <c r="D483" s="607"/>
      <c r="E483" s="282" t="s">
        <v>105</v>
      </c>
      <c r="F483" s="283" t="s">
        <v>103</v>
      </c>
    </row>
    <row r="484" spans="2:6" ht="62.45" customHeight="1" thickBot="1" x14ac:dyDescent="0.3">
      <c r="B484" s="608" t="str">
        <f>'PRESUPUESTO CALLE 58 SUR'!B16</f>
        <v>Suministro, transporte y colocación de TRITURADO de 3/4 " para construcción de CIMENTACIÓN DE TUBERÍA PVC NOVAFORT. Incluye transporte interno y todo lo necesario para su correcta instalación.</v>
      </c>
      <c r="C484" s="609"/>
      <c r="D484" s="610"/>
      <c r="E484" s="248" t="str">
        <f>'PRESUPUESTO CALLE 58 SUR'!C16</f>
        <v>m3</v>
      </c>
      <c r="F484" s="249">
        <f>'PRESUPUESTO CALLE 58 SUR'!A16</f>
        <v>1.1100000000000001</v>
      </c>
    </row>
    <row r="485" spans="2:6" ht="15.75" thickBot="1" x14ac:dyDescent="0.3">
      <c r="B485" s="250" t="s">
        <v>8</v>
      </c>
      <c r="C485" s="251" t="s">
        <v>9</v>
      </c>
      <c r="D485" s="252" t="s">
        <v>10</v>
      </c>
      <c r="E485" s="253" t="s">
        <v>283</v>
      </c>
      <c r="F485" s="254" t="s">
        <v>284</v>
      </c>
    </row>
    <row r="486" spans="2:6" x14ac:dyDescent="0.25">
      <c r="B486" s="594" t="s">
        <v>285</v>
      </c>
      <c r="C486" s="595"/>
      <c r="D486" s="595"/>
      <c r="E486" s="595"/>
      <c r="F486" s="596"/>
    </row>
    <row r="487" spans="2:6" x14ac:dyDescent="0.25">
      <c r="B487" s="255" t="str">
        <f>SUBANALISIS!H7</f>
        <v>Triturado 3/4"-3/8"</v>
      </c>
      <c r="C487" s="256" t="s">
        <v>117</v>
      </c>
      <c r="D487" s="257">
        <v>1.1000000000000001</v>
      </c>
      <c r="E487" s="258">
        <f>SUBANALISIS!I7</f>
        <v>80967.599999999991</v>
      </c>
      <c r="F487" s="259">
        <f t="shared" ref="F487:F498" si="20">D487*E487</f>
        <v>89064.36</v>
      </c>
    </row>
    <row r="488" spans="2:6" x14ac:dyDescent="0.25">
      <c r="B488" s="260"/>
      <c r="C488" s="256"/>
      <c r="D488" s="257"/>
      <c r="E488" s="258"/>
      <c r="F488" s="259">
        <f t="shared" si="20"/>
        <v>0</v>
      </c>
    </row>
    <row r="489" spans="2:6" x14ac:dyDescent="0.25">
      <c r="B489" s="261"/>
      <c r="C489" s="256"/>
      <c r="D489" s="257"/>
      <c r="E489" s="258"/>
      <c r="F489" s="259">
        <f t="shared" si="20"/>
        <v>0</v>
      </c>
    </row>
    <row r="490" spans="2:6" x14ac:dyDescent="0.25">
      <c r="B490" s="261"/>
      <c r="C490" s="256"/>
      <c r="D490" s="257"/>
      <c r="E490" s="258"/>
      <c r="F490" s="259">
        <f t="shared" si="20"/>
        <v>0</v>
      </c>
    </row>
    <row r="491" spans="2:6" x14ac:dyDescent="0.25">
      <c r="B491" s="261"/>
      <c r="C491" s="256"/>
      <c r="D491" s="257"/>
      <c r="E491" s="258"/>
      <c r="F491" s="259">
        <f t="shared" si="20"/>
        <v>0</v>
      </c>
    </row>
    <row r="492" spans="2:6" x14ac:dyDescent="0.25">
      <c r="B492" s="261"/>
      <c r="C492" s="256"/>
      <c r="D492" s="257"/>
      <c r="E492" s="258"/>
      <c r="F492" s="259">
        <f t="shared" si="20"/>
        <v>0</v>
      </c>
    </row>
    <row r="493" spans="2:6" x14ac:dyDescent="0.25">
      <c r="B493" s="261"/>
      <c r="C493" s="256"/>
      <c r="D493" s="257"/>
      <c r="E493" s="258"/>
      <c r="F493" s="259">
        <f t="shared" si="20"/>
        <v>0</v>
      </c>
    </row>
    <row r="494" spans="2:6" x14ac:dyDescent="0.25">
      <c r="B494" s="261"/>
      <c r="C494" s="256"/>
      <c r="D494" s="257"/>
      <c r="E494" s="258"/>
      <c r="F494" s="259">
        <f t="shared" si="20"/>
        <v>0</v>
      </c>
    </row>
    <row r="495" spans="2:6" x14ac:dyDescent="0.25">
      <c r="B495" s="261"/>
      <c r="C495" s="256"/>
      <c r="D495" s="257"/>
      <c r="E495" s="258"/>
      <c r="F495" s="259">
        <f t="shared" si="20"/>
        <v>0</v>
      </c>
    </row>
    <row r="496" spans="2:6" x14ac:dyDescent="0.25">
      <c r="B496" s="261"/>
      <c r="C496" s="256"/>
      <c r="D496" s="257"/>
      <c r="E496" s="258"/>
      <c r="F496" s="259">
        <f t="shared" si="20"/>
        <v>0</v>
      </c>
    </row>
    <row r="497" spans="2:6" x14ac:dyDescent="0.25">
      <c r="B497" s="261"/>
      <c r="C497" s="256"/>
      <c r="D497" s="257"/>
      <c r="E497" s="258"/>
      <c r="F497" s="259">
        <f t="shared" si="20"/>
        <v>0</v>
      </c>
    </row>
    <row r="498" spans="2:6" x14ac:dyDescent="0.25">
      <c r="B498" s="262"/>
      <c r="C498" s="263"/>
      <c r="D498" s="264"/>
      <c r="E498" s="265"/>
      <c r="F498" s="259">
        <f t="shared" si="20"/>
        <v>0</v>
      </c>
    </row>
    <row r="499" spans="2:6" ht="15.75" thickBot="1" x14ac:dyDescent="0.3">
      <c r="B499" s="611" t="s">
        <v>286</v>
      </c>
      <c r="C499" s="612"/>
      <c r="D499" s="612"/>
      <c r="E499" s="613"/>
      <c r="F499" s="284">
        <f>SUM(F487:F498)</f>
        <v>89064.36</v>
      </c>
    </row>
    <row r="500" spans="2:6" x14ac:dyDescent="0.25">
      <c r="B500" s="594" t="s">
        <v>277</v>
      </c>
      <c r="C500" s="595"/>
      <c r="D500" s="595"/>
      <c r="E500" s="595"/>
      <c r="F500" s="596"/>
    </row>
    <row r="501" spans="2:6" x14ac:dyDescent="0.25">
      <c r="B501" s="266" t="str">
        <f>CUADRILLAS!A79</f>
        <v>Cuad. 1of + 1ay</v>
      </c>
      <c r="C501" s="267" t="s">
        <v>110</v>
      </c>
      <c r="D501" s="268">
        <v>0.18</v>
      </c>
      <c r="E501" s="269">
        <f>CUADRILLAS!B79</f>
        <v>207851</v>
      </c>
      <c r="F501" s="270">
        <f>D501*E501</f>
        <v>37413.18</v>
      </c>
    </row>
    <row r="502" spans="2:6" x14ac:dyDescent="0.25">
      <c r="B502" s="266"/>
      <c r="C502" s="267"/>
      <c r="D502" s="268"/>
      <c r="E502" s="269"/>
      <c r="F502" s="270">
        <f>D502*E502</f>
        <v>0</v>
      </c>
    </row>
    <row r="503" spans="2:6" x14ac:dyDescent="0.25">
      <c r="B503" s="266"/>
      <c r="C503" s="267"/>
      <c r="D503" s="268"/>
      <c r="E503" s="271"/>
      <c r="F503" s="270">
        <f>D503*E503</f>
        <v>0</v>
      </c>
    </row>
    <row r="504" spans="2:6" x14ac:dyDescent="0.25">
      <c r="B504" s="272"/>
      <c r="C504" s="273"/>
      <c r="D504" s="268"/>
      <c r="E504" s="271"/>
      <c r="F504" s="270">
        <f>D504*E504</f>
        <v>0</v>
      </c>
    </row>
    <row r="505" spans="2:6" ht="15.75" thickBot="1" x14ac:dyDescent="0.3">
      <c r="B505" s="611" t="s">
        <v>287</v>
      </c>
      <c r="C505" s="612"/>
      <c r="D505" s="612"/>
      <c r="E505" s="613"/>
      <c r="F505" s="274">
        <f>SUM(F501:F504)</f>
        <v>37413.18</v>
      </c>
    </row>
    <row r="506" spans="2:6" x14ac:dyDescent="0.25">
      <c r="B506" s="594" t="s">
        <v>278</v>
      </c>
      <c r="C506" s="595"/>
      <c r="D506" s="595"/>
      <c r="E506" s="595"/>
      <c r="F506" s="596"/>
    </row>
    <row r="507" spans="2:6" x14ac:dyDescent="0.25">
      <c r="B507" s="272" t="s">
        <v>279</v>
      </c>
      <c r="C507" s="273" t="s">
        <v>280</v>
      </c>
      <c r="D507" s="268">
        <v>0.05</v>
      </c>
      <c r="E507" s="271">
        <f>F505</f>
        <v>37413.18</v>
      </c>
      <c r="F507" s="270">
        <f>D507*E507</f>
        <v>1870.6590000000001</v>
      </c>
    </row>
    <row r="508" spans="2:6" ht="15.75" thickBot="1" x14ac:dyDescent="0.3">
      <c r="B508" s="611" t="s">
        <v>288</v>
      </c>
      <c r="C508" s="612"/>
      <c r="D508" s="612"/>
      <c r="E508" s="613"/>
      <c r="F508" s="274">
        <f>SUM(F507)</f>
        <v>1870.6590000000001</v>
      </c>
    </row>
    <row r="509" spans="2:6" x14ac:dyDescent="0.25">
      <c r="B509" s="594" t="s">
        <v>281</v>
      </c>
      <c r="C509" s="595"/>
      <c r="D509" s="595"/>
      <c r="E509" s="595"/>
      <c r="F509" s="596"/>
    </row>
    <row r="510" spans="2:6" x14ac:dyDescent="0.25">
      <c r="B510" s="272"/>
      <c r="C510" s="273"/>
      <c r="D510" s="268"/>
      <c r="E510" s="271"/>
      <c r="F510" s="259">
        <f t="shared" ref="F510:F521" si="21">D510*E510</f>
        <v>0</v>
      </c>
    </row>
    <row r="511" spans="2:6" x14ac:dyDescent="0.25">
      <c r="B511" s="272"/>
      <c r="C511" s="273"/>
      <c r="D511" s="268"/>
      <c r="E511" s="271"/>
      <c r="F511" s="259">
        <f t="shared" si="21"/>
        <v>0</v>
      </c>
    </row>
    <row r="512" spans="2:6" x14ac:dyDescent="0.25">
      <c r="B512" s="272"/>
      <c r="C512" s="273"/>
      <c r="D512" s="268"/>
      <c r="E512" s="271"/>
      <c r="F512" s="259">
        <f t="shared" si="21"/>
        <v>0</v>
      </c>
    </row>
    <row r="513" spans="2:6" x14ac:dyDescent="0.25">
      <c r="B513" s="272"/>
      <c r="C513" s="273"/>
      <c r="D513" s="268"/>
      <c r="E513" s="271"/>
      <c r="F513" s="259">
        <f t="shared" si="21"/>
        <v>0</v>
      </c>
    </row>
    <row r="514" spans="2:6" x14ac:dyDescent="0.25">
      <c r="B514" s="272"/>
      <c r="C514" s="273"/>
      <c r="D514" s="268"/>
      <c r="E514" s="271"/>
      <c r="F514" s="259">
        <f t="shared" si="21"/>
        <v>0</v>
      </c>
    </row>
    <row r="515" spans="2:6" x14ac:dyDescent="0.25">
      <c r="B515" s="272"/>
      <c r="C515" s="273"/>
      <c r="D515" s="268"/>
      <c r="E515" s="271"/>
      <c r="F515" s="259">
        <f t="shared" si="21"/>
        <v>0</v>
      </c>
    </row>
    <row r="516" spans="2:6" x14ac:dyDescent="0.25">
      <c r="B516" s="272"/>
      <c r="C516" s="273"/>
      <c r="D516" s="268"/>
      <c r="E516" s="271"/>
      <c r="F516" s="259">
        <f t="shared" si="21"/>
        <v>0</v>
      </c>
    </row>
    <row r="517" spans="2:6" x14ac:dyDescent="0.25">
      <c r="B517" s="272"/>
      <c r="C517" s="273"/>
      <c r="D517" s="268"/>
      <c r="E517" s="271"/>
      <c r="F517" s="259">
        <f t="shared" si="21"/>
        <v>0</v>
      </c>
    </row>
    <row r="518" spans="2:6" x14ac:dyDescent="0.25">
      <c r="B518" s="272"/>
      <c r="C518" s="273"/>
      <c r="D518" s="268"/>
      <c r="E518" s="271"/>
      <c r="F518" s="259">
        <f t="shared" si="21"/>
        <v>0</v>
      </c>
    </row>
    <row r="519" spans="2:6" x14ac:dyDescent="0.25">
      <c r="B519" s="272"/>
      <c r="C519" s="273"/>
      <c r="D519" s="268"/>
      <c r="E519" s="271"/>
      <c r="F519" s="259">
        <f t="shared" si="21"/>
        <v>0</v>
      </c>
    </row>
    <row r="520" spans="2:6" x14ac:dyDescent="0.25">
      <c r="B520" s="272"/>
      <c r="C520" s="273"/>
      <c r="D520" s="268"/>
      <c r="E520" s="271"/>
      <c r="F520" s="259">
        <f t="shared" si="21"/>
        <v>0</v>
      </c>
    </row>
    <row r="521" spans="2:6" x14ac:dyDescent="0.25">
      <c r="B521" s="272"/>
      <c r="C521" s="273"/>
      <c r="D521" s="268"/>
      <c r="E521" s="271"/>
      <c r="F521" s="259">
        <f t="shared" si="21"/>
        <v>0</v>
      </c>
    </row>
    <row r="522" spans="2:6" ht="15.75" thickBot="1" x14ac:dyDescent="0.3">
      <c r="B522" s="611" t="s">
        <v>289</v>
      </c>
      <c r="C522" s="612"/>
      <c r="D522" s="612"/>
      <c r="E522" s="613"/>
      <c r="F522" s="274">
        <f>SUM(F510:F521)</f>
        <v>0</v>
      </c>
    </row>
    <row r="523" spans="2:6" x14ac:dyDescent="0.25">
      <c r="B523" s="594" t="s">
        <v>290</v>
      </c>
      <c r="C523" s="595"/>
      <c r="D523" s="595"/>
      <c r="E523" s="595"/>
      <c r="F523" s="596"/>
    </row>
    <row r="524" spans="2:6" x14ac:dyDescent="0.25">
      <c r="B524" s="272" t="s">
        <v>883</v>
      </c>
      <c r="C524" s="273" t="s">
        <v>117</v>
      </c>
      <c r="D524" s="275">
        <v>1.3</v>
      </c>
      <c r="E524" s="276">
        <f>15000</f>
        <v>15000</v>
      </c>
      <c r="F524" s="259">
        <f>D524*E524</f>
        <v>19500</v>
      </c>
    </row>
    <row r="525" spans="2:6" x14ac:dyDescent="0.25">
      <c r="B525" s="277" t="s">
        <v>976</v>
      </c>
      <c r="C525" s="278" t="s">
        <v>117</v>
      </c>
      <c r="D525" s="279">
        <v>1.3</v>
      </c>
      <c r="E525" s="280">
        <f>SUBANALISIS!J1</f>
        <v>72000</v>
      </c>
      <c r="F525" s="259">
        <f>D525*E525</f>
        <v>93600</v>
      </c>
    </row>
    <row r="526" spans="2:6" x14ac:dyDescent="0.25">
      <c r="B526" s="277"/>
      <c r="C526" s="278"/>
      <c r="D526" s="279"/>
      <c r="E526" s="280"/>
      <c r="F526" s="259">
        <f>D526*E526</f>
        <v>0</v>
      </c>
    </row>
    <row r="527" spans="2:6" ht="15.75" thickBot="1" x14ac:dyDescent="0.3">
      <c r="B527" s="611" t="s">
        <v>291</v>
      </c>
      <c r="C527" s="612"/>
      <c r="D527" s="612"/>
      <c r="E527" s="613"/>
      <c r="F527" s="285">
        <f>SUM(F524:F526)</f>
        <v>113100</v>
      </c>
    </row>
    <row r="528" spans="2:6" ht="15.75" thickBot="1" x14ac:dyDescent="0.3">
      <c r="B528" s="600" t="s">
        <v>282</v>
      </c>
      <c r="C528" s="601"/>
      <c r="D528" s="601"/>
      <c r="E528" s="601"/>
      <c r="F528" s="286">
        <f>ROUND(F499+F505+F508+F522+F527,0)</f>
        <v>241448</v>
      </c>
    </row>
    <row r="529" spans="2:6" ht="15.75" thickBot="1" x14ac:dyDescent="0.3"/>
    <row r="530" spans="2:6" ht="15.75" thickBot="1" x14ac:dyDescent="0.3">
      <c r="B530" s="602" t="s">
        <v>276</v>
      </c>
      <c r="C530" s="603"/>
      <c r="D530" s="603"/>
      <c r="E530" s="603"/>
      <c r="F530" s="604"/>
    </row>
    <row r="531" spans="2:6" ht="15.75" thickBot="1" x14ac:dyDescent="0.3">
      <c r="B531" s="605" t="s">
        <v>104</v>
      </c>
      <c r="C531" s="606"/>
      <c r="D531" s="607"/>
      <c r="E531" s="282" t="s">
        <v>105</v>
      </c>
      <c r="F531" s="283" t="s">
        <v>103</v>
      </c>
    </row>
    <row r="532" spans="2:6" ht="63" customHeight="1" thickBot="1" x14ac:dyDescent="0.3">
      <c r="B532" s="608" t="str">
        <f>'PRESUPUESTO CALLE 58 SUR'!B17</f>
        <v>Construcción de Emboquillada de tubería en pared para caja y/o muro, según especificaciones técnicas de EEPP de Medellín. Incluye suministro, transporte e instalación de los materiales y todo lo necesario para su correcta ejecución.</v>
      </c>
      <c r="C532" s="609"/>
      <c r="D532" s="610"/>
      <c r="E532" s="248" t="str">
        <f>'PRESUPUESTO CALLE 58 SUR'!C17</f>
        <v>un</v>
      </c>
      <c r="F532" s="249">
        <f>'PRESUPUESTO CALLE 58 SUR'!A17</f>
        <v>1.1200000000000001</v>
      </c>
    </row>
    <row r="533" spans="2:6" ht="15.75" thickBot="1" x14ac:dyDescent="0.3">
      <c r="B533" s="250" t="s">
        <v>8</v>
      </c>
      <c r="C533" s="251" t="s">
        <v>9</v>
      </c>
      <c r="D533" s="252" t="s">
        <v>10</v>
      </c>
      <c r="E533" s="253" t="s">
        <v>283</v>
      </c>
      <c r="F533" s="254" t="s">
        <v>284</v>
      </c>
    </row>
    <row r="534" spans="2:6" x14ac:dyDescent="0.25">
      <c r="B534" s="594" t="s">
        <v>285</v>
      </c>
      <c r="C534" s="595"/>
      <c r="D534" s="595"/>
      <c r="E534" s="595"/>
      <c r="F534" s="596"/>
    </row>
    <row r="535" spans="2:6" x14ac:dyDescent="0.25">
      <c r="B535" s="255" t="str">
        <f>SUBANALISIS!A92</f>
        <v>Concr.en obra 4000 psi 3/4"</v>
      </c>
      <c r="C535" s="256" t="s">
        <v>117</v>
      </c>
      <c r="D535" s="257">
        <v>0.12</v>
      </c>
      <c r="E535" s="258">
        <f>SUBANALISIS!F92</f>
        <v>746621.85787000007</v>
      </c>
      <c r="F535" s="259">
        <f t="shared" ref="F535:F546" si="22">D535*E535</f>
        <v>89594.622944400006</v>
      </c>
    </row>
    <row r="536" spans="2:6" ht="22.5" x14ac:dyDescent="0.25">
      <c r="B536" s="260" t="str">
        <f>INSUMOS!B248</f>
        <v>Tabla madera común de 2.5 cm x 20cm x 2.80m. Incluye transporte.</v>
      </c>
      <c r="C536" s="256" t="s">
        <v>17</v>
      </c>
      <c r="D536" s="257"/>
      <c r="E536" s="258">
        <f>INSUMOS!D248</f>
        <v>17255</v>
      </c>
      <c r="F536" s="259">
        <f t="shared" si="22"/>
        <v>0</v>
      </c>
    </row>
    <row r="537" spans="2:6" ht="22.5" x14ac:dyDescent="0.25">
      <c r="B537" s="261" t="str">
        <f>INSUMOS!B202</f>
        <v>Larguero madera comun 4 cmx8cmx2.80 m. Incluye transporte</v>
      </c>
      <c r="C537" s="256" t="s">
        <v>17</v>
      </c>
      <c r="D537" s="257"/>
      <c r="E537" s="258">
        <f>INSUMOS!D202</f>
        <v>20135</v>
      </c>
      <c r="F537" s="259">
        <f t="shared" si="22"/>
        <v>0</v>
      </c>
    </row>
    <row r="538" spans="2:6" x14ac:dyDescent="0.25">
      <c r="B538" s="261" t="str">
        <f>INSUMOS!B206</f>
        <v>Clavo de acero liso 1" (500gr).</v>
      </c>
      <c r="C538" s="256" t="s">
        <v>576</v>
      </c>
      <c r="D538" s="257"/>
      <c r="E538" s="258">
        <f>INSUMOS!D206</f>
        <v>8900</v>
      </c>
      <c r="F538" s="259">
        <f t="shared" si="22"/>
        <v>0</v>
      </c>
    </row>
    <row r="539" spans="2:6" x14ac:dyDescent="0.25">
      <c r="B539" s="261"/>
      <c r="C539" s="256"/>
      <c r="D539" s="257"/>
      <c r="E539" s="258"/>
      <c r="F539" s="259">
        <f t="shared" si="22"/>
        <v>0</v>
      </c>
    </row>
    <row r="540" spans="2:6" x14ac:dyDescent="0.25">
      <c r="B540" s="261"/>
      <c r="C540" s="256"/>
      <c r="D540" s="257"/>
      <c r="E540" s="258"/>
      <c r="F540" s="259">
        <f t="shared" si="22"/>
        <v>0</v>
      </c>
    </row>
    <row r="541" spans="2:6" x14ac:dyDescent="0.25">
      <c r="B541" s="261"/>
      <c r="C541" s="256"/>
      <c r="D541" s="257"/>
      <c r="E541" s="258"/>
      <c r="F541" s="259">
        <f t="shared" si="22"/>
        <v>0</v>
      </c>
    </row>
    <row r="542" spans="2:6" x14ac:dyDescent="0.25">
      <c r="B542" s="261"/>
      <c r="C542" s="256"/>
      <c r="D542" s="257"/>
      <c r="E542" s="258"/>
      <c r="F542" s="259">
        <f t="shared" si="22"/>
        <v>0</v>
      </c>
    </row>
    <row r="543" spans="2:6" x14ac:dyDescent="0.25">
      <c r="B543" s="261"/>
      <c r="C543" s="256"/>
      <c r="D543" s="257"/>
      <c r="E543" s="258"/>
      <c r="F543" s="259">
        <f t="shared" si="22"/>
        <v>0</v>
      </c>
    </row>
    <row r="544" spans="2:6" x14ac:dyDescent="0.25">
      <c r="B544" s="261"/>
      <c r="C544" s="256"/>
      <c r="D544" s="257"/>
      <c r="E544" s="258"/>
      <c r="F544" s="259">
        <f t="shared" si="22"/>
        <v>0</v>
      </c>
    </row>
    <row r="545" spans="2:6" x14ac:dyDescent="0.25">
      <c r="B545" s="261"/>
      <c r="C545" s="256"/>
      <c r="D545" s="257"/>
      <c r="E545" s="258"/>
      <c r="F545" s="259">
        <f t="shared" si="22"/>
        <v>0</v>
      </c>
    </row>
    <row r="546" spans="2:6" x14ac:dyDescent="0.25">
      <c r="B546" s="262"/>
      <c r="C546" s="263"/>
      <c r="D546" s="264"/>
      <c r="E546" s="265"/>
      <c r="F546" s="259">
        <f t="shared" si="22"/>
        <v>0</v>
      </c>
    </row>
    <row r="547" spans="2:6" ht="15.75" thickBot="1" x14ac:dyDescent="0.3">
      <c r="B547" s="611" t="s">
        <v>286</v>
      </c>
      <c r="C547" s="612"/>
      <c r="D547" s="612"/>
      <c r="E547" s="613"/>
      <c r="F547" s="284">
        <f>SUM(F535:F546)</f>
        <v>89594.622944400006</v>
      </c>
    </row>
    <row r="548" spans="2:6" x14ac:dyDescent="0.25">
      <c r="B548" s="594" t="s">
        <v>277</v>
      </c>
      <c r="C548" s="595"/>
      <c r="D548" s="595"/>
      <c r="E548" s="595"/>
      <c r="F548" s="596"/>
    </row>
    <row r="549" spans="2:6" x14ac:dyDescent="0.25">
      <c r="B549" s="266" t="str">
        <f>CUADRILLAS!A79</f>
        <v>Cuad. 1of + 1ay</v>
      </c>
      <c r="C549" s="267" t="s">
        <v>110</v>
      </c>
      <c r="D549" s="268">
        <v>0.25</v>
      </c>
      <c r="E549" s="269">
        <f>CUADRILLAS!B79</f>
        <v>207851</v>
      </c>
      <c r="F549" s="270">
        <f>D549*E549</f>
        <v>51962.75</v>
      </c>
    </row>
    <row r="550" spans="2:6" x14ac:dyDescent="0.25">
      <c r="B550" s="266"/>
      <c r="C550" s="267"/>
      <c r="D550" s="268"/>
      <c r="E550" s="269"/>
      <c r="F550" s="270">
        <f>D550*E550</f>
        <v>0</v>
      </c>
    </row>
    <row r="551" spans="2:6" x14ac:dyDescent="0.25">
      <c r="B551" s="266"/>
      <c r="C551" s="267"/>
      <c r="D551" s="268"/>
      <c r="E551" s="271"/>
      <c r="F551" s="270">
        <f>D551*E551</f>
        <v>0</v>
      </c>
    </row>
    <row r="552" spans="2:6" x14ac:dyDescent="0.25">
      <c r="B552" s="272"/>
      <c r="C552" s="273"/>
      <c r="D552" s="268"/>
      <c r="E552" s="271"/>
      <c r="F552" s="270">
        <f>D552*E552</f>
        <v>0</v>
      </c>
    </row>
    <row r="553" spans="2:6" ht="15.75" thickBot="1" x14ac:dyDescent="0.3">
      <c r="B553" s="611" t="s">
        <v>287</v>
      </c>
      <c r="C553" s="612"/>
      <c r="D553" s="612"/>
      <c r="E553" s="613"/>
      <c r="F553" s="274">
        <f>SUM(F549:F552)</f>
        <v>51962.75</v>
      </c>
    </row>
    <row r="554" spans="2:6" x14ac:dyDescent="0.25">
      <c r="B554" s="594" t="s">
        <v>278</v>
      </c>
      <c r="C554" s="595"/>
      <c r="D554" s="595"/>
      <c r="E554" s="595"/>
      <c r="F554" s="596"/>
    </row>
    <row r="555" spans="2:6" x14ac:dyDescent="0.25">
      <c r="B555" s="272" t="s">
        <v>279</v>
      </c>
      <c r="C555" s="273" t="s">
        <v>280</v>
      </c>
      <c r="D555" s="268">
        <v>0.05</v>
      </c>
      <c r="E555" s="271">
        <f>F553</f>
        <v>51962.75</v>
      </c>
      <c r="F555" s="270">
        <f>D555*E555</f>
        <v>2598.1375000000003</v>
      </c>
    </row>
    <row r="556" spans="2:6" ht="15.75" thickBot="1" x14ac:dyDescent="0.3">
      <c r="B556" s="611" t="s">
        <v>288</v>
      </c>
      <c r="C556" s="612"/>
      <c r="D556" s="612"/>
      <c r="E556" s="613"/>
      <c r="F556" s="274">
        <f>SUM(F555)</f>
        <v>2598.1375000000003</v>
      </c>
    </row>
    <row r="557" spans="2:6" x14ac:dyDescent="0.25">
      <c r="B557" s="594" t="s">
        <v>281</v>
      </c>
      <c r="C557" s="595"/>
      <c r="D557" s="595"/>
      <c r="E557" s="595"/>
      <c r="F557" s="596"/>
    </row>
    <row r="558" spans="2:6" x14ac:dyDescent="0.25">
      <c r="B558" s="272"/>
      <c r="C558" s="273"/>
      <c r="D558" s="268"/>
      <c r="E558" s="271"/>
      <c r="F558" s="259">
        <f t="shared" ref="F558:F569" si="23">D558*E558</f>
        <v>0</v>
      </c>
    </row>
    <row r="559" spans="2:6" x14ac:dyDescent="0.25">
      <c r="B559" s="272"/>
      <c r="C559" s="273"/>
      <c r="D559" s="268"/>
      <c r="E559" s="271"/>
      <c r="F559" s="259">
        <f t="shared" si="23"/>
        <v>0</v>
      </c>
    </row>
    <row r="560" spans="2:6" x14ac:dyDescent="0.25">
      <c r="B560" s="272"/>
      <c r="C560" s="273"/>
      <c r="D560" s="268"/>
      <c r="E560" s="271"/>
      <c r="F560" s="259">
        <f t="shared" si="23"/>
        <v>0</v>
      </c>
    </row>
    <row r="561" spans="2:6" x14ac:dyDescent="0.25">
      <c r="B561" s="272"/>
      <c r="C561" s="273"/>
      <c r="D561" s="268"/>
      <c r="E561" s="271"/>
      <c r="F561" s="259">
        <f t="shared" si="23"/>
        <v>0</v>
      </c>
    </row>
    <row r="562" spans="2:6" x14ac:dyDescent="0.25">
      <c r="B562" s="272"/>
      <c r="C562" s="273"/>
      <c r="D562" s="268"/>
      <c r="E562" s="271"/>
      <c r="F562" s="259">
        <f t="shared" si="23"/>
        <v>0</v>
      </c>
    </row>
    <row r="563" spans="2:6" x14ac:dyDescent="0.25">
      <c r="B563" s="272"/>
      <c r="C563" s="273"/>
      <c r="D563" s="268"/>
      <c r="E563" s="271"/>
      <c r="F563" s="259">
        <f t="shared" si="23"/>
        <v>0</v>
      </c>
    </row>
    <row r="564" spans="2:6" x14ac:dyDescent="0.25">
      <c r="B564" s="272"/>
      <c r="C564" s="273"/>
      <c r="D564" s="268"/>
      <c r="E564" s="271"/>
      <c r="F564" s="259">
        <f t="shared" si="23"/>
        <v>0</v>
      </c>
    </row>
    <row r="565" spans="2:6" x14ac:dyDescent="0.25">
      <c r="B565" s="272"/>
      <c r="C565" s="273"/>
      <c r="D565" s="268"/>
      <c r="E565" s="271"/>
      <c r="F565" s="259">
        <f t="shared" si="23"/>
        <v>0</v>
      </c>
    </row>
    <row r="566" spans="2:6" x14ac:dyDescent="0.25">
      <c r="B566" s="272"/>
      <c r="C566" s="273"/>
      <c r="D566" s="268"/>
      <c r="E566" s="271"/>
      <c r="F566" s="259">
        <f t="shared" si="23"/>
        <v>0</v>
      </c>
    </row>
    <row r="567" spans="2:6" x14ac:dyDescent="0.25">
      <c r="B567" s="272"/>
      <c r="C567" s="273"/>
      <c r="D567" s="268"/>
      <c r="E567" s="271"/>
      <c r="F567" s="259">
        <f t="shared" si="23"/>
        <v>0</v>
      </c>
    </row>
    <row r="568" spans="2:6" x14ac:dyDescent="0.25">
      <c r="B568" s="272"/>
      <c r="C568" s="273"/>
      <c r="D568" s="268"/>
      <c r="E568" s="271"/>
      <c r="F568" s="259">
        <f t="shared" si="23"/>
        <v>0</v>
      </c>
    </row>
    <row r="569" spans="2:6" x14ac:dyDescent="0.25">
      <c r="B569" s="272"/>
      <c r="C569" s="273"/>
      <c r="D569" s="268"/>
      <c r="E569" s="271"/>
      <c r="F569" s="259">
        <f t="shared" si="23"/>
        <v>0</v>
      </c>
    </row>
    <row r="570" spans="2:6" ht="15.75" thickBot="1" x14ac:dyDescent="0.3">
      <c r="B570" s="611" t="s">
        <v>289</v>
      </c>
      <c r="C570" s="612"/>
      <c r="D570" s="612"/>
      <c r="E570" s="613"/>
      <c r="F570" s="274">
        <f>SUM(F558:F569)</f>
        <v>0</v>
      </c>
    </row>
    <row r="571" spans="2:6" x14ac:dyDescent="0.25">
      <c r="B571" s="594" t="s">
        <v>290</v>
      </c>
      <c r="C571" s="595"/>
      <c r="D571" s="595"/>
      <c r="E571" s="595"/>
      <c r="F571" s="596"/>
    </row>
    <row r="572" spans="2:6" x14ac:dyDescent="0.25">
      <c r="B572" s="272" t="s">
        <v>885</v>
      </c>
      <c r="C572" s="273" t="s">
        <v>117</v>
      </c>
      <c r="D572" s="275">
        <f>D535*1.8</f>
        <v>0.216</v>
      </c>
      <c r="E572" s="276">
        <v>15000</v>
      </c>
      <c r="F572" s="259">
        <f>D572*E572</f>
        <v>3240</v>
      </c>
    </row>
    <row r="573" spans="2:6" x14ac:dyDescent="0.25">
      <c r="B573" s="277"/>
      <c r="C573" s="278"/>
      <c r="D573" s="279"/>
      <c r="E573" s="280"/>
      <c r="F573" s="259">
        <f>D573*E573</f>
        <v>0</v>
      </c>
    </row>
    <row r="574" spans="2:6" x14ac:dyDescent="0.25">
      <c r="B574" s="277"/>
      <c r="C574" s="278"/>
      <c r="D574" s="279"/>
      <c r="E574" s="280"/>
      <c r="F574" s="259">
        <f>D574*E574</f>
        <v>0</v>
      </c>
    </row>
    <row r="575" spans="2:6" ht="15.75" thickBot="1" x14ac:dyDescent="0.3">
      <c r="B575" s="611" t="s">
        <v>291</v>
      </c>
      <c r="C575" s="612"/>
      <c r="D575" s="612"/>
      <c r="E575" s="613"/>
      <c r="F575" s="285">
        <f>SUM(F572:F574)</f>
        <v>3240</v>
      </c>
    </row>
    <row r="576" spans="2:6" ht="15.75" thickBot="1" x14ac:dyDescent="0.3">
      <c r="B576" s="600" t="s">
        <v>282</v>
      </c>
      <c r="C576" s="601"/>
      <c r="D576" s="601"/>
      <c r="E576" s="601"/>
      <c r="F576" s="499">
        <f>ROUND(F547+F553+F556+F570+F575,0)</f>
        <v>147396</v>
      </c>
    </row>
    <row r="577" spans="2:6" ht="15.75" thickBot="1" x14ac:dyDescent="0.3"/>
    <row r="578" spans="2:6" ht="15.75" thickBot="1" x14ac:dyDescent="0.3">
      <c r="B578" s="602" t="s">
        <v>276</v>
      </c>
      <c r="C578" s="603"/>
      <c r="D578" s="603"/>
      <c r="E578" s="603"/>
      <c r="F578" s="604"/>
    </row>
    <row r="579" spans="2:6" ht="15.75" thickBot="1" x14ac:dyDescent="0.3">
      <c r="B579" s="605" t="s">
        <v>104</v>
      </c>
      <c r="C579" s="606"/>
      <c r="D579" s="607"/>
      <c r="E579" s="282" t="s">
        <v>105</v>
      </c>
      <c r="F579" s="283" t="s">
        <v>103</v>
      </c>
    </row>
    <row r="580" spans="2:6" ht="88.9" customHeight="1" thickBot="1" x14ac:dyDescent="0.3">
      <c r="B580" s="608" t="str">
        <f>'PRESUPUESTO CALLE 58 SUR'!B18</f>
        <v>Construcción de POCETA PROVISIONAL de 1.40X1.40 x altura hasta 1.40 m., (medidas externas), muros de espesor de 25 cm., Losa de Fondo de espesor 30 cm., en concreto de 21Mpa. Incluye suministro, transporte e instalación de los materiales, formaleta, vibrado y todos los elementos necesarios para su correcta construcción y funcionamiento. Según diseño y especificaciones. La excavación, llenos, entresuelo y acero de refuerzo se pagarán en su ítem respectivo.</v>
      </c>
      <c r="C580" s="609"/>
      <c r="D580" s="610"/>
      <c r="E580" s="449" t="str">
        <f>'PRESUPUESTO CALLE 58 SUR'!C18</f>
        <v>un</v>
      </c>
      <c r="F580" s="249">
        <f>'PRESUPUESTO CALLE 58 SUR'!A18</f>
        <v>1.1299999999999999</v>
      </c>
    </row>
    <row r="581" spans="2:6" ht="15.75" thickBot="1" x14ac:dyDescent="0.3">
      <c r="B581" s="250" t="s">
        <v>8</v>
      </c>
      <c r="C581" s="251" t="s">
        <v>9</v>
      </c>
      <c r="D581" s="252" t="s">
        <v>10</v>
      </c>
      <c r="E581" s="253" t="s">
        <v>283</v>
      </c>
      <c r="F581" s="254" t="s">
        <v>284</v>
      </c>
    </row>
    <row r="582" spans="2:6" x14ac:dyDescent="0.25">
      <c r="B582" s="594" t="s">
        <v>285</v>
      </c>
      <c r="C582" s="595"/>
      <c r="D582" s="595"/>
      <c r="E582" s="595"/>
      <c r="F582" s="596"/>
    </row>
    <row r="583" spans="2:6" x14ac:dyDescent="0.25">
      <c r="B583" s="255" t="str">
        <f>SUBANALISIS!A78</f>
        <v>Concr.en obra 3000 psi 3/4"</v>
      </c>
      <c r="C583" s="256" t="s">
        <v>117</v>
      </c>
      <c r="D583" s="257">
        <f>(2*1.4*1.4*0.3+1.4*1.4*0.25*2+0.9*0.9*0.25*2)*1.05</f>
        <v>2.6890499999999999</v>
      </c>
      <c r="E583" s="258">
        <f>SUBANALISIS!F78</f>
        <v>630810.91779999994</v>
      </c>
      <c r="F583" s="259">
        <f t="shared" ref="F583:F594" si="24">D583*E583</f>
        <v>1696282.0985100898</v>
      </c>
    </row>
    <row r="584" spans="2:6" ht="22.5" x14ac:dyDescent="0.25">
      <c r="B584" s="260" t="str">
        <f>INSUMOS!B200</f>
        <v>Formaleta Madera (Fenolica similar a supert). (18 mm 183x2.44)+transporte</v>
      </c>
      <c r="C584" s="256" t="s">
        <v>17</v>
      </c>
      <c r="D584" s="257">
        <v>0</v>
      </c>
      <c r="E584" s="258">
        <f>INSUMOS!D200</f>
        <v>264900</v>
      </c>
      <c r="F584" s="259">
        <f t="shared" si="24"/>
        <v>0</v>
      </c>
    </row>
    <row r="585" spans="2:6" ht="67.5" x14ac:dyDescent="0.25">
      <c r="B585" s="261" t="str">
        <f>INSUMOS!B214</f>
        <v>Separol o equivalente (Desmoldante para evitar adherencia de concretos a formaletas.Presentación 15Kg. Rendimiento metal :45g/m2 madera:55g/m2 (15 kg)). para metal puro, para madera diluir hasta 5 partes de agua segun porosidad de la madera.</v>
      </c>
      <c r="C585" s="256" t="s">
        <v>17</v>
      </c>
      <c r="D585" s="257">
        <f>(1.4*1.4*4+0.9*1.4*4)*1.05*55/15000</f>
        <v>4.9587999999999993E-2</v>
      </c>
      <c r="E585" s="258">
        <f>INSUMOS!D214</f>
        <v>550778</v>
      </c>
      <c r="F585" s="259">
        <f t="shared" si="24"/>
        <v>27311.979463999996</v>
      </c>
    </row>
    <row r="586" spans="2:6" x14ac:dyDescent="0.25">
      <c r="B586" s="261" t="str">
        <f>INSUMOS!B205</f>
        <v>Clavo común x CAJA por 500 gr</v>
      </c>
      <c r="C586" s="256" t="s">
        <v>576</v>
      </c>
      <c r="D586" s="257">
        <v>1</v>
      </c>
      <c r="E586" s="258">
        <f>INSUMOS!E205</f>
        <v>5000</v>
      </c>
      <c r="F586" s="259">
        <f t="shared" si="24"/>
        <v>5000</v>
      </c>
    </row>
    <row r="587" spans="2:6" ht="22.5" x14ac:dyDescent="0.25">
      <c r="B587" s="261" t="str">
        <f>INSUMOS!B248</f>
        <v>Tabla madera común de 2.5 cm x 20cm x 2.80m. Incluye transporte.</v>
      </c>
      <c r="C587" s="256" t="s">
        <v>17</v>
      </c>
      <c r="D587" s="257">
        <v>6</v>
      </c>
      <c r="E587" s="258">
        <f>INSUMOS!D248</f>
        <v>17255</v>
      </c>
      <c r="F587" s="259">
        <f t="shared" si="24"/>
        <v>103530</v>
      </c>
    </row>
    <row r="588" spans="2:6" x14ac:dyDescent="0.25">
      <c r="B588" s="261" t="str">
        <f>INSUMOS!B245</f>
        <v>Telera 90x135 + Transporte</v>
      </c>
      <c r="C588" s="256" t="s">
        <v>17</v>
      </c>
      <c r="D588" s="257">
        <v>4</v>
      </c>
      <c r="E588" s="258">
        <f>INSUMOS!D245</f>
        <v>30345</v>
      </c>
      <c r="F588" s="259">
        <f t="shared" si="24"/>
        <v>121380</v>
      </c>
    </row>
    <row r="589" spans="2:6" ht="22.5" x14ac:dyDescent="0.25">
      <c r="B589" s="261" t="str">
        <f>INSUMOS!B202</f>
        <v>Larguero madera comun 4 cmx8cmx2.80 m. Incluye transporte</v>
      </c>
      <c r="C589" s="256" t="s">
        <v>17</v>
      </c>
      <c r="D589" s="257">
        <v>2</v>
      </c>
      <c r="E589" s="258">
        <f>INSUMOS!D202</f>
        <v>20135</v>
      </c>
      <c r="F589" s="259">
        <f t="shared" si="24"/>
        <v>40270</v>
      </c>
    </row>
    <row r="590" spans="2:6" x14ac:dyDescent="0.25">
      <c r="B590" s="261"/>
      <c r="C590" s="256"/>
      <c r="D590" s="257"/>
      <c r="E590" s="258"/>
      <c r="F590" s="259">
        <f t="shared" si="24"/>
        <v>0</v>
      </c>
    </row>
    <row r="591" spans="2:6" x14ac:dyDescent="0.25">
      <c r="B591" s="261"/>
      <c r="C591" s="256"/>
      <c r="D591" s="257"/>
      <c r="E591" s="258"/>
      <c r="F591" s="259">
        <f t="shared" si="24"/>
        <v>0</v>
      </c>
    </row>
    <row r="592" spans="2:6" x14ac:dyDescent="0.25">
      <c r="B592" s="261"/>
      <c r="C592" s="256"/>
      <c r="D592" s="257"/>
      <c r="E592" s="258"/>
      <c r="F592" s="259">
        <f t="shared" si="24"/>
        <v>0</v>
      </c>
    </row>
    <row r="593" spans="2:6" x14ac:dyDescent="0.25">
      <c r="B593" s="261"/>
      <c r="C593" s="256"/>
      <c r="D593" s="257"/>
      <c r="E593" s="258"/>
      <c r="F593" s="259">
        <f t="shared" si="24"/>
        <v>0</v>
      </c>
    </row>
    <row r="594" spans="2:6" x14ac:dyDescent="0.25">
      <c r="B594" s="262"/>
      <c r="C594" s="263"/>
      <c r="D594" s="264"/>
      <c r="E594" s="265"/>
      <c r="F594" s="259">
        <f t="shared" si="24"/>
        <v>0</v>
      </c>
    </row>
    <row r="595" spans="2:6" ht="15.75" thickBot="1" x14ac:dyDescent="0.3">
      <c r="B595" s="611" t="s">
        <v>286</v>
      </c>
      <c r="C595" s="612"/>
      <c r="D595" s="612"/>
      <c r="E595" s="613"/>
      <c r="F595" s="284">
        <f>SUM(F583:F594)</f>
        <v>1993774.0779740899</v>
      </c>
    </row>
    <row r="596" spans="2:6" x14ac:dyDescent="0.25">
      <c r="B596" s="594" t="s">
        <v>277</v>
      </c>
      <c r="C596" s="595"/>
      <c r="D596" s="595"/>
      <c r="E596" s="595"/>
      <c r="F596" s="596"/>
    </row>
    <row r="597" spans="2:6" x14ac:dyDescent="0.25">
      <c r="B597" s="266" t="str">
        <f>CUADRILLAS!A87</f>
        <v>Cuadrilla labores varias (1of + 2ay)</v>
      </c>
      <c r="C597" s="267" t="s">
        <v>110</v>
      </c>
      <c r="D597" s="268">
        <v>1.55</v>
      </c>
      <c r="E597" s="269">
        <f>CUADRILLAS!B87</f>
        <v>278637</v>
      </c>
      <c r="F597" s="270">
        <f>D597*E597</f>
        <v>431887.35000000003</v>
      </c>
    </row>
    <row r="598" spans="2:6" x14ac:dyDescent="0.25">
      <c r="B598" s="266"/>
      <c r="C598" s="267"/>
      <c r="D598" s="268"/>
      <c r="E598" s="269"/>
      <c r="F598" s="270">
        <f>D598*E598</f>
        <v>0</v>
      </c>
    </row>
    <row r="599" spans="2:6" x14ac:dyDescent="0.25">
      <c r="B599" s="266"/>
      <c r="C599" s="267"/>
      <c r="D599" s="268"/>
      <c r="E599" s="271"/>
      <c r="F599" s="270">
        <f>D599*E599</f>
        <v>0</v>
      </c>
    </row>
    <row r="600" spans="2:6" x14ac:dyDescent="0.25">
      <c r="B600" s="272"/>
      <c r="C600" s="273"/>
      <c r="D600" s="268"/>
      <c r="E600" s="271"/>
      <c r="F600" s="270">
        <f>D600*E600</f>
        <v>0</v>
      </c>
    </row>
    <row r="601" spans="2:6" ht="15.75" thickBot="1" x14ac:dyDescent="0.3">
      <c r="B601" s="611" t="s">
        <v>287</v>
      </c>
      <c r="C601" s="612"/>
      <c r="D601" s="612"/>
      <c r="E601" s="613"/>
      <c r="F601" s="274">
        <f>SUM(F597:F600)</f>
        <v>431887.35000000003</v>
      </c>
    </row>
    <row r="602" spans="2:6" x14ac:dyDescent="0.25">
      <c r="B602" s="594" t="s">
        <v>278</v>
      </c>
      <c r="C602" s="595"/>
      <c r="D602" s="595"/>
      <c r="E602" s="595"/>
      <c r="F602" s="596"/>
    </row>
    <row r="603" spans="2:6" x14ac:dyDescent="0.25">
      <c r="B603" s="272" t="s">
        <v>279</v>
      </c>
      <c r="C603" s="273" t="s">
        <v>280</v>
      </c>
      <c r="D603" s="268">
        <v>0.05</v>
      </c>
      <c r="E603" s="271">
        <f>F601</f>
        <v>431887.35000000003</v>
      </c>
      <c r="F603" s="270">
        <f>D603*E603</f>
        <v>21594.367500000004</v>
      </c>
    </row>
    <row r="604" spans="2:6" ht="15.75" thickBot="1" x14ac:dyDescent="0.3">
      <c r="B604" s="611" t="s">
        <v>288</v>
      </c>
      <c r="C604" s="612"/>
      <c r="D604" s="612"/>
      <c r="E604" s="613"/>
      <c r="F604" s="274">
        <f>SUM(F603)</f>
        <v>21594.367500000004</v>
      </c>
    </row>
    <row r="605" spans="2:6" x14ac:dyDescent="0.25">
      <c r="B605" s="594" t="s">
        <v>281</v>
      </c>
      <c r="C605" s="595"/>
      <c r="D605" s="595"/>
      <c r="E605" s="595"/>
      <c r="F605" s="596"/>
    </row>
    <row r="606" spans="2:6" x14ac:dyDescent="0.25">
      <c r="B606" s="272" t="str">
        <f>INSUMOS!B223</f>
        <v>Sierra circular manual + disco</v>
      </c>
      <c r="C606" s="273" t="s">
        <v>110</v>
      </c>
      <c r="D606" s="268">
        <v>1</v>
      </c>
      <c r="E606" s="271">
        <f>INSUMOS!D223</f>
        <v>35000</v>
      </c>
      <c r="F606" s="259">
        <v>0</v>
      </c>
    </row>
    <row r="607" spans="2:6" x14ac:dyDescent="0.25">
      <c r="B607" s="272" t="str">
        <f>INSUMOS!B218</f>
        <v xml:space="preserve">Extensión eléctrica encauchetada (50m) </v>
      </c>
      <c r="C607" s="273" t="s">
        <v>110</v>
      </c>
      <c r="D607" s="268">
        <v>1.5</v>
      </c>
      <c r="E607" s="271">
        <f>INSUMOS!F218</f>
        <v>9163</v>
      </c>
      <c r="F607" s="259">
        <f t="shared" ref="F607:F617" si="25">D607*E607</f>
        <v>13744.5</v>
      </c>
    </row>
    <row r="608" spans="2:6" x14ac:dyDescent="0.25">
      <c r="B608" s="272" t="str">
        <f>INSUMOS!B230</f>
        <v>Vibrador eléctrico de aguja a 110 V</v>
      </c>
      <c r="C608" s="273" t="s">
        <v>110</v>
      </c>
      <c r="D608" s="268">
        <v>0.5</v>
      </c>
      <c r="E608" s="271">
        <f>INSUMOS!D230</f>
        <v>48433</v>
      </c>
      <c r="F608" s="259">
        <f t="shared" si="25"/>
        <v>24216.5</v>
      </c>
    </row>
    <row r="609" spans="2:6" x14ac:dyDescent="0.25">
      <c r="B609" s="272"/>
      <c r="C609" s="273"/>
      <c r="D609" s="268"/>
      <c r="E609" s="271"/>
      <c r="F609" s="259">
        <f t="shared" si="25"/>
        <v>0</v>
      </c>
    </row>
    <row r="610" spans="2:6" x14ac:dyDescent="0.25">
      <c r="B610" s="272"/>
      <c r="C610" s="273"/>
      <c r="D610" s="268"/>
      <c r="E610" s="271"/>
      <c r="F610" s="259">
        <f t="shared" si="25"/>
        <v>0</v>
      </c>
    </row>
    <row r="611" spans="2:6" x14ac:dyDescent="0.25">
      <c r="B611" s="272"/>
      <c r="C611" s="273"/>
      <c r="D611" s="268"/>
      <c r="E611" s="271"/>
      <c r="F611" s="259">
        <f t="shared" si="25"/>
        <v>0</v>
      </c>
    </row>
    <row r="612" spans="2:6" x14ac:dyDescent="0.25">
      <c r="B612" s="272"/>
      <c r="C612" s="273"/>
      <c r="D612" s="268"/>
      <c r="E612" s="271"/>
      <c r="F612" s="259">
        <f t="shared" si="25"/>
        <v>0</v>
      </c>
    </row>
    <row r="613" spans="2:6" x14ac:dyDescent="0.25">
      <c r="B613" s="272"/>
      <c r="C613" s="273"/>
      <c r="D613" s="268"/>
      <c r="E613" s="271"/>
      <c r="F613" s="259">
        <f t="shared" si="25"/>
        <v>0</v>
      </c>
    </row>
    <row r="614" spans="2:6" x14ac:dyDescent="0.25">
      <c r="B614" s="272"/>
      <c r="C614" s="273"/>
      <c r="D614" s="268"/>
      <c r="E614" s="271"/>
      <c r="F614" s="259">
        <f t="shared" si="25"/>
        <v>0</v>
      </c>
    </row>
    <row r="615" spans="2:6" x14ac:dyDescent="0.25">
      <c r="B615" s="272"/>
      <c r="C615" s="273"/>
      <c r="D615" s="268"/>
      <c r="E615" s="271"/>
      <c r="F615" s="259">
        <f t="shared" si="25"/>
        <v>0</v>
      </c>
    </row>
    <row r="616" spans="2:6" x14ac:dyDescent="0.25">
      <c r="B616" s="272"/>
      <c r="C616" s="273"/>
      <c r="D616" s="268"/>
      <c r="E616" s="271"/>
      <c r="F616" s="259">
        <f t="shared" si="25"/>
        <v>0</v>
      </c>
    </row>
    <row r="617" spans="2:6" x14ac:dyDescent="0.25">
      <c r="B617" s="272"/>
      <c r="C617" s="273"/>
      <c r="D617" s="268"/>
      <c r="E617" s="271"/>
      <c r="F617" s="259">
        <f t="shared" si="25"/>
        <v>0</v>
      </c>
    </row>
    <row r="618" spans="2:6" ht="15.75" thickBot="1" x14ac:dyDescent="0.3">
      <c r="B618" s="611" t="s">
        <v>289</v>
      </c>
      <c r="C618" s="612"/>
      <c r="D618" s="612"/>
      <c r="E618" s="613"/>
      <c r="F618" s="274">
        <f>SUM(F606:F617)</f>
        <v>37961</v>
      </c>
    </row>
    <row r="619" spans="2:6" x14ac:dyDescent="0.25">
      <c r="B619" s="594" t="s">
        <v>290</v>
      </c>
      <c r="C619" s="595"/>
      <c r="D619" s="595"/>
      <c r="E619" s="595"/>
      <c r="F619" s="596"/>
    </row>
    <row r="620" spans="2:6" x14ac:dyDescent="0.25">
      <c r="B620" s="272" t="s">
        <v>885</v>
      </c>
      <c r="C620" s="273" t="s">
        <v>117</v>
      </c>
      <c r="D620" s="275">
        <f>D583*1.8</f>
        <v>4.8402900000000004</v>
      </c>
      <c r="E620" s="276">
        <v>15000</v>
      </c>
      <c r="F620" s="259">
        <f>D620*E620</f>
        <v>72604.350000000006</v>
      </c>
    </row>
    <row r="621" spans="2:6" x14ac:dyDescent="0.25">
      <c r="B621" s="277"/>
      <c r="C621" s="278"/>
      <c r="D621" s="279"/>
      <c r="E621" s="280"/>
      <c r="F621" s="259">
        <f>D621*E621</f>
        <v>0</v>
      </c>
    </row>
    <row r="622" spans="2:6" x14ac:dyDescent="0.25">
      <c r="B622" s="277"/>
      <c r="C622" s="278"/>
      <c r="D622" s="279"/>
      <c r="E622" s="280"/>
      <c r="F622" s="259">
        <f>D622*E622</f>
        <v>0</v>
      </c>
    </row>
    <row r="623" spans="2:6" ht="15.75" thickBot="1" x14ac:dyDescent="0.3">
      <c r="B623" s="611" t="s">
        <v>291</v>
      </c>
      <c r="C623" s="612"/>
      <c r="D623" s="612"/>
      <c r="E623" s="613"/>
      <c r="F623" s="285">
        <f>SUM(F620:F622)</f>
        <v>72604.350000000006</v>
      </c>
    </row>
    <row r="624" spans="2:6" ht="15.75" thickBot="1" x14ac:dyDescent="0.3">
      <c r="B624" s="600" t="s">
        <v>282</v>
      </c>
      <c r="C624" s="601"/>
      <c r="D624" s="601"/>
      <c r="E624" s="601"/>
      <c r="F624" s="499">
        <f>ROUND(F595+F601+F604+F618+F623,0)</f>
        <v>2557821</v>
      </c>
    </row>
    <row r="625" spans="2:6" ht="15.75" thickBot="1" x14ac:dyDescent="0.3"/>
    <row r="626" spans="2:6" ht="15.75" thickBot="1" x14ac:dyDescent="0.3">
      <c r="B626" s="602" t="s">
        <v>276</v>
      </c>
      <c r="C626" s="603"/>
      <c r="D626" s="603"/>
      <c r="E626" s="603"/>
      <c r="F626" s="604"/>
    </row>
    <row r="627" spans="2:6" ht="15.75" thickBot="1" x14ac:dyDescent="0.3">
      <c r="B627" s="605" t="s">
        <v>104</v>
      </c>
      <c r="C627" s="606"/>
      <c r="D627" s="607"/>
      <c r="E627" s="282" t="s">
        <v>105</v>
      </c>
      <c r="F627" s="283" t="s">
        <v>103</v>
      </c>
    </row>
    <row r="628" spans="2:6" ht="65.45" customHeight="1" thickBot="1" x14ac:dyDescent="0.3">
      <c r="B628" s="608" t="str">
        <f>'PRESUPUESTO CALLE 58 SUR'!B20</f>
        <v>LOCALIZACIÓN, TRAZADO Y REPLANTEO. Se utilizará personal experto con equipo de precisión. Se hará con la frecuencia que lo indique la interventoría. Incluye demarcación con pintura, línea de trazado, corte de piso, libretas y planos.</v>
      </c>
      <c r="C628" s="609"/>
      <c r="D628" s="610"/>
      <c r="E628" s="248" t="str">
        <f>'PRESUPUESTO CALLE 58 SUR'!C20</f>
        <v>día</v>
      </c>
      <c r="F628" s="448">
        <f>'PRESUPUESTO CALLE 58 SUR'!A20</f>
        <v>2.1</v>
      </c>
    </row>
    <row r="629" spans="2:6" ht="15.75" thickBot="1" x14ac:dyDescent="0.3">
      <c r="B629" s="250" t="s">
        <v>8</v>
      </c>
      <c r="C629" s="251" t="s">
        <v>9</v>
      </c>
      <c r="D629" s="252" t="s">
        <v>10</v>
      </c>
      <c r="E629" s="253" t="s">
        <v>283</v>
      </c>
      <c r="F629" s="254" t="s">
        <v>284</v>
      </c>
    </row>
    <row r="630" spans="2:6" x14ac:dyDescent="0.25">
      <c r="B630" s="594" t="s">
        <v>285</v>
      </c>
      <c r="C630" s="595"/>
      <c r="D630" s="595"/>
      <c r="E630" s="595"/>
      <c r="F630" s="596"/>
    </row>
    <row r="631" spans="2:6" x14ac:dyDescent="0.25">
      <c r="B631" s="255" t="str">
        <f>INSUMOS!B205</f>
        <v>Clavo común x CAJA por 500 gr</v>
      </c>
      <c r="C631" s="256" t="s">
        <v>576</v>
      </c>
      <c r="D631" s="257">
        <v>0.1</v>
      </c>
      <c r="E631" s="258">
        <f>INSUMOS!E205</f>
        <v>5000</v>
      </c>
      <c r="F631" s="259">
        <f t="shared" ref="F631:F642" si="26">D631*E631</f>
        <v>500</v>
      </c>
    </row>
    <row r="632" spans="2:6" x14ac:dyDescent="0.25">
      <c r="B632" s="260" t="str">
        <f>INSUMOS!B402</f>
        <v>Pintura base aceite - doméstico. + transporte.</v>
      </c>
      <c r="C632" s="256" t="s">
        <v>886</v>
      </c>
      <c r="D632" s="257">
        <v>1.7999999999999999E-2</v>
      </c>
      <c r="E632" s="258">
        <f>INSUMOS!D402</f>
        <v>84900</v>
      </c>
      <c r="F632" s="259">
        <f t="shared" si="26"/>
        <v>1528.1999999999998</v>
      </c>
    </row>
    <row r="633" spans="2:6" ht="22.5" x14ac:dyDescent="0.25">
      <c r="B633" s="261" t="str">
        <f>INSUMOS!B202</f>
        <v>Larguero madera comun 4 cmx8cmx2.80 m. Incluye transporte</v>
      </c>
      <c r="C633" s="256" t="s">
        <v>17</v>
      </c>
      <c r="D633" s="257">
        <v>3</v>
      </c>
      <c r="E633" s="258">
        <f>INSUMOS!D202</f>
        <v>20135</v>
      </c>
      <c r="F633" s="259">
        <f t="shared" si="26"/>
        <v>60405</v>
      </c>
    </row>
    <row r="634" spans="2:6" x14ac:dyDescent="0.25">
      <c r="B634" s="261"/>
      <c r="C634" s="256"/>
      <c r="D634" s="257"/>
      <c r="E634" s="258"/>
      <c r="F634" s="259">
        <f t="shared" si="26"/>
        <v>0</v>
      </c>
    </row>
    <row r="635" spans="2:6" x14ac:dyDescent="0.25">
      <c r="B635" s="261"/>
      <c r="C635" s="256"/>
      <c r="D635" s="257"/>
      <c r="E635" s="258"/>
      <c r="F635" s="259">
        <f t="shared" si="26"/>
        <v>0</v>
      </c>
    </row>
    <row r="636" spans="2:6" x14ac:dyDescent="0.25">
      <c r="B636" s="261"/>
      <c r="C636" s="256"/>
      <c r="D636" s="257"/>
      <c r="E636" s="258"/>
      <c r="F636" s="259">
        <f t="shared" si="26"/>
        <v>0</v>
      </c>
    </row>
    <row r="637" spans="2:6" x14ac:dyDescent="0.25">
      <c r="B637" s="261"/>
      <c r="C637" s="256"/>
      <c r="D637" s="257"/>
      <c r="E637" s="258"/>
      <c r="F637" s="259">
        <f t="shared" si="26"/>
        <v>0</v>
      </c>
    </row>
    <row r="638" spans="2:6" x14ac:dyDescent="0.25">
      <c r="B638" s="261"/>
      <c r="C638" s="256"/>
      <c r="D638" s="257"/>
      <c r="E638" s="258"/>
      <c r="F638" s="259">
        <f t="shared" si="26"/>
        <v>0</v>
      </c>
    </row>
    <row r="639" spans="2:6" x14ac:dyDescent="0.25">
      <c r="B639" s="261"/>
      <c r="C639" s="256"/>
      <c r="D639" s="257"/>
      <c r="E639" s="258"/>
      <c r="F639" s="259">
        <f t="shared" si="26"/>
        <v>0</v>
      </c>
    </row>
    <row r="640" spans="2:6" x14ac:dyDescent="0.25">
      <c r="B640" s="261"/>
      <c r="C640" s="256"/>
      <c r="D640" s="257"/>
      <c r="E640" s="258"/>
      <c r="F640" s="259">
        <f t="shared" si="26"/>
        <v>0</v>
      </c>
    </row>
    <row r="641" spans="2:6" x14ac:dyDescent="0.25">
      <c r="B641" s="261"/>
      <c r="C641" s="256"/>
      <c r="D641" s="257"/>
      <c r="E641" s="258"/>
      <c r="F641" s="259">
        <f t="shared" si="26"/>
        <v>0</v>
      </c>
    </row>
    <row r="642" spans="2:6" x14ac:dyDescent="0.25">
      <c r="B642" s="262"/>
      <c r="C642" s="263"/>
      <c r="D642" s="264"/>
      <c r="E642" s="265"/>
      <c r="F642" s="259">
        <f t="shared" si="26"/>
        <v>0</v>
      </c>
    </row>
    <row r="643" spans="2:6" ht="15.75" thickBot="1" x14ac:dyDescent="0.3">
      <c r="B643" s="611" t="s">
        <v>286</v>
      </c>
      <c r="C643" s="612"/>
      <c r="D643" s="612"/>
      <c r="E643" s="613"/>
      <c r="F643" s="284">
        <f>SUM(F631:F642)</f>
        <v>62433.2</v>
      </c>
    </row>
    <row r="644" spans="2:6" x14ac:dyDescent="0.25">
      <c r="B644" s="594" t="s">
        <v>277</v>
      </c>
      <c r="C644" s="595"/>
      <c r="D644" s="595"/>
      <c r="E644" s="595"/>
      <c r="F644" s="596"/>
    </row>
    <row r="645" spans="2:6" x14ac:dyDescent="0.25">
      <c r="B645" s="266" t="str">
        <f>CUADRILLAS!A77</f>
        <v>Comisión Topog. (1Top+1Cad1+1Cad2)</v>
      </c>
      <c r="C645" s="267" t="s">
        <v>110</v>
      </c>
      <c r="D645" s="268">
        <v>1</v>
      </c>
      <c r="E645" s="269">
        <f>CUADRILLAS!B77</f>
        <v>472305</v>
      </c>
      <c r="F645" s="270">
        <f>D645*E645</f>
        <v>472305</v>
      </c>
    </row>
    <row r="646" spans="2:6" x14ac:dyDescent="0.25">
      <c r="B646" s="266"/>
      <c r="C646" s="267"/>
      <c r="D646" s="268"/>
      <c r="E646" s="269"/>
      <c r="F646" s="270">
        <f>D646*E646</f>
        <v>0</v>
      </c>
    </row>
    <row r="647" spans="2:6" x14ac:dyDescent="0.25">
      <c r="B647" s="266"/>
      <c r="C647" s="267"/>
      <c r="D647" s="268"/>
      <c r="E647" s="271"/>
      <c r="F647" s="270">
        <f>D647*E647</f>
        <v>0</v>
      </c>
    </row>
    <row r="648" spans="2:6" x14ac:dyDescent="0.25">
      <c r="B648" s="272"/>
      <c r="C648" s="273"/>
      <c r="D648" s="268"/>
      <c r="E648" s="271"/>
      <c r="F648" s="270">
        <f>D648*E648</f>
        <v>0</v>
      </c>
    </row>
    <row r="649" spans="2:6" ht="15.75" thickBot="1" x14ac:dyDescent="0.3">
      <c r="B649" s="611" t="s">
        <v>287</v>
      </c>
      <c r="C649" s="612"/>
      <c r="D649" s="612"/>
      <c r="E649" s="613"/>
      <c r="F649" s="274">
        <f>SUM(F645:F648)</f>
        <v>472305</v>
      </c>
    </row>
    <row r="650" spans="2:6" x14ac:dyDescent="0.25">
      <c r="B650" s="594" t="s">
        <v>278</v>
      </c>
      <c r="C650" s="595"/>
      <c r="D650" s="595"/>
      <c r="E650" s="595"/>
      <c r="F650" s="596"/>
    </row>
    <row r="651" spans="2:6" x14ac:dyDescent="0.25">
      <c r="B651" s="272" t="s">
        <v>279</v>
      </c>
      <c r="C651" s="273" t="s">
        <v>280</v>
      </c>
      <c r="D651" s="268">
        <v>0.05</v>
      </c>
      <c r="E651" s="271">
        <f>F649</f>
        <v>472305</v>
      </c>
      <c r="F651" s="270">
        <f>D651*E651</f>
        <v>23615.25</v>
      </c>
    </row>
    <row r="652" spans="2:6" ht="15.75" thickBot="1" x14ac:dyDescent="0.3">
      <c r="B652" s="611" t="s">
        <v>288</v>
      </c>
      <c r="C652" s="612"/>
      <c r="D652" s="612"/>
      <c r="E652" s="613"/>
      <c r="F652" s="274">
        <f>SUM(F651)</f>
        <v>23615.25</v>
      </c>
    </row>
    <row r="653" spans="2:6" x14ac:dyDescent="0.25">
      <c r="B653" s="594" t="s">
        <v>281</v>
      </c>
      <c r="C653" s="595"/>
      <c r="D653" s="595"/>
      <c r="E653" s="595"/>
      <c r="F653" s="596"/>
    </row>
    <row r="654" spans="2:6" x14ac:dyDescent="0.25">
      <c r="B654" s="272" t="str">
        <f>INSUMOS!B523</f>
        <v>Nivel de precisión gko-a,gk-1,AL3</v>
      </c>
      <c r="C654" s="273" t="s">
        <v>110</v>
      </c>
      <c r="D654" s="268">
        <v>1</v>
      </c>
      <c r="E654" s="271">
        <f>INSUMOS!D523</f>
        <v>78467</v>
      </c>
      <c r="F654" s="259">
        <f t="shared" ref="F654:F665" si="27">D654*E654</f>
        <v>78467</v>
      </c>
    </row>
    <row r="655" spans="2:6" x14ac:dyDescent="0.25">
      <c r="B655" s="272" t="str">
        <f>INSUMOS!B524</f>
        <v>Estación Total</v>
      </c>
      <c r="C655" s="273" t="s">
        <v>110</v>
      </c>
      <c r="D655" s="268">
        <v>1</v>
      </c>
      <c r="E655" s="271">
        <f>INSUMOS!D524</f>
        <v>112095</v>
      </c>
      <c r="F655" s="259">
        <f t="shared" si="27"/>
        <v>112095</v>
      </c>
    </row>
    <row r="656" spans="2:6" x14ac:dyDescent="0.25">
      <c r="B656" s="272"/>
      <c r="C656" s="273"/>
      <c r="D656" s="268"/>
      <c r="E656" s="271"/>
      <c r="F656" s="259">
        <f t="shared" si="27"/>
        <v>0</v>
      </c>
    </row>
    <row r="657" spans="2:6" x14ac:dyDescent="0.25">
      <c r="B657" s="272"/>
      <c r="C657" s="273"/>
      <c r="D657" s="268"/>
      <c r="E657" s="271"/>
      <c r="F657" s="259">
        <f t="shared" si="27"/>
        <v>0</v>
      </c>
    </row>
    <row r="658" spans="2:6" x14ac:dyDescent="0.25">
      <c r="B658" s="272"/>
      <c r="C658" s="273"/>
      <c r="D658" s="268"/>
      <c r="E658" s="271"/>
      <c r="F658" s="259">
        <f t="shared" si="27"/>
        <v>0</v>
      </c>
    </row>
    <row r="659" spans="2:6" x14ac:dyDescent="0.25">
      <c r="B659" s="272"/>
      <c r="C659" s="273"/>
      <c r="D659" s="268"/>
      <c r="E659" s="271"/>
      <c r="F659" s="259">
        <f t="shared" si="27"/>
        <v>0</v>
      </c>
    </row>
    <row r="660" spans="2:6" x14ac:dyDescent="0.25">
      <c r="B660" s="272"/>
      <c r="C660" s="273"/>
      <c r="D660" s="268"/>
      <c r="E660" s="271"/>
      <c r="F660" s="259">
        <f t="shared" si="27"/>
        <v>0</v>
      </c>
    </row>
    <row r="661" spans="2:6" x14ac:dyDescent="0.25">
      <c r="B661" s="272"/>
      <c r="C661" s="273"/>
      <c r="D661" s="268"/>
      <c r="E661" s="271"/>
      <c r="F661" s="259">
        <f t="shared" si="27"/>
        <v>0</v>
      </c>
    </row>
    <row r="662" spans="2:6" x14ac:dyDescent="0.25">
      <c r="B662" s="272"/>
      <c r="C662" s="273"/>
      <c r="D662" s="268"/>
      <c r="E662" s="271"/>
      <c r="F662" s="259">
        <f t="shared" si="27"/>
        <v>0</v>
      </c>
    </row>
    <row r="663" spans="2:6" x14ac:dyDescent="0.25">
      <c r="B663" s="272"/>
      <c r="C663" s="273"/>
      <c r="D663" s="268"/>
      <c r="E663" s="271"/>
      <c r="F663" s="259">
        <f t="shared" si="27"/>
        <v>0</v>
      </c>
    </row>
    <row r="664" spans="2:6" x14ac:dyDescent="0.25">
      <c r="B664" s="272"/>
      <c r="C664" s="273"/>
      <c r="D664" s="268"/>
      <c r="E664" s="271"/>
      <c r="F664" s="259">
        <f t="shared" si="27"/>
        <v>0</v>
      </c>
    </row>
    <row r="665" spans="2:6" x14ac:dyDescent="0.25">
      <c r="B665" s="272"/>
      <c r="C665" s="273"/>
      <c r="D665" s="268"/>
      <c r="E665" s="271"/>
      <c r="F665" s="259">
        <f t="shared" si="27"/>
        <v>0</v>
      </c>
    </row>
    <row r="666" spans="2:6" ht="15.75" thickBot="1" x14ac:dyDescent="0.3">
      <c r="B666" s="611" t="s">
        <v>289</v>
      </c>
      <c r="C666" s="612"/>
      <c r="D666" s="612"/>
      <c r="E666" s="613"/>
      <c r="F666" s="274">
        <f>SUM(F654:F665)</f>
        <v>190562</v>
      </c>
    </row>
    <row r="667" spans="2:6" x14ac:dyDescent="0.25">
      <c r="B667" s="594" t="s">
        <v>290</v>
      </c>
      <c r="C667" s="595"/>
      <c r="D667" s="595"/>
      <c r="E667" s="595"/>
      <c r="F667" s="596"/>
    </row>
    <row r="668" spans="2:6" x14ac:dyDescent="0.25">
      <c r="B668" s="272" t="s">
        <v>977</v>
      </c>
      <c r="C668" s="273" t="s">
        <v>17</v>
      </c>
      <c r="D668" s="275">
        <v>0.05</v>
      </c>
      <c r="E668" s="276">
        <v>150000</v>
      </c>
      <c r="F668" s="259">
        <f>D668*E668</f>
        <v>7500</v>
      </c>
    </row>
    <row r="669" spans="2:6" x14ac:dyDescent="0.25">
      <c r="B669" s="277"/>
      <c r="C669" s="278"/>
      <c r="D669" s="279"/>
      <c r="E669" s="280"/>
      <c r="F669" s="259">
        <f>D669*E669</f>
        <v>0</v>
      </c>
    </row>
    <row r="670" spans="2:6" x14ac:dyDescent="0.25">
      <c r="B670" s="277"/>
      <c r="C670" s="278"/>
      <c r="D670" s="279"/>
      <c r="E670" s="280"/>
      <c r="F670" s="259">
        <f>D670*E670</f>
        <v>0</v>
      </c>
    </row>
    <row r="671" spans="2:6" ht="15.75" thickBot="1" x14ac:dyDescent="0.3">
      <c r="B671" s="611" t="s">
        <v>291</v>
      </c>
      <c r="C671" s="612"/>
      <c r="D671" s="612"/>
      <c r="E671" s="613"/>
      <c r="F671" s="285">
        <f>SUM(F668:F670)</f>
        <v>7500</v>
      </c>
    </row>
    <row r="672" spans="2:6" ht="15.75" thickBot="1" x14ac:dyDescent="0.3">
      <c r="B672" s="600" t="s">
        <v>282</v>
      </c>
      <c r="C672" s="601"/>
      <c r="D672" s="601"/>
      <c r="E672" s="601"/>
      <c r="F672" s="286">
        <f>ROUND(F643+F649+F652+F666+F671,0)</f>
        <v>756415</v>
      </c>
    </row>
    <row r="673" spans="2:6" ht="15.75" thickBot="1" x14ac:dyDescent="0.3"/>
    <row r="674" spans="2:6" ht="15.75" thickBot="1" x14ac:dyDescent="0.3">
      <c r="B674" s="602" t="s">
        <v>276</v>
      </c>
      <c r="C674" s="603"/>
      <c r="D674" s="603"/>
      <c r="E674" s="603"/>
      <c r="F674" s="604"/>
    </row>
    <row r="675" spans="2:6" ht="15.75" thickBot="1" x14ac:dyDescent="0.3">
      <c r="B675" s="605" t="s">
        <v>104</v>
      </c>
      <c r="C675" s="606"/>
      <c r="D675" s="607"/>
      <c r="E675" s="282" t="s">
        <v>105</v>
      </c>
      <c r="F675" s="283" t="s">
        <v>103</v>
      </c>
    </row>
    <row r="676" spans="2:6" ht="62.45" customHeight="1" thickBot="1" x14ac:dyDescent="0.3">
      <c r="B676" s="608" t="str">
        <f>'PRESUPUESTO CALLE 58 SUR'!B21</f>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
      <c r="C676" s="609"/>
      <c r="D676" s="610"/>
      <c r="E676" s="248" t="str">
        <f>'PRESUPUESTO CALLE 58 SUR'!C21</f>
        <v>m2</v>
      </c>
      <c r="F676" s="448">
        <f>'PRESUPUESTO CALLE 58 SUR'!A21</f>
        <v>2.2000000000000002</v>
      </c>
    </row>
    <row r="677" spans="2:6" ht="15.75" thickBot="1" x14ac:dyDescent="0.3">
      <c r="B677" s="250" t="s">
        <v>8</v>
      </c>
      <c r="C677" s="251" t="s">
        <v>9</v>
      </c>
      <c r="D677" s="252" t="s">
        <v>10</v>
      </c>
      <c r="E677" s="253" t="s">
        <v>283</v>
      </c>
      <c r="F677" s="254" t="s">
        <v>284</v>
      </c>
    </row>
    <row r="678" spans="2:6" x14ac:dyDescent="0.25">
      <c r="B678" s="594" t="s">
        <v>285</v>
      </c>
      <c r="C678" s="595"/>
      <c r="D678" s="595"/>
      <c r="E678" s="595"/>
      <c r="F678" s="596"/>
    </row>
    <row r="679" spans="2:6" ht="22.5" x14ac:dyDescent="0.25">
      <c r="B679" s="255" t="str">
        <f>B7</f>
        <v>Lonas o costales de fibra de 50 kilos x un + transporte</v>
      </c>
      <c r="C679" s="454" t="str">
        <f>C7</f>
        <v>un</v>
      </c>
      <c r="D679" s="257">
        <f>D7</f>
        <v>0.25</v>
      </c>
      <c r="E679" s="258">
        <f>E7</f>
        <v>2083.3333333333335</v>
      </c>
      <c r="F679" s="259">
        <f t="shared" ref="F679:F690" si="28">D679*E679</f>
        <v>520.83333333333337</v>
      </c>
    </row>
    <row r="680" spans="2:6" x14ac:dyDescent="0.25">
      <c r="B680" s="260"/>
      <c r="C680" s="256"/>
      <c r="D680" s="257"/>
      <c r="E680" s="258"/>
      <c r="F680" s="259">
        <f t="shared" si="28"/>
        <v>0</v>
      </c>
    </row>
    <row r="681" spans="2:6" x14ac:dyDescent="0.25">
      <c r="B681" s="261"/>
      <c r="C681" s="256"/>
      <c r="D681" s="257"/>
      <c r="E681" s="258"/>
      <c r="F681" s="259">
        <f t="shared" si="28"/>
        <v>0</v>
      </c>
    </row>
    <row r="682" spans="2:6" x14ac:dyDescent="0.25">
      <c r="B682" s="261"/>
      <c r="C682" s="256"/>
      <c r="D682" s="257"/>
      <c r="E682" s="258"/>
      <c r="F682" s="259">
        <f t="shared" si="28"/>
        <v>0</v>
      </c>
    </row>
    <row r="683" spans="2:6" x14ac:dyDescent="0.25">
      <c r="B683" s="261"/>
      <c r="C683" s="256"/>
      <c r="D683" s="257"/>
      <c r="E683" s="258"/>
      <c r="F683" s="259">
        <f t="shared" si="28"/>
        <v>0</v>
      </c>
    </row>
    <row r="684" spans="2:6" x14ac:dyDescent="0.25">
      <c r="B684" s="261"/>
      <c r="C684" s="256"/>
      <c r="D684" s="257"/>
      <c r="E684" s="258"/>
      <c r="F684" s="259">
        <f t="shared" si="28"/>
        <v>0</v>
      </c>
    </row>
    <row r="685" spans="2:6" x14ac:dyDescent="0.25">
      <c r="B685" s="261"/>
      <c r="C685" s="256"/>
      <c r="D685" s="257"/>
      <c r="E685" s="258"/>
      <c r="F685" s="259">
        <f t="shared" si="28"/>
        <v>0</v>
      </c>
    </row>
    <row r="686" spans="2:6" x14ac:dyDescent="0.25">
      <c r="B686" s="261"/>
      <c r="C686" s="256"/>
      <c r="D686" s="257"/>
      <c r="E686" s="258"/>
      <c r="F686" s="259">
        <f t="shared" si="28"/>
        <v>0</v>
      </c>
    </row>
    <row r="687" spans="2:6" x14ac:dyDescent="0.25">
      <c r="B687" s="261"/>
      <c r="C687" s="256"/>
      <c r="D687" s="257"/>
      <c r="E687" s="258"/>
      <c r="F687" s="259">
        <f t="shared" si="28"/>
        <v>0</v>
      </c>
    </row>
    <row r="688" spans="2:6" x14ac:dyDescent="0.25">
      <c r="B688" s="261"/>
      <c r="C688" s="256"/>
      <c r="D688" s="257"/>
      <c r="E688" s="258"/>
      <c r="F688" s="259">
        <f t="shared" si="28"/>
        <v>0</v>
      </c>
    </row>
    <row r="689" spans="2:6" x14ac:dyDescent="0.25">
      <c r="B689" s="261"/>
      <c r="C689" s="256"/>
      <c r="D689" s="257"/>
      <c r="E689" s="258"/>
      <c r="F689" s="259">
        <f t="shared" si="28"/>
        <v>0</v>
      </c>
    </row>
    <row r="690" spans="2:6" x14ac:dyDescent="0.25">
      <c r="B690" s="262"/>
      <c r="C690" s="263"/>
      <c r="D690" s="264"/>
      <c r="E690" s="265"/>
      <c r="F690" s="259">
        <f t="shared" si="28"/>
        <v>0</v>
      </c>
    </row>
    <row r="691" spans="2:6" ht="15.75" thickBot="1" x14ac:dyDescent="0.3">
      <c r="B691" s="611" t="s">
        <v>286</v>
      </c>
      <c r="C691" s="612"/>
      <c r="D691" s="612"/>
      <c r="E691" s="613"/>
      <c r="F691" s="284">
        <f>SUM(F679:F690)</f>
        <v>520.83333333333337</v>
      </c>
    </row>
    <row r="692" spans="2:6" x14ac:dyDescent="0.25">
      <c r="B692" s="594" t="s">
        <v>277</v>
      </c>
      <c r="C692" s="595"/>
      <c r="D692" s="595"/>
      <c r="E692" s="595"/>
      <c r="F692" s="596"/>
    </row>
    <row r="693" spans="2:6" x14ac:dyDescent="0.25">
      <c r="B693" s="266" t="str">
        <f>B21</f>
        <v>Cuad. 1of + 1ay</v>
      </c>
      <c r="C693" s="267" t="str">
        <f>C21</f>
        <v>día</v>
      </c>
      <c r="D693" s="268">
        <v>1.1911370571142036E-2</v>
      </c>
      <c r="E693" s="269">
        <f>E21</f>
        <v>207851</v>
      </c>
      <c r="F693" s="270">
        <f>D693*E693</f>
        <v>2475.7902845824433</v>
      </c>
    </row>
    <row r="694" spans="2:6" x14ac:dyDescent="0.25">
      <c r="B694" s="266"/>
      <c r="C694" s="267"/>
      <c r="D694" s="268"/>
      <c r="E694" s="269"/>
      <c r="F694" s="270">
        <f>D694*E694</f>
        <v>0</v>
      </c>
    </row>
    <row r="695" spans="2:6" x14ac:dyDescent="0.25">
      <c r="B695" s="266"/>
      <c r="C695" s="267"/>
      <c r="D695" s="268"/>
      <c r="E695" s="271"/>
      <c r="F695" s="270">
        <f>D695*E695</f>
        <v>0</v>
      </c>
    </row>
    <row r="696" spans="2:6" x14ac:dyDescent="0.25">
      <c r="B696" s="272"/>
      <c r="C696" s="273"/>
      <c r="D696" s="268"/>
      <c r="E696" s="271"/>
      <c r="F696" s="270">
        <f>D696*E696</f>
        <v>0</v>
      </c>
    </row>
    <row r="697" spans="2:6" ht="15.75" thickBot="1" x14ac:dyDescent="0.3">
      <c r="B697" s="611" t="s">
        <v>287</v>
      </c>
      <c r="C697" s="612"/>
      <c r="D697" s="612"/>
      <c r="E697" s="613"/>
      <c r="F697" s="274">
        <f>SUM(F693:F696)</f>
        <v>2475.7902845824433</v>
      </c>
    </row>
    <row r="698" spans="2:6" x14ac:dyDescent="0.25">
      <c r="B698" s="594" t="s">
        <v>278</v>
      </c>
      <c r="C698" s="595"/>
      <c r="D698" s="595"/>
      <c r="E698" s="595"/>
      <c r="F698" s="596"/>
    </row>
    <row r="699" spans="2:6" x14ac:dyDescent="0.25">
      <c r="B699" s="272" t="s">
        <v>279</v>
      </c>
      <c r="C699" s="273" t="s">
        <v>280</v>
      </c>
      <c r="D699" s="268">
        <v>0.05</v>
      </c>
      <c r="E699" s="271">
        <f>F697</f>
        <v>2475.7902845824433</v>
      </c>
      <c r="F699" s="270">
        <f>D699*E699</f>
        <v>123.78951422912218</v>
      </c>
    </row>
    <row r="700" spans="2:6" ht="15.75" thickBot="1" x14ac:dyDescent="0.3">
      <c r="B700" s="611" t="s">
        <v>288</v>
      </c>
      <c r="C700" s="612"/>
      <c r="D700" s="612"/>
      <c r="E700" s="613"/>
      <c r="F700" s="274">
        <f>SUM(F699)</f>
        <v>123.78951422912218</v>
      </c>
    </row>
    <row r="701" spans="2:6" x14ac:dyDescent="0.25">
      <c r="B701" s="594" t="s">
        <v>281</v>
      </c>
      <c r="C701" s="595"/>
      <c r="D701" s="595"/>
      <c r="E701" s="595"/>
      <c r="F701" s="596"/>
    </row>
    <row r="702" spans="2:6" ht="22.5" x14ac:dyDescent="0.25">
      <c r="B702" s="272" t="str">
        <f>B30</f>
        <v>Guadañadora/ cortadora de cesped. Incluye combustible y transporte.</v>
      </c>
      <c r="C702" s="273" t="str">
        <f>C30</f>
        <v>día</v>
      </c>
      <c r="D702" s="268">
        <v>5.0000000000000001E-3</v>
      </c>
      <c r="E702" s="271">
        <f>E30</f>
        <v>35200</v>
      </c>
      <c r="F702" s="259">
        <f t="shared" ref="F702:F713" si="29">D702*E702</f>
        <v>176</v>
      </c>
    </row>
    <row r="703" spans="2:6" x14ac:dyDescent="0.25">
      <c r="B703" s="272"/>
      <c r="C703" s="273"/>
      <c r="D703" s="268"/>
      <c r="E703" s="271"/>
      <c r="F703" s="259">
        <f t="shared" si="29"/>
        <v>0</v>
      </c>
    </row>
    <row r="704" spans="2:6" x14ac:dyDescent="0.25">
      <c r="B704" s="272"/>
      <c r="C704" s="273"/>
      <c r="D704" s="268"/>
      <c r="E704" s="271"/>
      <c r="F704" s="259">
        <f t="shared" si="29"/>
        <v>0</v>
      </c>
    </row>
    <row r="705" spans="2:6" x14ac:dyDescent="0.25">
      <c r="B705" s="272"/>
      <c r="C705" s="273"/>
      <c r="D705" s="268"/>
      <c r="E705" s="271"/>
      <c r="F705" s="259">
        <f t="shared" si="29"/>
        <v>0</v>
      </c>
    </row>
    <row r="706" spans="2:6" x14ac:dyDescent="0.25">
      <c r="B706" s="272"/>
      <c r="C706" s="273"/>
      <c r="D706" s="268"/>
      <c r="E706" s="271"/>
      <c r="F706" s="259">
        <f t="shared" si="29"/>
        <v>0</v>
      </c>
    </row>
    <row r="707" spans="2:6" x14ac:dyDescent="0.25">
      <c r="B707" s="272"/>
      <c r="C707" s="273"/>
      <c r="D707" s="268"/>
      <c r="E707" s="271"/>
      <c r="F707" s="259">
        <f t="shared" si="29"/>
        <v>0</v>
      </c>
    </row>
    <row r="708" spans="2:6" x14ac:dyDescent="0.25">
      <c r="B708" s="272"/>
      <c r="C708" s="273"/>
      <c r="D708" s="268"/>
      <c r="E708" s="271"/>
      <c r="F708" s="259">
        <f t="shared" si="29"/>
        <v>0</v>
      </c>
    </row>
    <row r="709" spans="2:6" x14ac:dyDescent="0.25">
      <c r="B709" s="272"/>
      <c r="C709" s="273"/>
      <c r="D709" s="268"/>
      <c r="E709" s="271"/>
      <c r="F709" s="259">
        <f t="shared" si="29"/>
        <v>0</v>
      </c>
    </row>
    <row r="710" spans="2:6" x14ac:dyDescent="0.25">
      <c r="B710" s="272"/>
      <c r="C710" s="273"/>
      <c r="D710" s="268"/>
      <c r="E710" s="271"/>
      <c r="F710" s="259">
        <f t="shared" si="29"/>
        <v>0</v>
      </c>
    </row>
    <row r="711" spans="2:6" x14ac:dyDescent="0.25">
      <c r="B711" s="272"/>
      <c r="C711" s="273"/>
      <c r="D711" s="268"/>
      <c r="E711" s="271"/>
      <c r="F711" s="259">
        <f t="shared" si="29"/>
        <v>0</v>
      </c>
    </row>
    <row r="712" spans="2:6" x14ac:dyDescent="0.25">
      <c r="B712" s="272"/>
      <c r="C712" s="273"/>
      <c r="D712" s="268"/>
      <c r="E712" s="271"/>
      <c r="F712" s="259">
        <f t="shared" si="29"/>
        <v>0</v>
      </c>
    </row>
    <row r="713" spans="2:6" x14ac:dyDescent="0.25">
      <c r="B713" s="272"/>
      <c r="C713" s="273"/>
      <c r="D713" s="268"/>
      <c r="E713" s="271"/>
      <c r="F713" s="259">
        <f t="shared" si="29"/>
        <v>0</v>
      </c>
    </row>
    <row r="714" spans="2:6" ht="15.75" thickBot="1" x14ac:dyDescent="0.3">
      <c r="B714" s="611" t="s">
        <v>289</v>
      </c>
      <c r="C714" s="612"/>
      <c r="D714" s="612"/>
      <c r="E714" s="613"/>
      <c r="F714" s="274">
        <f>SUM(F702:F713)</f>
        <v>176</v>
      </c>
    </row>
    <row r="715" spans="2:6" x14ac:dyDescent="0.25">
      <c r="B715" s="594" t="s">
        <v>290</v>
      </c>
      <c r="C715" s="595"/>
      <c r="D715" s="595"/>
      <c r="E715" s="595"/>
      <c r="F715" s="596"/>
    </row>
    <row r="716" spans="2:6" x14ac:dyDescent="0.25">
      <c r="B716" s="272" t="str">
        <f>B44</f>
        <v>Cargue Manual-Transporte-Botada</v>
      </c>
      <c r="C716" s="273" t="str">
        <f>C44</f>
        <v>m3</v>
      </c>
      <c r="D716" s="275">
        <f>D44</f>
        <v>0.1</v>
      </c>
      <c r="E716" s="276">
        <f>E44</f>
        <v>58198</v>
      </c>
      <c r="F716" s="259">
        <f>D716*E716</f>
        <v>5819.8</v>
      </c>
    </row>
    <row r="717" spans="2:6" x14ac:dyDescent="0.25">
      <c r="B717" s="277"/>
      <c r="C717" s="278"/>
      <c r="D717" s="279"/>
      <c r="E717" s="280"/>
      <c r="F717" s="259">
        <f>D717*E717</f>
        <v>0</v>
      </c>
    </row>
    <row r="718" spans="2:6" x14ac:dyDescent="0.25">
      <c r="B718" s="277"/>
      <c r="C718" s="278"/>
      <c r="D718" s="279"/>
      <c r="E718" s="280"/>
      <c r="F718" s="259">
        <f>D718*E718</f>
        <v>0</v>
      </c>
    </row>
    <row r="719" spans="2:6" ht="15.75" thickBot="1" x14ac:dyDescent="0.3">
      <c r="B719" s="611" t="s">
        <v>291</v>
      </c>
      <c r="C719" s="612"/>
      <c r="D719" s="612"/>
      <c r="E719" s="613"/>
      <c r="F719" s="285">
        <f>SUM(F716:F718)</f>
        <v>5819.8</v>
      </c>
    </row>
    <row r="720" spans="2:6" ht="15.75" thickBot="1" x14ac:dyDescent="0.3">
      <c r="B720" s="600" t="s">
        <v>282</v>
      </c>
      <c r="C720" s="601"/>
      <c r="D720" s="601"/>
      <c r="E720" s="601"/>
      <c r="F720" s="499">
        <f>ROUND(F691+F697+F700+F714+F719,0)</f>
        <v>9116</v>
      </c>
    </row>
    <row r="721" spans="2:6" ht="15.75" thickBot="1" x14ac:dyDescent="0.3"/>
    <row r="722" spans="2:6" ht="15.75" thickBot="1" x14ac:dyDescent="0.3">
      <c r="B722" s="602" t="s">
        <v>276</v>
      </c>
      <c r="C722" s="603"/>
      <c r="D722" s="603"/>
      <c r="E722" s="603"/>
      <c r="F722" s="604"/>
    </row>
    <row r="723" spans="2:6" ht="15.75" thickBot="1" x14ac:dyDescent="0.3">
      <c r="B723" s="605" t="s">
        <v>104</v>
      </c>
      <c r="C723" s="606"/>
      <c r="D723" s="607"/>
      <c r="E723" s="282" t="s">
        <v>105</v>
      </c>
      <c r="F723" s="283" t="s">
        <v>103</v>
      </c>
    </row>
    <row r="724" spans="2:6" ht="66.599999999999994" customHeight="1" thickBot="1" x14ac:dyDescent="0.3">
      <c r="B724" s="608" t="str">
        <f>'PRESUPUESTO CALLE 58 SUR'!B22</f>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
      <c r="C724" s="609"/>
      <c r="D724" s="610"/>
      <c r="E724" s="248" t="str">
        <f>'PRESUPUESTO CALLE 58 SUR'!C22</f>
        <v>m</v>
      </c>
      <c r="F724" s="448">
        <f>'PRESUPUESTO CALLE 58 SUR'!A22</f>
        <v>2.2999999999999998</v>
      </c>
    </row>
    <row r="725" spans="2:6" ht="15.75" thickBot="1" x14ac:dyDescent="0.3">
      <c r="B725" s="250" t="s">
        <v>8</v>
      </c>
      <c r="C725" s="251" t="s">
        <v>9</v>
      </c>
      <c r="D725" s="252" t="s">
        <v>10</v>
      </c>
      <c r="E725" s="253" t="s">
        <v>283</v>
      </c>
      <c r="F725" s="254" t="s">
        <v>284</v>
      </c>
    </row>
    <row r="726" spans="2:6" x14ac:dyDescent="0.25">
      <c r="B726" s="594" t="s">
        <v>285</v>
      </c>
      <c r="C726" s="595"/>
      <c r="D726" s="595"/>
      <c r="E726" s="595"/>
      <c r="F726" s="596"/>
    </row>
    <row r="727" spans="2:6" ht="22.5" x14ac:dyDescent="0.25">
      <c r="B727" s="255" t="str">
        <f>INSUMOS!B193</f>
        <v>Malla de Seguridad 1"X4" Plástica Naranja de 1.00X50 m. Por m, +Transp.</v>
      </c>
      <c r="C727" s="256" t="s">
        <v>111</v>
      </c>
      <c r="D727" s="257">
        <v>1.2</v>
      </c>
      <c r="E727" s="258">
        <f>INSUMOS!D193</f>
        <v>2578</v>
      </c>
      <c r="F727" s="259">
        <f t="shared" ref="F727:F738" si="30">D727*E727</f>
        <v>3093.6</v>
      </c>
    </row>
    <row r="728" spans="2:6" x14ac:dyDescent="0.25">
      <c r="B728" s="452" t="str">
        <f>SUBANALISIS!H10</f>
        <v>Arena para pega</v>
      </c>
      <c r="C728" s="256" t="s">
        <v>117</v>
      </c>
      <c r="D728" s="257">
        <v>9.2999999999999992E-3</v>
      </c>
      <c r="E728" s="258">
        <f>SUBANALISIS!I10</f>
        <v>69716.864000000001</v>
      </c>
      <c r="F728" s="259">
        <f t="shared" si="30"/>
        <v>648.36683519999997</v>
      </c>
    </row>
    <row r="729" spans="2:6" x14ac:dyDescent="0.25">
      <c r="B729" s="261" t="str">
        <f>INSUMOS!B194</f>
        <v>Señalización Vial Tubular Base Naranja.</v>
      </c>
      <c r="C729" s="256" t="s">
        <v>17</v>
      </c>
      <c r="D729" s="257">
        <v>6.6000000000000003E-2</v>
      </c>
      <c r="E729" s="258">
        <f>INSUMOS!D194</f>
        <v>117000</v>
      </c>
      <c r="F729" s="259">
        <f t="shared" si="30"/>
        <v>7722</v>
      </c>
    </row>
    <row r="730" spans="2:6" x14ac:dyDescent="0.25">
      <c r="B730" s="261" t="str">
        <f>INSUMOS!B196</f>
        <v>Amarre Corredilla Plástica T12 300 mm x 100 un</v>
      </c>
      <c r="C730" s="256" t="s">
        <v>17</v>
      </c>
      <c r="D730" s="257">
        <v>4</v>
      </c>
      <c r="E730" s="258">
        <f>INSUMOS!D196</f>
        <v>275</v>
      </c>
      <c r="F730" s="259">
        <f t="shared" si="30"/>
        <v>1100</v>
      </c>
    </row>
    <row r="731" spans="2:6" x14ac:dyDescent="0.25">
      <c r="B731" s="261" t="str">
        <f>INSUMOS!B195</f>
        <v>Cinta demarcación Peligro-No Pase x 50 m.</v>
      </c>
      <c r="C731" s="256" t="s">
        <v>111</v>
      </c>
      <c r="D731" s="257">
        <v>2</v>
      </c>
      <c r="E731" s="258">
        <f>INSUMOS!D195</f>
        <v>1218</v>
      </c>
      <c r="F731" s="259">
        <f t="shared" si="30"/>
        <v>2436</v>
      </c>
    </row>
    <row r="732" spans="2:6" x14ac:dyDescent="0.25">
      <c r="B732" s="261"/>
      <c r="C732" s="256"/>
      <c r="D732" s="257"/>
      <c r="E732" s="258"/>
      <c r="F732" s="259">
        <f t="shared" si="30"/>
        <v>0</v>
      </c>
    </row>
    <row r="733" spans="2:6" x14ac:dyDescent="0.25">
      <c r="B733" s="261"/>
      <c r="C733" s="256"/>
      <c r="D733" s="257"/>
      <c r="E733" s="258"/>
      <c r="F733" s="259">
        <f t="shared" si="30"/>
        <v>0</v>
      </c>
    </row>
    <row r="734" spans="2:6" x14ac:dyDescent="0.25">
      <c r="B734" s="261"/>
      <c r="C734" s="256"/>
      <c r="D734" s="257"/>
      <c r="E734" s="258"/>
      <c r="F734" s="259">
        <f t="shared" si="30"/>
        <v>0</v>
      </c>
    </row>
    <row r="735" spans="2:6" x14ac:dyDescent="0.25">
      <c r="B735" s="261"/>
      <c r="C735" s="256"/>
      <c r="D735" s="257"/>
      <c r="E735" s="258"/>
      <c r="F735" s="259">
        <f t="shared" si="30"/>
        <v>0</v>
      </c>
    </row>
    <row r="736" spans="2:6" x14ac:dyDescent="0.25">
      <c r="B736" s="261"/>
      <c r="C736" s="256"/>
      <c r="D736" s="257"/>
      <c r="E736" s="258"/>
      <c r="F736" s="259">
        <f t="shared" si="30"/>
        <v>0</v>
      </c>
    </row>
    <row r="737" spans="2:6" x14ac:dyDescent="0.25">
      <c r="B737" s="261"/>
      <c r="C737" s="256"/>
      <c r="D737" s="257"/>
      <c r="E737" s="258"/>
      <c r="F737" s="259">
        <f t="shared" si="30"/>
        <v>0</v>
      </c>
    </row>
    <row r="738" spans="2:6" x14ac:dyDescent="0.25">
      <c r="B738" s="262"/>
      <c r="C738" s="263"/>
      <c r="D738" s="264"/>
      <c r="E738" s="265"/>
      <c r="F738" s="259">
        <f t="shared" si="30"/>
        <v>0</v>
      </c>
    </row>
    <row r="739" spans="2:6" ht="15.75" thickBot="1" x14ac:dyDescent="0.3">
      <c r="B739" s="611" t="s">
        <v>286</v>
      </c>
      <c r="C739" s="612"/>
      <c r="D739" s="612"/>
      <c r="E739" s="613"/>
      <c r="F739" s="284">
        <f>SUM(F727:F738)</f>
        <v>14999.966835200001</v>
      </c>
    </row>
    <row r="740" spans="2:6" x14ac:dyDescent="0.25">
      <c r="B740" s="594" t="s">
        <v>277</v>
      </c>
      <c r="C740" s="595"/>
      <c r="D740" s="595"/>
      <c r="E740" s="595"/>
      <c r="F740" s="596"/>
    </row>
    <row r="741" spans="2:6" x14ac:dyDescent="0.25">
      <c r="B741" s="266" t="str">
        <f>CUADRILLAS!A79</f>
        <v>Cuad. 1of + 1ay</v>
      </c>
      <c r="C741" s="267" t="s">
        <v>110</v>
      </c>
      <c r="D741" s="268">
        <v>0.06</v>
      </c>
      <c r="E741" s="269">
        <f>CUADRILLAS!B79</f>
        <v>207851</v>
      </c>
      <c r="F741" s="270">
        <f>D741*E741</f>
        <v>12471.06</v>
      </c>
    </row>
    <row r="742" spans="2:6" x14ac:dyDescent="0.25">
      <c r="B742" s="266"/>
      <c r="C742" s="267"/>
      <c r="D742" s="268"/>
      <c r="E742" s="269"/>
      <c r="F742" s="270">
        <f>D742*E742</f>
        <v>0</v>
      </c>
    </row>
    <row r="743" spans="2:6" x14ac:dyDescent="0.25">
      <c r="B743" s="266"/>
      <c r="C743" s="267"/>
      <c r="D743" s="268"/>
      <c r="E743" s="271"/>
      <c r="F743" s="270">
        <f>D743*E743</f>
        <v>0</v>
      </c>
    </row>
    <row r="744" spans="2:6" x14ac:dyDescent="0.25">
      <c r="B744" s="272"/>
      <c r="C744" s="273"/>
      <c r="D744" s="268"/>
      <c r="E744" s="271"/>
      <c r="F744" s="270">
        <f>D744*E744</f>
        <v>0</v>
      </c>
    </row>
    <row r="745" spans="2:6" ht="15.75" thickBot="1" x14ac:dyDescent="0.3">
      <c r="B745" s="611" t="s">
        <v>287</v>
      </c>
      <c r="C745" s="612"/>
      <c r="D745" s="612"/>
      <c r="E745" s="613"/>
      <c r="F745" s="274">
        <f>SUM(F741:F744)</f>
        <v>12471.06</v>
      </c>
    </row>
    <row r="746" spans="2:6" x14ac:dyDescent="0.25">
      <c r="B746" s="594" t="s">
        <v>278</v>
      </c>
      <c r="C746" s="595"/>
      <c r="D746" s="595"/>
      <c r="E746" s="595"/>
      <c r="F746" s="596"/>
    </row>
    <row r="747" spans="2:6" x14ac:dyDescent="0.25">
      <c r="B747" s="272" t="s">
        <v>279</v>
      </c>
      <c r="C747" s="273" t="s">
        <v>280</v>
      </c>
      <c r="D747" s="268">
        <v>0.05</v>
      </c>
      <c r="E747" s="271">
        <f>F745</f>
        <v>12471.06</v>
      </c>
      <c r="F747" s="270">
        <f>D747*E747</f>
        <v>623.553</v>
      </c>
    </row>
    <row r="748" spans="2:6" ht="15.75" thickBot="1" x14ac:dyDescent="0.3">
      <c r="B748" s="611" t="s">
        <v>288</v>
      </c>
      <c r="C748" s="612"/>
      <c r="D748" s="612"/>
      <c r="E748" s="613"/>
      <c r="F748" s="274">
        <f>SUM(F747)</f>
        <v>623.553</v>
      </c>
    </row>
    <row r="749" spans="2:6" x14ac:dyDescent="0.25">
      <c r="B749" s="594" t="s">
        <v>281</v>
      </c>
      <c r="C749" s="595"/>
      <c r="D749" s="595"/>
      <c r="E749" s="595"/>
      <c r="F749" s="596"/>
    </row>
    <row r="750" spans="2:6" x14ac:dyDescent="0.25">
      <c r="B750" s="272"/>
      <c r="C750" s="273"/>
      <c r="D750" s="268"/>
      <c r="E750" s="271"/>
      <c r="F750" s="259">
        <f t="shared" ref="F750:F761" si="31">D750*E750</f>
        <v>0</v>
      </c>
    </row>
    <row r="751" spans="2:6" x14ac:dyDescent="0.25">
      <c r="B751" s="272"/>
      <c r="C751" s="273"/>
      <c r="D751" s="268"/>
      <c r="E751" s="271"/>
      <c r="F751" s="259">
        <f t="shared" si="31"/>
        <v>0</v>
      </c>
    </row>
    <row r="752" spans="2:6" x14ac:dyDescent="0.25">
      <c r="B752" s="272"/>
      <c r="C752" s="273"/>
      <c r="D752" s="268"/>
      <c r="E752" s="271"/>
      <c r="F752" s="259">
        <f t="shared" si="31"/>
        <v>0</v>
      </c>
    </row>
    <row r="753" spans="2:6" x14ac:dyDescent="0.25">
      <c r="B753" s="272"/>
      <c r="C753" s="273"/>
      <c r="D753" s="268"/>
      <c r="E753" s="271"/>
      <c r="F753" s="259">
        <f t="shared" si="31"/>
        <v>0</v>
      </c>
    </row>
    <row r="754" spans="2:6" x14ac:dyDescent="0.25">
      <c r="B754" s="272"/>
      <c r="C754" s="273"/>
      <c r="D754" s="268"/>
      <c r="E754" s="271"/>
      <c r="F754" s="259">
        <f t="shared" si="31"/>
        <v>0</v>
      </c>
    </row>
    <row r="755" spans="2:6" x14ac:dyDescent="0.25">
      <c r="B755" s="272"/>
      <c r="C755" s="273"/>
      <c r="D755" s="268"/>
      <c r="E755" s="271"/>
      <c r="F755" s="259">
        <f t="shared" si="31"/>
        <v>0</v>
      </c>
    </row>
    <row r="756" spans="2:6" x14ac:dyDescent="0.25">
      <c r="B756" s="272"/>
      <c r="C756" s="273"/>
      <c r="D756" s="268"/>
      <c r="E756" s="271"/>
      <c r="F756" s="259">
        <f t="shared" si="31"/>
        <v>0</v>
      </c>
    </row>
    <row r="757" spans="2:6" x14ac:dyDescent="0.25">
      <c r="B757" s="272"/>
      <c r="C757" s="273"/>
      <c r="D757" s="268"/>
      <c r="E757" s="271"/>
      <c r="F757" s="259">
        <f t="shared" si="31"/>
        <v>0</v>
      </c>
    </row>
    <row r="758" spans="2:6" x14ac:dyDescent="0.25">
      <c r="B758" s="272"/>
      <c r="C758" s="273"/>
      <c r="D758" s="268"/>
      <c r="E758" s="271"/>
      <c r="F758" s="259">
        <f t="shared" si="31"/>
        <v>0</v>
      </c>
    </row>
    <row r="759" spans="2:6" x14ac:dyDescent="0.25">
      <c r="B759" s="272"/>
      <c r="C759" s="273"/>
      <c r="D759" s="268"/>
      <c r="E759" s="271"/>
      <c r="F759" s="259">
        <f t="shared" si="31"/>
        <v>0</v>
      </c>
    </row>
    <row r="760" spans="2:6" x14ac:dyDescent="0.25">
      <c r="B760" s="272"/>
      <c r="C760" s="273"/>
      <c r="D760" s="268"/>
      <c r="E760" s="271"/>
      <c r="F760" s="259">
        <f t="shared" si="31"/>
        <v>0</v>
      </c>
    </row>
    <row r="761" spans="2:6" x14ac:dyDescent="0.25">
      <c r="B761" s="272"/>
      <c r="C761" s="273"/>
      <c r="D761" s="268"/>
      <c r="E761" s="271"/>
      <c r="F761" s="259">
        <f t="shared" si="31"/>
        <v>0</v>
      </c>
    </row>
    <row r="762" spans="2:6" ht="15.75" thickBot="1" x14ac:dyDescent="0.3">
      <c r="B762" s="611" t="s">
        <v>289</v>
      </c>
      <c r="C762" s="612"/>
      <c r="D762" s="612"/>
      <c r="E762" s="613"/>
      <c r="F762" s="274">
        <f>SUM(F750:F761)</f>
        <v>0</v>
      </c>
    </row>
    <row r="763" spans="2:6" x14ac:dyDescent="0.25">
      <c r="B763" s="594" t="s">
        <v>290</v>
      </c>
      <c r="C763" s="595"/>
      <c r="D763" s="595"/>
      <c r="E763" s="595"/>
      <c r="F763" s="596"/>
    </row>
    <row r="764" spans="2:6" x14ac:dyDescent="0.25">
      <c r="B764" s="272" t="s">
        <v>884</v>
      </c>
      <c r="C764" s="273" t="s">
        <v>49</v>
      </c>
      <c r="D764" s="275">
        <v>1</v>
      </c>
      <c r="E764" s="276">
        <v>100</v>
      </c>
      <c r="F764" s="259">
        <f>D764*E764</f>
        <v>100</v>
      </c>
    </row>
    <row r="765" spans="2:6" x14ac:dyDescent="0.25">
      <c r="B765" s="277" t="s">
        <v>976</v>
      </c>
      <c r="C765" s="278" t="s">
        <v>117</v>
      </c>
      <c r="D765" s="279">
        <f>D728</f>
        <v>9.2999999999999992E-3</v>
      </c>
      <c r="E765" s="280">
        <f>SUBANALISIS!J1</f>
        <v>72000</v>
      </c>
      <c r="F765" s="259">
        <f>D765*E765</f>
        <v>669.59999999999991</v>
      </c>
    </row>
    <row r="766" spans="2:6" x14ac:dyDescent="0.25">
      <c r="B766" s="277"/>
      <c r="C766" s="278"/>
      <c r="D766" s="279"/>
      <c r="E766" s="280"/>
      <c r="F766" s="259">
        <f>D766*E766</f>
        <v>0</v>
      </c>
    </row>
    <row r="767" spans="2:6" ht="15.75" thickBot="1" x14ac:dyDescent="0.3">
      <c r="B767" s="611" t="s">
        <v>291</v>
      </c>
      <c r="C767" s="612"/>
      <c r="D767" s="612"/>
      <c r="E767" s="613"/>
      <c r="F767" s="285">
        <f>SUM(F764:F766)</f>
        <v>769.59999999999991</v>
      </c>
    </row>
    <row r="768" spans="2:6" ht="15.75" thickBot="1" x14ac:dyDescent="0.3">
      <c r="B768" s="600" t="s">
        <v>282</v>
      </c>
      <c r="C768" s="601"/>
      <c r="D768" s="601"/>
      <c r="E768" s="601"/>
      <c r="F768" s="286">
        <f>ROUND(F739+F745+F748+F762+F767,0)</f>
        <v>28864</v>
      </c>
    </row>
    <row r="769" spans="2:6" ht="15.75" thickBot="1" x14ac:dyDescent="0.3"/>
    <row r="770" spans="2:6" ht="15.75" thickBot="1" x14ac:dyDescent="0.3">
      <c r="B770" s="602" t="s">
        <v>276</v>
      </c>
      <c r="C770" s="603"/>
      <c r="D770" s="603"/>
      <c r="E770" s="603"/>
      <c r="F770" s="604"/>
    </row>
    <row r="771" spans="2:6" ht="15.75" thickBot="1" x14ac:dyDescent="0.3">
      <c r="B771" s="605" t="s">
        <v>104</v>
      </c>
      <c r="C771" s="606"/>
      <c r="D771" s="607"/>
      <c r="E771" s="282" t="s">
        <v>105</v>
      </c>
      <c r="F771" s="283" t="s">
        <v>103</v>
      </c>
    </row>
    <row r="772" spans="2:6" ht="61.9" customHeight="1" thickBot="1" x14ac:dyDescent="0.3">
      <c r="B772" s="608" t="str">
        <f>'PRESUPUESTO CALLE 58 SUR'!B24</f>
        <v>DEMOLICIÓN DE BORDILLOS O CUNETAS EN CONCRETO, manual o mecánicamente, de cualquier tamaño. Incluye retiro de refuerzo e instalaciones embebidas. La disposición final de los materiales provenientes de las demoliciones se deben realizar en sitios que cumplan con los requisitos exigidos por la autoridad ambiental. Incluye cargue transporte y botada.</v>
      </c>
      <c r="C772" s="609"/>
      <c r="D772" s="610"/>
      <c r="E772" s="248" t="str">
        <f>'PRESUPUESTO CALLE 58 SUR'!C24</f>
        <v>m</v>
      </c>
      <c r="F772" s="448">
        <f>'PRESUPUESTO CALLE 58 SUR'!A24</f>
        <v>3.1</v>
      </c>
    </row>
    <row r="773" spans="2:6" ht="15.75" thickBot="1" x14ac:dyDescent="0.3">
      <c r="B773" s="250" t="s">
        <v>8</v>
      </c>
      <c r="C773" s="251" t="s">
        <v>9</v>
      </c>
      <c r="D773" s="252" t="s">
        <v>10</v>
      </c>
      <c r="E773" s="253" t="s">
        <v>283</v>
      </c>
      <c r="F773" s="254" t="s">
        <v>284</v>
      </c>
    </row>
    <row r="774" spans="2:6" x14ac:dyDescent="0.25">
      <c r="B774" s="594" t="s">
        <v>285</v>
      </c>
      <c r="C774" s="595"/>
      <c r="D774" s="595"/>
      <c r="E774" s="595"/>
      <c r="F774" s="596"/>
    </row>
    <row r="775" spans="2:6" x14ac:dyDescent="0.25">
      <c r="B775" s="255"/>
      <c r="C775" s="256"/>
      <c r="D775" s="257"/>
      <c r="E775" s="258"/>
      <c r="F775" s="259">
        <f t="shared" ref="F775:F786" si="32">D775*E775</f>
        <v>0</v>
      </c>
    </row>
    <row r="776" spans="2:6" x14ac:dyDescent="0.25">
      <c r="B776" s="260"/>
      <c r="C776" s="256"/>
      <c r="D776" s="257"/>
      <c r="E776" s="258"/>
      <c r="F776" s="259">
        <f t="shared" si="32"/>
        <v>0</v>
      </c>
    </row>
    <row r="777" spans="2:6" x14ac:dyDescent="0.25">
      <c r="B777" s="261"/>
      <c r="C777" s="256"/>
      <c r="D777" s="257"/>
      <c r="E777" s="258"/>
      <c r="F777" s="259">
        <f t="shared" si="32"/>
        <v>0</v>
      </c>
    </row>
    <row r="778" spans="2:6" x14ac:dyDescent="0.25">
      <c r="B778" s="261"/>
      <c r="C778" s="256"/>
      <c r="D778" s="257"/>
      <c r="E778" s="258"/>
      <c r="F778" s="259">
        <f t="shared" si="32"/>
        <v>0</v>
      </c>
    </row>
    <row r="779" spans="2:6" x14ac:dyDescent="0.25">
      <c r="B779" s="261"/>
      <c r="C779" s="256"/>
      <c r="D779" s="257"/>
      <c r="E779" s="258"/>
      <c r="F779" s="259">
        <f t="shared" si="32"/>
        <v>0</v>
      </c>
    </row>
    <row r="780" spans="2:6" x14ac:dyDescent="0.25">
      <c r="B780" s="261"/>
      <c r="C780" s="256"/>
      <c r="D780" s="257"/>
      <c r="E780" s="258"/>
      <c r="F780" s="259">
        <f t="shared" si="32"/>
        <v>0</v>
      </c>
    </row>
    <row r="781" spans="2:6" x14ac:dyDescent="0.25">
      <c r="B781" s="261"/>
      <c r="C781" s="256"/>
      <c r="D781" s="257"/>
      <c r="E781" s="258"/>
      <c r="F781" s="259">
        <f t="shared" si="32"/>
        <v>0</v>
      </c>
    </row>
    <row r="782" spans="2:6" x14ac:dyDescent="0.25">
      <c r="B782" s="261"/>
      <c r="C782" s="256"/>
      <c r="D782" s="257"/>
      <c r="E782" s="258"/>
      <c r="F782" s="259">
        <f t="shared" si="32"/>
        <v>0</v>
      </c>
    </row>
    <row r="783" spans="2:6" x14ac:dyDescent="0.25">
      <c r="B783" s="261"/>
      <c r="C783" s="256"/>
      <c r="D783" s="257"/>
      <c r="E783" s="258"/>
      <c r="F783" s="259">
        <f t="shared" si="32"/>
        <v>0</v>
      </c>
    </row>
    <row r="784" spans="2:6" x14ac:dyDescent="0.25">
      <c r="B784" s="261"/>
      <c r="C784" s="256"/>
      <c r="D784" s="257"/>
      <c r="E784" s="258"/>
      <c r="F784" s="259">
        <f t="shared" si="32"/>
        <v>0</v>
      </c>
    </row>
    <row r="785" spans="2:6" x14ac:dyDescent="0.25">
      <c r="B785" s="261"/>
      <c r="C785" s="256"/>
      <c r="D785" s="257"/>
      <c r="E785" s="258"/>
      <c r="F785" s="259">
        <f t="shared" si="32"/>
        <v>0</v>
      </c>
    </row>
    <row r="786" spans="2:6" x14ac:dyDescent="0.25">
      <c r="B786" s="262"/>
      <c r="C786" s="263"/>
      <c r="D786" s="264"/>
      <c r="E786" s="265"/>
      <c r="F786" s="259">
        <f t="shared" si="32"/>
        <v>0</v>
      </c>
    </row>
    <row r="787" spans="2:6" ht="15.75" thickBot="1" x14ac:dyDescent="0.3">
      <c r="B787" s="611" t="s">
        <v>286</v>
      </c>
      <c r="C787" s="612"/>
      <c r="D787" s="612"/>
      <c r="E787" s="613"/>
      <c r="F787" s="284">
        <f>SUM(F775:F786)</f>
        <v>0</v>
      </c>
    </row>
    <row r="788" spans="2:6" x14ac:dyDescent="0.25">
      <c r="B788" s="594" t="s">
        <v>277</v>
      </c>
      <c r="C788" s="595"/>
      <c r="D788" s="595"/>
      <c r="E788" s="595"/>
      <c r="F788" s="596"/>
    </row>
    <row r="789" spans="2:6" x14ac:dyDescent="0.25">
      <c r="B789" s="266" t="str">
        <f>CUADRILLAS!A78</f>
        <v>Cuad. 1of + 1 ay Ent</v>
      </c>
      <c r="C789" s="267" t="s">
        <v>110</v>
      </c>
      <c r="D789" s="268">
        <v>8.6214407793539574E-2</v>
      </c>
      <c r="E789" s="269">
        <f>CUADRILLAS!B78</f>
        <v>211165</v>
      </c>
      <c r="F789" s="270">
        <f>D789*E789</f>
        <v>18205.465421722784</v>
      </c>
    </row>
    <row r="790" spans="2:6" x14ac:dyDescent="0.25">
      <c r="B790" s="266"/>
      <c r="C790" s="267"/>
      <c r="D790" s="268"/>
      <c r="E790" s="269"/>
      <c r="F790" s="270">
        <f>D790*E790</f>
        <v>0</v>
      </c>
    </row>
    <row r="791" spans="2:6" x14ac:dyDescent="0.25">
      <c r="B791" s="266"/>
      <c r="C791" s="267"/>
      <c r="D791" s="268"/>
      <c r="E791" s="271"/>
      <c r="F791" s="270">
        <f>D791*E791</f>
        <v>0</v>
      </c>
    </row>
    <row r="792" spans="2:6" x14ac:dyDescent="0.25">
      <c r="B792" s="272"/>
      <c r="C792" s="273"/>
      <c r="D792" s="268"/>
      <c r="E792" s="271"/>
      <c r="F792" s="270">
        <f>D792*E792</f>
        <v>0</v>
      </c>
    </row>
    <row r="793" spans="2:6" ht="15.75" thickBot="1" x14ac:dyDescent="0.3">
      <c r="B793" s="611" t="s">
        <v>287</v>
      </c>
      <c r="C793" s="612"/>
      <c r="D793" s="612"/>
      <c r="E793" s="613"/>
      <c r="F793" s="274">
        <f>SUM(F789:F792)</f>
        <v>18205.465421722784</v>
      </c>
    </row>
    <row r="794" spans="2:6" x14ac:dyDescent="0.25">
      <c r="B794" s="594" t="s">
        <v>278</v>
      </c>
      <c r="C794" s="595"/>
      <c r="D794" s="595"/>
      <c r="E794" s="595"/>
      <c r="F794" s="596"/>
    </row>
    <row r="795" spans="2:6" x14ac:dyDescent="0.25">
      <c r="B795" s="272" t="s">
        <v>279</v>
      </c>
      <c r="C795" s="273" t="s">
        <v>280</v>
      </c>
      <c r="D795" s="268">
        <v>0.05</v>
      </c>
      <c r="E795" s="271">
        <f>F793</f>
        <v>18205.465421722784</v>
      </c>
      <c r="F795" s="270">
        <f>D795*E795</f>
        <v>910.27327108613918</v>
      </c>
    </row>
    <row r="796" spans="2:6" ht="15.75" thickBot="1" x14ac:dyDescent="0.3">
      <c r="B796" s="611" t="s">
        <v>288</v>
      </c>
      <c r="C796" s="612"/>
      <c r="D796" s="612"/>
      <c r="E796" s="613"/>
      <c r="F796" s="274">
        <f>SUM(F795)</f>
        <v>910.27327108613918</v>
      </c>
    </row>
    <row r="797" spans="2:6" x14ac:dyDescent="0.25">
      <c r="B797" s="594" t="s">
        <v>281</v>
      </c>
      <c r="C797" s="595"/>
      <c r="D797" s="595"/>
      <c r="E797" s="595"/>
      <c r="F797" s="596"/>
    </row>
    <row r="798" spans="2:6" x14ac:dyDescent="0.25">
      <c r="B798" s="272" t="str">
        <f>INSUMOS!B231</f>
        <v>Compresor para demolición 1 martillo + transporte</v>
      </c>
      <c r="C798" s="273" t="s">
        <v>599</v>
      </c>
      <c r="D798" s="268">
        <v>3.4000000000000002E-2</v>
      </c>
      <c r="E798" s="271">
        <f>INSUMOS!D231</f>
        <v>68500</v>
      </c>
      <c r="F798" s="259">
        <f t="shared" ref="F798:F809" si="33">D798*E798</f>
        <v>2329</v>
      </c>
    </row>
    <row r="799" spans="2:6" x14ac:dyDescent="0.25">
      <c r="B799" s="272"/>
      <c r="C799" s="273"/>
      <c r="D799" s="268"/>
      <c r="E799" s="271"/>
      <c r="F799" s="259">
        <f t="shared" si="33"/>
        <v>0</v>
      </c>
    </row>
    <row r="800" spans="2:6" x14ac:dyDescent="0.25">
      <c r="B800" s="272"/>
      <c r="C800" s="273"/>
      <c r="D800" s="268"/>
      <c r="E800" s="271"/>
      <c r="F800" s="259">
        <f t="shared" si="33"/>
        <v>0</v>
      </c>
    </row>
    <row r="801" spans="2:6" x14ac:dyDescent="0.25">
      <c r="B801" s="272"/>
      <c r="C801" s="273"/>
      <c r="D801" s="268"/>
      <c r="E801" s="271"/>
      <c r="F801" s="259">
        <f t="shared" si="33"/>
        <v>0</v>
      </c>
    </row>
    <row r="802" spans="2:6" x14ac:dyDescent="0.25">
      <c r="B802" s="272"/>
      <c r="C802" s="273"/>
      <c r="D802" s="268"/>
      <c r="E802" s="271"/>
      <c r="F802" s="259">
        <f t="shared" si="33"/>
        <v>0</v>
      </c>
    </row>
    <row r="803" spans="2:6" x14ac:dyDescent="0.25">
      <c r="B803" s="272"/>
      <c r="C803" s="273"/>
      <c r="D803" s="268"/>
      <c r="E803" s="271"/>
      <c r="F803" s="259">
        <f t="shared" si="33"/>
        <v>0</v>
      </c>
    </row>
    <row r="804" spans="2:6" x14ac:dyDescent="0.25">
      <c r="B804" s="272"/>
      <c r="C804" s="273"/>
      <c r="D804" s="268"/>
      <c r="E804" s="271"/>
      <c r="F804" s="259">
        <f t="shared" si="33"/>
        <v>0</v>
      </c>
    </row>
    <row r="805" spans="2:6" x14ac:dyDescent="0.25">
      <c r="B805" s="272"/>
      <c r="C805" s="273"/>
      <c r="D805" s="268"/>
      <c r="E805" s="271"/>
      <c r="F805" s="259">
        <f t="shared" si="33"/>
        <v>0</v>
      </c>
    </row>
    <row r="806" spans="2:6" x14ac:dyDescent="0.25">
      <c r="B806" s="272"/>
      <c r="C806" s="273"/>
      <c r="D806" s="268"/>
      <c r="E806" s="271"/>
      <c r="F806" s="259">
        <f t="shared" si="33"/>
        <v>0</v>
      </c>
    </row>
    <row r="807" spans="2:6" x14ac:dyDescent="0.25">
      <c r="B807" s="272"/>
      <c r="C807" s="273"/>
      <c r="D807" s="268"/>
      <c r="E807" s="271"/>
      <c r="F807" s="259">
        <f t="shared" si="33"/>
        <v>0</v>
      </c>
    </row>
    <row r="808" spans="2:6" x14ac:dyDescent="0.25">
      <c r="B808" s="272"/>
      <c r="C808" s="273"/>
      <c r="D808" s="268"/>
      <c r="E808" s="271"/>
      <c r="F808" s="259">
        <f t="shared" si="33"/>
        <v>0</v>
      </c>
    </row>
    <row r="809" spans="2:6" x14ac:dyDescent="0.25">
      <c r="B809" s="272"/>
      <c r="C809" s="273"/>
      <c r="D809" s="268"/>
      <c r="E809" s="271"/>
      <c r="F809" s="259">
        <f t="shared" si="33"/>
        <v>0</v>
      </c>
    </row>
    <row r="810" spans="2:6" ht="15.75" thickBot="1" x14ac:dyDescent="0.3">
      <c r="B810" s="611" t="s">
        <v>289</v>
      </c>
      <c r="C810" s="612"/>
      <c r="D810" s="612"/>
      <c r="E810" s="613"/>
      <c r="F810" s="274">
        <f>SUM(F798:F809)</f>
        <v>2329</v>
      </c>
    </row>
    <row r="811" spans="2:6" x14ac:dyDescent="0.25">
      <c r="B811" s="594" t="s">
        <v>290</v>
      </c>
      <c r="C811" s="595"/>
      <c r="D811" s="595"/>
      <c r="E811" s="595"/>
      <c r="F811" s="596"/>
    </row>
    <row r="812" spans="2:6" x14ac:dyDescent="0.25">
      <c r="B812" s="272" t="str">
        <f>CUADRILLAS!A103</f>
        <v>Cargue Manual-Transporte-Botada</v>
      </c>
      <c r="C812" s="273" t="s">
        <v>117</v>
      </c>
      <c r="D812" s="275">
        <f>+D813</f>
        <v>0.153</v>
      </c>
      <c r="E812" s="276">
        <f>CUADRILLAS!B103</f>
        <v>58198</v>
      </c>
      <c r="F812" s="259">
        <f>D812*E812</f>
        <v>8904.2939999999999</v>
      </c>
    </row>
    <row r="813" spans="2:6" x14ac:dyDescent="0.25">
      <c r="B813" s="277" t="s">
        <v>892</v>
      </c>
      <c r="C813" s="278" t="s">
        <v>117</v>
      </c>
      <c r="D813" s="279">
        <v>0.153</v>
      </c>
      <c r="E813" s="280">
        <v>15000</v>
      </c>
      <c r="F813" s="259">
        <f>D813*E813</f>
        <v>2295</v>
      </c>
    </row>
    <row r="814" spans="2:6" x14ac:dyDescent="0.25">
      <c r="B814" s="277"/>
      <c r="C814" s="278"/>
      <c r="D814" s="279"/>
      <c r="E814" s="280"/>
      <c r="F814" s="259">
        <f>D814*E814</f>
        <v>0</v>
      </c>
    </row>
    <row r="815" spans="2:6" ht="15.75" thickBot="1" x14ac:dyDescent="0.3">
      <c r="B815" s="611" t="s">
        <v>291</v>
      </c>
      <c r="C815" s="612"/>
      <c r="D815" s="612"/>
      <c r="E815" s="613"/>
      <c r="F815" s="285">
        <f>SUM(F812:F814)</f>
        <v>11199.294</v>
      </c>
    </row>
    <row r="816" spans="2:6" ht="15.75" thickBot="1" x14ac:dyDescent="0.3">
      <c r="B816" s="600" t="s">
        <v>282</v>
      </c>
      <c r="C816" s="601"/>
      <c r="D816" s="601"/>
      <c r="E816" s="601"/>
      <c r="F816" s="286">
        <f>ROUND(F787+F793+F796+F810+F815,0)</f>
        <v>32644</v>
      </c>
    </row>
    <row r="817" spans="2:6" ht="15.75" thickBot="1" x14ac:dyDescent="0.3"/>
    <row r="818" spans="2:6" ht="15.75" thickBot="1" x14ac:dyDescent="0.3">
      <c r="B818" s="602" t="s">
        <v>276</v>
      </c>
      <c r="C818" s="603"/>
      <c r="D818" s="603"/>
      <c r="E818" s="603"/>
      <c r="F818" s="604"/>
    </row>
    <row r="819" spans="2:6" ht="15.75" thickBot="1" x14ac:dyDescent="0.3">
      <c r="B819" s="605" t="s">
        <v>104</v>
      </c>
      <c r="C819" s="606"/>
      <c r="D819" s="607"/>
      <c r="E819" s="282" t="s">
        <v>105</v>
      </c>
      <c r="F819" s="283" t="s">
        <v>103</v>
      </c>
    </row>
    <row r="820" spans="2:6" ht="62.45" customHeight="1" thickBot="1" x14ac:dyDescent="0.3">
      <c r="B820" s="608" t="str">
        <f>'PRESUPUESTO CALLE 58 SUR'!B25</f>
        <v>DEMOLICIÓN PAVIMENTO ASFÁLTICO, CUALQUIER ESPESOR. Incluye compresor neumático con martillo, además recuperación de los materiales aprovechables y/o su transporte hasta el sitio que lo indique la interventoría, y/o cargue transporte y botada, corte de pavimento con máquina.</v>
      </c>
      <c r="C820" s="609"/>
      <c r="D820" s="610"/>
      <c r="E820" s="248" t="str">
        <f>'PRESUPUESTO CALLE 58 SUR'!C25</f>
        <v>m2</v>
      </c>
      <c r="F820" s="448">
        <f>'PRESUPUESTO CALLE 58 SUR'!A25</f>
        <v>3.2</v>
      </c>
    </row>
    <row r="821" spans="2:6" ht="15.75" thickBot="1" x14ac:dyDescent="0.3">
      <c r="B821" s="250" t="s">
        <v>8</v>
      </c>
      <c r="C821" s="251" t="s">
        <v>9</v>
      </c>
      <c r="D821" s="252" t="s">
        <v>10</v>
      </c>
      <c r="E821" s="253" t="s">
        <v>283</v>
      </c>
      <c r="F821" s="254" t="s">
        <v>284</v>
      </c>
    </row>
    <row r="822" spans="2:6" x14ac:dyDescent="0.25">
      <c r="B822" s="594" t="s">
        <v>285</v>
      </c>
      <c r="C822" s="595"/>
      <c r="D822" s="595"/>
      <c r="E822" s="595"/>
      <c r="F822" s="596"/>
    </row>
    <row r="823" spans="2:6" x14ac:dyDescent="0.25">
      <c r="B823" s="255"/>
      <c r="C823" s="256"/>
      <c r="D823" s="257"/>
      <c r="E823" s="258"/>
      <c r="F823" s="259">
        <f t="shared" ref="F823:F834" si="34">D823*E823</f>
        <v>0</v>
      </c>
    </row>
    <row r="824" spans="2:6" x14ac:dyDescent="0.25">
      <c r="B824" s="260"/>
      <c r="C824" s="256"/>
      <c r="D824" s="257"/>
      <c r="E824" s="258"/>
      <c r="F824" s="259">
        <f t="shared" si="34"/>
        <v>0</v>
      </c>
    </row>
    <row r="825" spans="2:6" x14ac:dyDescent="0.25">
      <c r="B825" s="261"/>
      <c r="C825" s="256"/>
      <c r="D825" s="257"/>
      <c r="E825" s="258"/>
      <c r="F825" s="259">
        <f t="shared" si="34"/>
        <v>0</v>
      </c>
    </row>
    <row r="826" spans="2:6" x14ac:dyDescent="0.25">
      <c r="B826" s="261"/>
      <c r="C826" s="256"/>
      <c r="D826" s="257"/>
      <c r="E826" s="258"/>
      <c r="F826" s="259">
        <f t="shared" si="34"/>
        <v>0</v>
      </c>
    </row>
    <row r="827" spans="2:6" x14ac:dyDescent="0.25">
      <c r="B827" s="261"/>
      <c r="C827" s="256"/>
      <c r="D827" s="257"/>
      <c r="E827" s="258"/>
      <c r="F827" s="259">
        <f t="shared" si="34"/>
        <v>0</v>
      </c>
    </row>
    <row r="828" spans="2:6" x14ac:dyDescent="0.25">
      <c r="B828" s="261"/>
      <c r="C828" s="256"/>
      <c r="D828" s="257"/>
      <c r="E828" s="258"/>
      <c r="F828" s="259">
        <f t="shared" si="34"/>
        <v>0</v>
      </c>
    </row>
    <row r="829" spans="2:6" x14ac:dyDescent="0.25">
      <c r="B829" s="261"/>
      <c r="C829" s="256"/>
      <c r="D829" s="257"/>
      <c r="E829" s="258"/>
      <c r="F829" s="259">
        <f t="shared" si="34"/>
        <v>0</v>
      </c>
    </row>
    <row r="830" spans="2:6" x14ac:dyDescent="0.25">
      <c r="B830" s="261"/>
      <c r="C830" s="256"/>
      <c r="D830" s="257"/>
      <c r="E830" s="258"/>
      <c r="F830" s="259">
        <f t="shared" si="34"/>
        <v>0</v>
      </c>
    </row>
    <row r="831" spans="2:6" x14ac:dyDescent="0.25">
      <c r="B831" s="261"/>
      <c r="C831" s="256"/>
      <c r="D831" s="257"/>
      <c r="E831" s="258"/>
      <c r="F831" s="259">
        <f t="shared" si="34"/>
        <v>0</v>
      </c>
    </row>
    <row r="832" spans="2:6" x14ac:dyDescent="0.25">
      <c r="B832" s="261"/>
      <c r="C832" s="256"/>
      <c r="D832" s="257"/>
      <c r="E832" s="258"/>
      <c r="F832" s="259">
        <f t="shared" si="34"/>
        <v>0</v>
      </c>
    </row>
    <row r="833" spans="2:6" x14ac:dyDescent="0.25">
      <c r="B833" s="261"/>
      <c r="C833" s="256"/>
      <c r="D833" s="257"/>
      <c r="E833" s="258"/>
      <c r="F833" s="259">
        <f t="shared" si="34"/>
        <v>0</v>
      </c>
    </row>
    <row r="834" spans="2:6" x14ac:dyDescent="0.25">
      <c r="B834" s="262"/>
      <c r="C834" s="263"/>
      <c r="D834" s="264"/>
      <c r="E834" s="265"/>
      <c r="F834" s="259">
        <f t="shared" si="34"/>
        <v>0</v>
      </c>
    </row>
    <row r="835" spans="2:6" ht="15.75" thickBot="1" x14ac:dyDescent="0.3">
      <c r="B835" s="611" t="s">
        <v>286</v>
      </c>
      <c r="C835" s="612"/>
      <c r="D835" s="612"/>
      <c r="E835" s="613"/>
      <c r="F835" s="284">
        <f>SUM(F823:F834)</f>
        <v>0</v>
      </c>
    </row>
    <row r="836" spans="2:6" x14ac:dyDescent="0.25">
      <c r="B836" s="594" t="s">
        <v>277</v>
      </c>
      <c r="C836" s="595"/>
      <c r="D836" s="595"/>
      <c r="E836" s="595"/>
      <c r="F836" s="596"/>
    </row>
    <row r="837" spans="2:6" x14ac:dyDescent="0.25">
      <c r="B837" s="266" t="str">
        <f>B117</f>
        <v>Cuadrilla labores varias (1of + 2ay)</v>
      </c>
      <c r="C837" s="267" t="str">
        <f>C117</f>
        <v>día</v>
      </c>
      <c r="D837" s="268">
        <f>D117</f>
        <v>7.3591036460601889E-2</v>
      </c>
      <c r="E837" s="269">
        <f>E117</f>
        <v>278637</v>
      </c>
      <c r="F837" s="270">
        <f>D837*E837</f>
        <v>20505.185626272727</v>
      </c>
    </row>
    <row r="838" spans="2:6" x14ac:dyDescent="0.25">
      <c r="B838" s="266"/>
      <c r="C838" s="267"/>
      <c r="D838" s="268"/>
      <c r="E838" s="269"/>
      <c r="F838" s="270">
        <f>D838*E838</f>
        <v>0</v>
      </c>
    </row>
    <row r="839" spans="2:6" x14ac:dyDescent="0.25">
      <c r="B839" s="266"/>
      <c r="C839" s="267"/>
      <c r="D839" s="268"/>
      <c r="E839" s="271"/>
      <c r="F839" s="270">
        <f>D839*E839</f>
        <v>0</v>
      </c>
    </row>
    <row r="840" spans="2:6" x14ac:dyDescent="0.25">
      <c r="B840" s="272"/>
      <c r="C840" s="273"/>
      <c r="D840" s="268"/>
      <c r="E840" s="271"/>
      <c r="F840" s="270">
        <f>D840*E840</f>
        <v>0</v>
      </c>
    </row>
    <row r="841" spans="2:6" ht="15.75" thickBot="1" x14ac:dyDescent="0.3">
      <c r="B841" s="611" t="s">
        <v>287</v>
      </c>
      <c r="C841" s="612"/>
      <c r="D841" s="612"/>
      <c r="E841" s="613"/>
      <c r="F841" s="274">
        <f>SUM(F837:F840)</f>
        <v>20505.185626272727</v>
      </c>
    </row>
    <row r="842" spans="2:6" x14ac:dyDescent="0.25">
      <c r="B842" s="594" t="s">
        <v>278</v>
      </c>
      <c r="C842" s="595"/>
      <c r="D842" s="595"/>
      <c r="E842" s="595"/>
      <c r="F842" s="596"/>
    </row>
    <row r="843" spans="2:6" x14ac:dyDescent="0.25">
      <c r="B843" s="272" t="s">
        <v>279</v>
      </c>
      <c r="C843" s="273" t="s">
        <v>280</v>
      </c>
      <c r="D843" s="268">
        <v>0.05</v>
      </c>
      <c r="E843" s="271">
        <f>F841</f>
        <v>20505.185626272727</v>
      </c>
      <c r="F843" s="270">
        <f>D843*E843</f>
        <v>1025.2592813136364</v>
      </c>
    </row>
    <row r="844" spans="2:6" ht="15.75" thickBot="1" x14ac:dyDescent="0.3">
      <c r="B844" s="611" t="s">
        <v>288</v>
      </c>
      <c r="C844" s="612"/>
      <c r="D844" s="612"/>
      <c r="E844" s="613"/>
      <c r="F844" s="274">
        <f>SUM(F843)</f>
        <v>1025.2592813136364</v>
      </c>
    </row>
    <row r="845" spans="2:6" x14ac:dyDescent="0.25">
      <c r="B845" s="594" t="s">
        <v>281</v>
      </c>
      <c r="C845" s="595"/>
      <c r="D845" s="595"/>
      <c r="E845" s="595"/>
      <c r="F845" s="596"/>
    </row>
    <row r="846" spans="2:6" x14ac:dyDescent="0.25">
      <c r="B846" s="272" t="str">
        <f t="shared" ref="B846:E848" si="35">B126</f>
        <v>Compresor para demolición 1 martillo + transporte</v>
      </c>
      <c r="C846" s="273" t="str">
        <f t="shared" si="35"/>
        <v>hr</v>
      </c>
      <c r="D846" s="268">
        <f t="shared" si="35"/>
        <v>0.08</v>
      </c>
      <c r="E846" s="271">
        <f t="shared" si="35"/>
        <v>68500</v>
      </c>
      <c r="F846" s="259">
        <f t="shared" ref="F846:F857" si="36">D846*E846</f>
        <v>5480</v>
      </c>
    </row>
    <row r="847" spans="2:6" x14ac:dyDescent="0.25">
      <c r="B847" s="272" t="str">
        <f t="shared" si="35"/>
        <v>Retroexcavadora sobre llantas New Holland LB75</v>
      </c>
      <c r="C847" s="273" t="str">
        <f t="shared" si="35"/>
        <v>hr</v>
      </c>
      <c r="D847" s="268">
        <f t="shared" si="35"/>
        <v>0.08</v>
      </c>
      <c r="E847" s="271">
        <f t="shared" si="35"/>
        <v>95000</v>
      </c>
      <c r="F847" s="259">
        <f t="shared" si="36"/>
        <v>7600</v>
      </c>
    </row>
    <row r="848" spans="2:6" x14ac:dyDescent="0.25">
      <c r="B848" s="272" t="str">
        <f t="shared" si="35"/>
        <v>Cortadora DE Pavimento de disco + operario</v>
      </c>
      <c r="C848" s="273" t="str">
        <f t="shared" si="35"/>
        <v>m3</v>
      </c>
      <c r="D848" s="268">
        <f t="shared" si="35"/>
        <v>0.5</v>
      </c>
      <c r="E848" s="271">
        <f t="shared" si="35"/>
        <v>13566</v>
      </c>
      <c r="F848" s="259">
        <v>0</v>
      </c>
    </row>
    <row r="849" spans="2:6" x14ac:dyDescent="0.25">
      <c r="B849" s="272"/>
      <c r="C849" s="273"/>
      <c r="D849" s="268"/>
      <c r="E849" s="271"/>
      <c r="F849" s="259">
        <f t="shared" si="36"/>
        <v>0</v>
      </c>
    </row>
    <row r="850" spans="2:6" x14ac:dyDescent="0.25">
      <c r="B850" s="272"/>
      <c r="C850" s="273"/>
      <c r="D850" s="268"/>
      <c r="E850" s="271"/>
      <c r="F850" s="259">
        <f t="shared" si="36"/>
        <v>0</v>
      </c>
    </row>
    <row r="851" spans="2:6" x14ac:dyDescent="0.25">
      <c r="B851" s="272"/>
      <c r="C851" s="273"/>
      <c r="D851" s="268"/>
      <c r="E851" s="271"/>
      <c r="F851" s="259">
        <f t="shared" si="36"/>
        <v>0</v>
      </c>
    </row>
    <row r="852" spans="2:6" x14ac:dyDescent="0.25">
      <c r="B852" s="272"/>
      <c r="C852" s="273"/>
      <c r="D852" s="268"/>
      <c r="E852" s="271"/>
      <c r="F852" s="259">
        <f t="shared" si="36"/>
        <v>0</v>
      </c>
    </row>
    <row r="853" spans="2:6" x14ac:dyDescent="0.25">
      <c r="B853" s="272"/>
      <c r="C853" s="273"/>
      <c r="D853" s="268"/>
      <c r="E853" s="271"/>
      <c r="F853" s="259">
        <f t="shared" si="36"/>
        <v>0</v>
      </c>
    </row>
    <row r="854" spans="2:6" x14ac:dyDescent="0.25">
      <c r="B854" s="272"/>
      <c r="C854" s="273"/>
      <c r="D854" s="268"/>
      <c r="E854" s="271"/>
      <c r="F854" s="259">
        <f t="shared" si="36"/>
        <v>0</v>
      </c>
    </row>
    <row r="855" spans="2:6" x14ac:dyDescent="0.25">
      <c r="B855" s="272"/>
      <c r="C855" s="273"/>
      <c r="D855" s="268"/>
      <c r="E855" s="271"/>
      <c r="F855" s="259">
        <f t="shared" si="36"/>
        <v>0</v>
      </c>
    </row>
    <row r="856" spans="2:6" x14ac:dyDescent="0.25">
      <c r="B856" s="272"/>
      <c r="C856" s="273"/>
      <c r="D856" s="268"/>
      <c r="E856" s="271"/>
      <c r="F856" s="259">
        <f t="shared" si="36"/>
        <v>0</v>
      </c>
    </row>
    <row r="857" spans="2:6" x14ac:dyDescent="0.25">
      <c r="B857" s="272"/>
      <c r="C857" s="273"/>
      <c r="D857" s="268"/>
      <c r="E857" s="271"/>
      <c r="F857" s="259">
        <f t="shared" si="36"/>
        <v>0</v>
      </c>
    </row>
    <row r="858" spans="2:6" ht="15.75" thickBot="1" x14ac:dyDescent="0.3">
      <c r="B858" s="611" t="s">
        <v>289</v>
      </c>
      <c r="C858" s="612"/>
      <c r="D858" s="612"/>
      <c r="E858" s="613"/>
      <c r="F858" s="274">
        <f>SUM(F846:F857)</f>
        <v>13080</v>
      </c>
    </row>
    <row r="859" spans="2:6" x14ac:dyDescent="0.25">
      <c r="B859" s="594" t="s">
        <v>290</v>
      </c>
      <c r="C859" s="595"/>
      <c r="D859" s="595"/>
      <c r="E859" s="595"/>
      <c r="F859" s="596"/>
    </row>
    <row r="860" spans="2:6" x14ac:dyDescent="0.25">
      <c r="B860" s="272" t="str">
        <f t="shared" ref="B860:E861" si="37">B140</f>
        <v>Cargue Manual-Transporte-Botada</v>
      </c>
      <c r="C860" s="273" t="str">
        <f t="shared" si="37"/>
        <v>m3</v>
      </c>
      <c r="D860" s="275">
        <f t="shared" si="37"/>
        <v>0.14000000000000001</v>
      </c>
      <c r="E860" s="276">
        <f t="shared" si="37"/>
        <v>58198</v>
      </c>
      <c r="F860" s="259">
        <f>D860*E860</f>
        <v>8147.7200000000012</v>
      </c>
    </row>
    <row r="861" spans="2:6" x14ac:dyDescent="0.25">
      <c r="B861" s="277" t="str">
        <f t="shared" si="37"/>
        <v>Transporte Interno</v>
      </c>
      <c r="C861" s="278" t="str">
        <f t="shared" si="37"/>
        <v>m3</v>
      </c>
      <c r="D861" s="279">
        <f t="shared" si="37"/>
        <v>0.14000000000000001</v>
      </c>
      <c r="E861" s="280">
        <f t="shared" si="37"/>
        <v>15000</v>
      </c>
      <c r="F861" s="259">
        <f>D861*E861</f>
        <v>2100</v>
      </c>
    </row>
    <row r="862" spans="2:6" x14ac:dyDescent="0.25">
      <c r="B862" s="277"/>
      <c r="C862" s="278"/>
      <c r="D862" s="279"/>
      <c r="E862" s="280"/>
      <c r="F862" s="259">
        <f>D862*E862</f>
        <v>0</v>
      </c>
    </row>
    <row r="863" spans="2:6" ht="15.75" thickBot="1" x14ac:dyDescent="0.3">
      <c r="B863" s="611" t="s">
        <v>291</v>
      </c>
      <c r="C863" s="612"/>
      <c r="D863" s="612"/>
      <c r="E863" s="613"/>
      <c r="F863" s="285">
        <f>SUM(F860:F862)</f>
        <v>10247.720000000001</v>
      </c>
    </row>
    <row r="864" spans="2:6" ht="15.75" thickBot="1" x14ac:dyDescent="0.3">
      <c r="B864" s="600" t="s">
        <v>282</v>
      </c>
      <c r="C864" s="601"/>
      <c r="D864" s="601"/>
      <c r="E864" s="601"/>
      <c r="F864" s="286">
        <f>ROUND(F835+F841+F844+F858+F863,0)</f>
        <v>44858</v>
      </c>
    </row>
    <row r="865" spans="2:6" ht="15.75" thickBot="1" x14ac:dyDescent="0.3"/>
    <row r="866" spans="2:6" ht="15.75" thickBot="1" x14ac:dyDescent="0.3">
      <c r="B866" s="602" t="s">
        <v>276</v>
      </c>
      <c r="C866" s="603"/>
      <c r="D866" s="603"/>
      <c r="E866" s="603"/>
      <c r="F866" s="604"/>
    </row>
    <row r="867" spans="2:6" ht="15.75" thickBot="1" x14ac:dyDescent="0.3">
      <c r="B867" s="605" t="s">
        <v>104</v>
      </c>
      <c r="C867" s="606"/>
      <c r="D867" s="607"/>
      <c r="E867" s="282" t="s">
        <v>105</v>
      </c>
      <c r="F867" s="283" t="s">
        <v>103</v>
      </c>
    </row>
    <row r="868" spans="2:6" ht="80.45" customHeight="1" thickBot="1" x14ac:dyDescent="0.3">
      <c r="B868" s="608" t="str">
        <f>'PRESUPUESTO CALLE 58 SUR'!B26</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C868" s="609"/>
      <c r="D868" s="610"/>
      <c r="E868" s="248" t="str">
        <f>'PRESUPUESTO CALLE 58 SUR'!C26</f>
        <v>m3</v>
      </c>
      <c r="F868" s="448">
        <f>'PRESUPUESTO CALLE 58 SUR'!A26</f>
        <v>3.3</v>
      </c>
    </row>
    <row r="869" spans="2:6" ht="15.75" thickBot="1" x14ac:dyDescent="0.3">
      <c r="B869" s="250" t="s">
        <v>8</v>
      </c>
      <c r="C869" s="251" t="s">
        <v>9</v>
      </c>
      <c r="D869" s="252" t="s">
        <v>10</v>
      </c>
      <c r="E869" s="253" t="s">
        <v>283</v>
      </c>
      <c r="F869" s="254" t="s">
        <v>284</v>
      </c>
    </row>
    <row r="870" spans="2:6" x14ac:dyDescent="0.25">
      <c r="B870" s="594" t="s">
        <v>285</v>
      </c>
      <c r="C870" s="595"/>
      <c r="D870" s="595"/>
      <c r="E870" s="595"/>
      <c r="F870" s="596"/>
    </row>
    <row r="871" spans="2:6" x14ac:dyDescent="0.25">
      <c r="B871" s="255"/>
      <c r="C871" s="256"/>
      <c r="D871" s="257"/>
      <c r="E871" s="258"/>
      <c r="F871" s="259">
        <f t="shared" ref="F871:F882" si="38">D871*E871</f>
        <v>0</v>
      </c>
    </row>
    <row r="872" spans="2:6" x14ac:dyDescent="0.25">
      <c r="B872" s="260"/>
      <c r="C872" s="256"/>
      <c r="D872" s="257"/>
      <c r="E872" s="258"/>
      <c r="F872" s="259">
        <f t="shared" si="38"/>
        <v>0</v>
      </c>
    </row>
    <row r="873" spans="2:6" x14ac:dyDescent="0.25">
      <c r="B873" s="261"/>
      <c r="C873" s="256"/>
      <c r="D873" s="257"/>
      <c r="E873" s="258"/>
      <c r="F873" s="259">
        <f t="shared" si="38"/>
        <v>0</v>
      </c>
    </row>
    <row r="874" spans="2:6" x14ac:dyDescent="0.25">
      <c r="B874" s="261"/>
      <c r="C874" s="256"/>
      <c r="D874" s="257"/>
      <c r="E874" s="258"/>
      <c r="F874" s="259">
        <f t="shared" si="38"/>
        <v>0</v>
      </c>
    </row>
    <row r="875" spans="2:6" x14ac:dyDescent="0.25">
      <c r="B875" s="261"/>
      <c r="C875" s="256"/>
      <c r="D875" s="257"/>
      <c r="E875" s="258"/>
      <c r="F875" s="259">
        <f t="shared" si="38"/>
        <v>0</v>
      </c>
    </row>
    <row r="876" spans="2:6" x14ac:dyDescent="0.25">
      <c r="B876" s="261"/>
      <c r="C876" s="256"/>
      <c r="D876" s="257"/>
      <c r="E876" s="258"/>
      <c r="F876" s="259">
        <f t="shared" si="38"/>
        <v>0</v>
      </c>
    </row>
    <row r="877" spans="2:6" x14ac:dyDescent="0.25">
      <c r="B877" s="261"/>
      <c r="C877" s="256"/>
      <c r="D877" s="257"/>
      <c r="E877" s="258"/>
      <c r="F877" s="259">
        <f t="shared" si="38"/>
        <v>0</v>
      </c>
    </row>
    <row r="878" spans="2:6" x14ac:dyDescent="0.25">
      <c r="B878" s="261"/>
      <c r="C878" s="256"/>
      <c r="D878" s="257"/>
      <c r="E878" s="258"/>
      <c r="F878" s="259">
        <f t="shared" si="38"/>
        <v>0</v>
      </c>
    </row>
    <row r="879" spans="2:6" x14ac:dyDescent="0.25">
      <c r="B879" s="261"/>
      <c r="C879" s="256"/>
      <c r="D879" s="257"/>
      <c r="E879" s="258"/>
      <c r="F879" s="259">
        <f t="shared" si="38"/>
        <v>0</v>
      </c>
    </row>
    <row r="880" spans="2:6" x14ac:dyDescent="0.25">
      <c r="B880" s="261"/>
      <c r="C880" s="256"/>
      <c r="D880" s="257"/>
      <c r="E880" s="258"/>
      <c r="F880" s="259">
        <f t="shared" si="38"/>
        <v>0</v>
      </c>
    </row>
    <row r="881" spans="2:6" x14ac:dyDescent="0.25">
      <c r="B881" s="261"/>
      <c r="C881" s="256"/>
      <c r="D881" s="257"/>
      <c r="E881" s="258"/>
      <c r="F881" s="259">
        <f t="shared" si="38"/>
        <v>0</v>
      </c>
    </row>
    <row r="882" spans="2:6" x14ac:dyDescent="0.25">
      <c r="B882" s="262"/>
      <c r="C882" s="263"/>
      <c r="D882" s="264"/>
      <c r="E882" s="265"/>
      <c r="F882" s="259">
        <f t="shared" si="38"/>
        <v>0</v>
      </c>
    </row>
    <row r="883" spans="2:6" ht="15.75" thickBot="1" x14ac:dyDescent="0.3">
      <c r="B883" s="611" t="s">
        <v>286</v>
      </c>
      <c r="C883" s="612"/>
      <c r="D883" s="612"/>
      <c r="E883" s="613"/>
      <c r="F883" s="284">
        <f>SUM(F871:F882)</f>
        <v>0</v>
      </c>
    </row>
    <row r="884" spans="2:6" x14ac:dyDescent="0.25">
      <c r="B884" s="594" t="s">
        <v>277</v>
      </c>
      <c r="C884" s="595"/>
      <c r="D884" s="595"/>
      <c r="E884" s="595"/>
      <c r="F884" s="596"/>
    </row>
    <row r="885" spans="2:6" x14ac:dyDescent="0.25">
      <c r="B885" s="266" t="str">
        <f>CUADRILLAS!A87</f>
        <v>Cuadrilla labores varias (1of + 2ay)</v>
      </c>
      <c r="C885" s="267" t="s">
        <v>110</v>
      </c>
      <c r="D885" s="268">
        <v>0.3</v>
      </c>
      <c r="E885" s="269">
        <f>CUADRILLAS!B87</f>
        <v>278637</v>
      </c>
      <c r="F885" s="270">
        <f>D885*E885</f>
        <v>83591.099999999991</v>
      </c>
    </row>
    <row r="886" spans="2:6" x14ac:dyDescent="0.25">
      <c r="B886" s="266"/>
      <c r="C886" s="267"/>
      <c r="D886" s="268"/>
      <c r="E886" s="269"/>
      <c r="F886" s="270">
        <f>D886*E886</f>
        <v>0</v>
      </c>
    </row>
    <row r="887" spans="2:6" x14ac:dyDescent="0.25">
      <c r="B887" s="266"/>
      <c r="C887" s="267"/>
      <c r="D887" s="268"/>
      <c r="E887" s="271"/>
      <c r="F887" s="270">
        <f>D887*E887</f>
        <v>0</v>
      </c>
    </row>
    <row r="888" spans="2:6" x14ac:dyDescent="0.25">
      <c r="B888" s="272"/>
      <c r="C888" s="273"/>
      <c r="D888" s="268"/>
      <c r="E888" s="271"/>
      <c r="F888" s="270">
        <f>D888*E888</f>
        <v>0</v>
      </c>
    </row>
    <row r="889" spans="2:6" ht="15.75" thickBot="1" x14ac:dyDescent="0.3">
      <c r="B889" s="611" t="s">
        <v>287</v>
      </c>
      <c r="C889" s="612"/>
      <c r="D889" s="612"/>
      <c r="E889" s="613"/>
      <c r="F889" s="274">
        <f>SUM(F885:F888)</f>
        <v>83591.099999999991</v>
      </c>
    </row>
    <row r="890" spans="2:6" x14ac:dyDescent="0.25">
      <c r="B890" s="594" t="s">
        <v>278</v>
      </c>
      <c r="C890" s="595"/>
      <c r="D890" s="595"/>
      <c r="E890" s="595"/>
      <c r="F890" s="596"/>
    </row>
    <row r="891" spans="2:6" x14ac:dyDescent="0.25">
      <c r="B891" s="272" t="s">
        <v>279</v>
      </c>
      <c r="C891" s="273" t="s">
        <v>280</v>
      </c>
      <c r="D891" s="268">
        <v>0.05</v>
      </c>
      <c r="E891" s="271">
        <f>F889</f>
        <v>83591.099999999991</v>
      </c>
      <c r="F891" s="270">
        <f>D891*E891</f>
        <v>4179.5549999999994</v>
      </c>
    </row>
    <row r="892" spans="2:6" ht="15.75" thickBot="1" x14ac:dyDescent="0.3">
      <c r="B892" s="611" t="s">
        <v>288</v>
      </c>
      <c r="C892" s="612"/>
      <c r="D892" s="612"/>
      <c r="E892" s="613"/>
      <c r="F892" s="274">
        <f>SUM(F891)</f>
        <v>4179.5549999999994</v>
      </c>
    </row>
    <row r="893" spans="2:6" x14ac:dyDescent="0.25">
      <c r="B893" s="594" t="s">
        <v>281</v>
      </c>
      <c r="C893" s="595"/>
      <c r="D893" s="595"/>
      <c r="E893" s="595"/>
      <c r="F893" s="596"/>
    </row>
    <row r="894" spans="2:6" x14ac:dyDescent="0.25">
      <c r="B894" s="272" t="str">
        <f t="shared" ref="B894:E896" si="39">B846</f>
        <v>Compresor para demolición 1 martillo + transporte</v>
      </c>
      <c r="C894" s="273" t="str">
        <f t="shared" si="39"/>
        <v>hr</v>
      </c>
      <c r="D894" s="268">
        <v>0.3</v>
      </c>
      <c r="E894" s="271">
        <f t="shared" si="39"/>
        <v>68500</v>
      </c>
      <c r="F894" s="259">
        <f t="shared" ref="F894:F905" si="40">D894*E894</f>
        <v>20550</v>
      </c>
    </row>
    <row r="895" spans="2:6" x14ac:dyDescent="0.25">
      <c r="B895" s="272" t="str">
        <f t="shared" si="39"/>
        <v>Retroexcavadora sobre llantas New Holland LB75</v>
      </c>
      <c r="C895" s="273" t="str">
        <f t="shared" si="39"/>
        <v>hr</v>
      </c>
      <c r="D895" s="268">
        <v>0.1</v>
      </c>
      <c r="E895" s="271">
        <f t="shared" si="39"/>
        <v>95000</v>
      </c>
      <c r="F895" s="259">
        <f t="shared" si="40"/>
        <v>9500</v>
      </c>
    </row>
    <row r="896" spans="2:6" x14ac:dyDescent="0.25">
      <c r="B896" s="272" t="str">
        <f>INSUMOS!B224</f>
        <v>Pulidora manual eléctrica  9" + disco</v>
      </c>
      <c r="C896" s="273" t="str">
        <f t="shared" si="39"/>
        <v>m3</v>
      </c>
      <c r="D896" s="268">
        <v>0.3</v>
      </c>
      <c r="E896" s="271">
        <f>INSUMOS!D224</f>
        <v>35000</v>
      </c>
      <c r="F896" s="259">
        <f t="shared" si="40"/>
        <v>10500</v>
      </c>
    </row>
    <row r="897" spans="2:6" x14ac:dyDescent="0.25">
      <c r="B897" s="272"/>
      <c r="C897" s="273"/>
      <c r="D897" s="268"/>
      <c r="E897" s="271"/>
      <c r="F897" s="259">
        <f t="shared" si="40"/>
        <v>0</v>
      </c>
    </row>
    <row r="898" spans="2:6" x14ac:dyDescent="0.25">
      <c r="B898" s="272"/>
      <c r="C898" s="273"/>
      <c r="D898" s="268"/>
      <c r="E898" s="271"/>
      <c r="F898" s="259">
        <f t="shared" si="40"/>
        <v>0</v>
      </c>
    </row>
    <row r="899" spans="2:6" x14ac:dyDescent="0.25">
      <c r="B899" s="272"/>
      <c r="C899" s="273"/>
      <c r="D899" s="268"/>
      <c r="E899" s="271"/>
      <c r="F899" s="259">
        <f t="shared" si="40"/>
        <v>0</v>
      </c>
    </row>
    <row r="900" spans="2:6" x14ac:dyDescent="0.25">
      <c r="B900" s="272"/>
      <c r="C900" s="273"/>
      <c r="D900" s="268"/>
      <c r="E900" s="271"/>
      <c r="F900" s="259">
        <f t="shared" si="40"/>
        <v>0</v>
      </c>
    </row>
    <row r="901" spans="2:6" x14ac:dyDescent="0.25">
      <c r="B901" s="272"/>
      <c r="C901" s="273"/>
      <c r="D901" s="268"/>
      <c r="E901" s="271"/>
      <c r="F901" s="259">
        <f t="shared" si="40"/>
        <v>0</v>
      </c>
    </row>
    <row r="902" spans="2:6" x14ac:dyDescent="0.25">
      <c r="B902" s="272"/>
      <c r="C902" s="273"/>
      <c r="D902" s="268"/>
      <c r="E902" s="271"/>
      <c r="F902" s="259">
        <f t="shared" si="40"/>
        <v>0</v>
      </c>
    </row>
    <row r="903" spans="2:6" x14ac:dyDescent="0.25">
      <c r="B903" s="272"/>
      <c r="C903" s="273"/>
      <c r="D903" s="268"/>
      <c r="E903" s="271"/>
      <c r="F903" s="259">
        <f t="shared" si="40"/>
        <v>0</v>
      </c>
    </row>
    <row r="904" spans="2:6" x14ac:dyDescent="0.25">
      <c r="B904" s="272"/>
      <c r="C904" s="273"/>
      <c r="D904" s="268"/>
      <c r="E904" s="271"/>
      <c r="F904" s="259">
        <f t="shared" si="40"/>
        <v>0</v>
      </c>
    </row>
    <row r="905" spans="2:6" x14ac:dyDescent="0.25">
      <c r="B905" s="272"/>
      <c r="C905" s="273"/>
      <c r="D905" s="268"/>
      <c r="E905" s="271"/>
      <c r="F905" s="259">
        <f t="shared" si="40"/>
        <v>0</v>
      </c>
    </row>
    <row r="906" spans="2:6" ht="15.75" thickBot="1" x14ac:dyDescent="0.3">
      <c r="B906" s="611" t="s">
        <v>289</v>
      </c>
      <c r="C906" s="612"/>
      <c r="D906" s="612"/>
      <c r="E906" s="613"/>
      <c r="F906" s="274">
        <f>SUM(F894:F905)</f>
        <v>40550</v>
      </c>
    </row>
    <row r="907" spans="2:6" x14ac:dyDescent="0.25">
      <c r="B907" s="594" t="s">
        <v>290</v>
      </c>
      <c r="C907" s="595"/>
      <c r="D907" s="595"/>
      <c r="E907" s="595"/>
      <c r="F907" s="596"/>
    </row>
    <row r="908" spans="2:6" x14ac:dyDescent="0.25">
      <c r="B908" s="272" t="s">
        <v>953</v>
      </c>
      <c r="C908" s="273" t="s">
        <v>117</v>
      </c>
      <c r="D908" s="275">
        <v>1.4</v>
      </c>
      <c r="E908" s="276">
        <v>130000</v>
      </c>
      <c r="F908" s="259">
        <f>D908*E908</f>
        <v>182000</v>
      </c>
    </row>
    <row r="909" spans="2:6" x14ac:dyDescent="0.25">
      <c r="B909" s="277" t="s">
        <v>883</v>
      </c>
      <c r="C909" s="278" t="s">
        <v>117</v>
      </c>
      <c r="D909" s="279">
        <v>1.4</v>
      </c>
      <c r="E909" s="280">
        <v>15000</v>
      </c>
      <c r="F909" s="259">
        <f>D909*E909</f>
        <v>21000</v>
      </c>
    </row>
    <row r="910" spans="2:6" x14ac:dyDescent="0.25">
      <c r="B910" s="277"/>
      <c r="C910" s="278"/>
      <c r="D910" s="279"/>
      <c r="E910" s="280"/>
      <c r="F910" s="259">
        <f>D910*E910</f>
        <v>0</v>
      </c>
    </row>
    <row r="911" spans="2:6" ht="15.75" thickBot="1" x14ac:dyDescent="0.3">
      <c r="B911" s="611" t="s">
        <v>291</v>
      </c>
      <c r="C911" s="612"/>
      <c r="D911" s="612"/>
      <c r="E911" s="613"/>
      <c r="F911" s="285">
        <f>SUM(F908:F910)</f>
        <v>203000</v>
      </c>
    </row>
    <row r="912" spans="2:6" ht="15.75" thickBot="1" x14ac:dyDescent="0.3">
      <c r="B912" s="600" t="s">
        <v>282</v>
      </c>
      <c r="C912" s="601"/>
      <c r="D912" s="601"/>
      <c r="E912" s="601"/>
      <c r="F912" s="499">
        <f>ROUND(F883+F889+F892+F906+F911,0)</f>
        <v>331321</v>
      </c>
    </row>
    <row r="913" spans="2:6" ht="15.75" thickBot="1" x14ac:dyDescent="0.3"/>
    <row r="914" spans="2:6" ht="15.75" thickBot="1" x14ac:dyDescent="0.3">
      <c r="B914" s="602" t="s">
        <v>276</v>
      </c>
      <c r="C914" s="603"/>
      <c r="D914" s="603"/>
      <c r="E914" s="603"/>
      <c r="F914" s="604"/>
    </row>
    <row r="915" spans="2:6" ht="15.75" thickBot="1" x14ac:dyDescent="0.3">
      <c r="B915" s="605" t="s">
        <v>104</v>
      </c>
      <c r="C915" s="606"/>
      <c r="D915" s="607"/>
      <c r="E915" s="282" t="s">
        <v>105</v>
      </c>
      <c r="F915" s="283" t="s">
        <v>103</v>
      </c>
    </row>
    <row r="916" spans="2:6" ht="84.6" customHeight="1" thickBot="1" x14ac:dyDescent="0.3">
      <c r="B916" s="608" t="str">
        <f>'PRESUPUESTO CALLE 58 SUR'!B28</f>
        <v>EXCAVACIÓN MECÁNICA DE ROCA en Brechas con CUÑA HIDRÁULICA. Incluye perforaciones con taladro neumático rotopercutor de 2" de diámetro, desembombe, extracción del material de la brecha y acarreo interno y acopio donde lo indique la interventoría y todos los demás elementos necesarios para su correcta ejecución. SU MEDIDA SERA EN SITIO. NO INCLUYE BOTADA.</v>
      </c>
      <c r="C916" s="609"/>
      <c r="D916" s="610"/>
      <c r="E916" s="248" t="str">
        <f>'PRESUPUESTO CALLE 58 SUR'!C28</f>
        <v>m3</v>
      </c>
      <c r="F916" s="448">
        <f>'PRESUPUESTO CALLE 58 SUR'!A28</f>
        <v>4.0999999999999996</v>
      </c>
    </row>
    <row r="917" spans="2:6" ht="15.75" thickBot="1" x14ac:dyDescent="0.3">
      <c r="B917" s="250" t="s">
        <v>8</v>
      </c>
      <c r="C917" s="251" t="s">
        <v>9</v>
      </c>
      <c r="D917" s="252" t="s">
        <v>10</v>
      </c>
      <c r="E917" s="253" t="s">
        <v>283</v>
      </c>
      <c r="F917" s="254" t="s">
        <v>284</v>
      </c>
    </row>
    <row r="918" spans="2:6" x14ac:dyDescent="0.25">
      <c r="B918" s="594" t="s">
        <v>285</v>
      </c>
      <c r="C918" s="595"/>
      <c r="D918" s="595"/>
      <c r="E918" s="595"/>
      <c r="F918" s="596"/>
    </row>
    <row r="919" spans="2:6" x14ac:dyDescent="0.25">
      <c r="B919" s="255"/>
      <c r="C919" s="256"/>
      <c r="D919" s="257"/>
      <c r="E919" s="258"/>
      <c r="F919" s="259">
        <f t="shared" ref="F919:F930" si="41">D919*E919</f>
        <v>0</v>
      </c>
    </row>
    <row r="920" spans="2:6" x14ac:dyDescent="0.25">
      <c r="B920" s="260"/>
      <c r="C920" s="256"/>
      <c r="D920" s="257"/>
      <c r="E920" s="258"/>
      <c r="F920" s="259">
        <f t="shared" si="41"/>
        <v>0</v>
      </c>
    </row>
    <row r="921" spans="2:6" x14ac:dyDescent="0.25">
      <c r="B921" s="261"/>
      <c r="C921" s="256"/>
      <c r="D921" s="257"/>
      <c r="E921" s="258"/>
      <c r="F921" s="259">
        <f t="shared" si="41"/>
        <v>0</v>
      </c>
    </row>
    <row r="922" spans="2:6" x14ac:dyDescent="0.25">
      <c r="B922" s="261"/>
      <c r="C922" s="256"/>
      <c r="D922" s="257"/>
      <c r="E922" s="258"/>
      <c r="F922" s="259">
        <f t="shared" si="41"/>
        <v>0</v>
      </c>
    </row>
    <row r="923" spans="2:6" x14ac:dyDescent="0.25">
      <c r="B923" s="261"/>
      <c r="C923" s="256"/>
      <c r="D923" s="257"/>
      <c r="E923" s="258"/>
      <c r="F923" s="259">
        <f t="shared" si="41"/>
        <v>0</v>
      </c>
    </row>
    <row r="924" spans="2:6" x14ac:dyDescent="0.25">
      <c r="B924" s="261"/>
      <c r="C924" s="256"/>
      <c r="D924" s="257"/>
      <c r="E924" s="258"/>
      <c r="F924" s="259">
        <f t="shared" si="41"/>
        <v>0</v>
      </c>
    </row>
    <row r="925" spans="2:6" x14ac:dyDescent="0.25">
      <c r="B925" s="261"/>
      <c r="C925" s="256"/>
      <c r="D925" s="257"/>
      <c r="E925" s="258"/>
      <c r="F925" s="259">
        <f t="shared" si="41"/>
        <v>0</v>
      </c>
    </row>
    <row r="926" spans="2:6" x14ac:dyDescent="0.25">
      <c r="B926" s="261"/>
      <c r="C926" s="256"/>
      <c r="D926" s="257"/>
      <c r="E926" s="258"/>
      <c r="F926" s="259">
        <f t="shared" si="41"/>
        <v>0</v>
      </c>
    </row>
    <row r="927" spans="2:6" x14ac:dyDescent="0.25">
      <c r="B927" s="261"/>
      <c r="C927" s="256"/>
      <c r="D927" s="257"/>
      <c r="E927" s="258"/>
      <c r="F927" s="259">
        <f t="shared" si="41"/>
        <v>0</v>
      </c>
    </row>
    <row r="928" spans="2:6" x14ac:dyDescent="0.25">
      <c r="B928" s="261"/>
      <c r="C928" s="256"/>
      <c r="D928" s="257"/>
      <c r="E928" s="258"/>
      <c r="F928" s="259">
        <f t="shared" si="41"/>
        <v>0</v>
      </c>
    </row>
    <row r="929" spans="2:6" x14ac:dyDescent="0.25">
      <c r="B929" s="261"/>
      <c r="C929" s="256"/>
      <c r="D929" s="257"/>
      <c r="E929" s="258"/>
      <c r="F929" s="259">
        <f t="shared" si="41"/>
        <v>0</v>
      </c>
    </row>
    <row r="930" spans="2:6" x14ac:dyDescent="0.25">
      <c r="B930" s="262"/>
      <c r="C930" s="263"/>
      <c r="D930" s="264"/>
      <c r="E930" s="265"/>
      <c r="F930" s="259">
        <f t="shared" si="41"/>
        <v>0</v>
      </c>
    </row>
    <row r="931" spans="2:6" ht="15.75" thickBot="1" x14ac:dyDescent="0.3">
      <c r="B931" s="611" t="s">
        <v>286</v>
      </c>
      <c r="C931" s="612"/>
      <c r="D931" s="612"/>
      <c r="E931" s="613"/>
      <c r="F931" s="284">
        <f>SUM(F919:F930)</f>
        <v>0</v>
      </c>
    </row>
    <row r="932" spans="2:6" x14ac:dyDescent="0.25">
      <c r="B932" s="594" t="s">
        <v>277</v>
      </c>
      <c r="C932" s="595"/>
      <c r="D932" s="595"/>
      <c r="E932" s="595"/>
      <c r="F932" s="596"/>
    </row>
    <row r="933" spans="2:6" x14ac:dyDescent="0.25">
      <c r="B933" s="266" t="str">
        <f>CUADRILLAS!A80</f>
        <v>1Ay Raso</v>
      </c>
      <c r="C933" s="267" t="s">
        <v>110</v>
      </c>
      <c r="D933" s="268">
        <v>1.5</v>
      </c>
      <c r="E933" s="269">
        <f>CUADRILLAS!B80</f>
        <v>70786</v>
      </c>
      <c r="F933" s="270">
        <f>D933*E933</f>
        <v>106179</v>
      </c>
    </row>
    <row r="934" spans="2:6" x14ac:dyDescent="0.25">
      <c r="B934" s="266"/>
      <c r="C934" s="267"/>
      <c r="D934" s="268"/>
      <c r="E934" s="269"/>
      <c r="F934" s="270">
        <f>D934*E934</f>
        <v>0</v>
      </c>
    </row>
    <row r="935" spans="2:6" x14ac:dyDescent="0.25">
      <c r="B935" s="266"/>
      <c r="C935" s="267"/>
      <c r="D935" s="268"/>
      <c r="E935" s="271"/>
      <c r="F935" s="270">
        <f>D935*E935</f>
        <v>0</v>
      </c>
    </row>
    <row r="936" spans="2:6" x14ac:dyDescent="0.25">
      <c r="B936" s="272"/>
      <c r="C936" s="273"/>
      <c r="D936" s="268"/>
      <c r="E936" s="271"/>
      <c r="F936" s="270">
        <f>D936*E936</f>
        <v>0</v>
      </c>
    </row>
    <row r="937" spans="2:6" ht="15.75" thickBot="1" x14ac:dyDescent="0.3">
      <c r="B937" s="611" t="s">
        <v>287</v>
      </c>
      <c r="C937" s="612"/>
      <c r="D937" s="612"/>
      <c r="E937" s="613"/>
      <c r="F937" s="274">
        <f>SUM(F933:F936)</f>
        <v>106179</v>
      </c>
    </row>
    <row r="938" spans="2:6" x14ac:dyDescent="0.25">
      <c r="B938" s="594" t="s">
        <v>278</v>
      </c>
      <c r="C938" s="595"/>
      <c r="D938" s="595"/>
      <c r="E938" s="595"/>
      <c r="F938" s="596"/>
    </row>
    <row r="939" spans="2:6" x14ac:dyDescent="0.25">
      <c r="B939" s="272" t="s">
        <v>279</v>
      </c>
      <c r="C939" s="273" t="s">
        <v>280</v>
      </c>
      <c r="D939" s="268">
        <v>0.05</v>
      </c>
      <c r="E939" s="271">
        <f>F937</f>
        <v>106179</v>
      </c>
      <c r="F939" s="270">
        <f>D939*E939</f>
        <v>5308.9500000000007</v>
      </c>
    </row>
    <row r="940" spans="2:6" ht="15.75" thickBot="1" x14ac:dyDescent="0.3">
      <c r="B940" s="611" t="s">
        <v>288</v>
      </c>
      <c r="C940" s="612"/>
      <c r="D940" s="612"/>
      <c r="E940" s="613"/>
      <c r="F940" s="274">
        <f>SUM(F939)</f>
        <v>5308.9500000000007</v>
      </c>
    </row>
    <row r="941" spans="2:6" x14ac:dyDescent="0.25">
      <c r="B941" s="594" t="s">
        <v>281</v>
      </c>
      <c r="C941" s="595"/>
      <c r="D941" s="595"/>
      <c r="E941" s="595"/>
      <c r="F941" s="596"/>
    </row>
    <row r="942" spans="2:6" ht="22.5" x14ac:dyDescent="0.25">
      <c r="B942" s="272" t="str">
        <f>INSUMOS!B521</f>
        <v>Cuña Hidráulica, partidor de roca, DARDA, 500 W,  400 Y 600 toneladas de presión. + Operador</v>
      </c>
      <c r="C942" s="273" t="s">
        <v>599</v>
      </c>
      <c r="D942" s="268">
        <v>1</v>
      </c>
      <c r="E942" s="271">
        <f>INSUMOS!D521</f>
        <v>280000</v>
      </c>
      <c r="F942" s="259">
        <f t="shared" ref="F942:F953" si="42">D942*E942</f>
        <v>280000</v>
      </c>
    </row>
    <row r="943" spans="2:6" x14ac:dyDescent="0.25">
      <c r="B943" s="272" t="str">
        <f>INSUMOS!B215</f>
        <v xml:space="preserve">Motobomba Eléctrica Sumergible 2" </v>
      </c>
      <c r="C943" s="273" t="s">
        <v>110</v>
      </c>
      <c r="D943" s="268">
        <v>1</v>
      </c>
      <c r="E943" s="271">
        <f>INSUMOS!D215</f>
        <v>30345</v>
      </c>
      <c r="F943" s="259">
        <f t="shared" si="42"/>
        <v>30345</v>
      </c>
    </row>
    <row r="944" spans="2:6" x14ac:dyDescent="0.25">
      <c r="B944" s="272" t="str">
        <f>INSUMOS!B218</f>
        <v xml:space="preserve">Extensión eléctrica encauchetada (50m) </v>
      </c>
      <c r="C944" s="273" t="s">
        <v>110</v>
      </c>
      <c r="D944" s="268">
        <v>1</v>
      </c>
      <c r="E944" s="271">
        <f>INSUMOS!F218</f>
        <v>9163</v>
      </c>
      <c r="F944" s="259">
        <f t="shared" si="42"/>
        <v>9163</v>
      </c>
    </row>
    <row r="945" spans="2:6" ht="22.5" x14ac:dyDescent="0.25">
      <c r="B945" s="272" t="str">
        <f>INSUMOS!B217</f>
        <v>Manguera de succión con granada flexible 2" (26m) + transporte.</v>
      </c>
      <c r="C945" s="273" t="s">
        <v>110</v>
      </c>
      <c r="D945" s="268">
        <v>1</v>
      </c>
      <c r="E945" s="271">
        <f>INSUMOS!D217</f>
        <v>19637</v>
      </c>
      <c r="F945" s="259">
        <f t="shared" si="42"/>
        <v>19637</v>
      </c>
    </row>
    <row r="946" spans="2:6" x14ac:dyDescent="0.25">
      <c r="B946" s="272"/>
      <c r="C946" s="273"/>
      <c r="D946" s="268"/>
      <c r="E946" s="271"/>
      <c r="F946" s="259">
        <f t="shared" si="42"/>
        <v>0</v>
      </c>
    </row>
    <row r="947" spans="2:6" x14ac:dyDescent="0.25">
      <c r="B947" s="272"/>
      <c r="C947" s="273"/>
      <c r="D947" s="268"/>
      <c r="E947" s="271"/>
      <c r="F947" s="259">
        <f t="shared" si="42"/>
        <v>0</v>
      </c>
    </row>
    <row r="948" spans="2:6" x14ac:dyDescent="0.25">
      <c r="B948" s="272"/>
      <c r="C948" s="273"/>
      <c r="D948" s="268"/>
      <c r="E948" s="271"/>
      <c r="F948" s="259">
        <f t="shared" si="42"/>
        <v>0</v>
      </c>
    </row>
    <row r="949" spans="2:6" x14ac:dyDescent="0.25">
      <c r="B949" s="272"/>
      <c r="C949" s="273"/>
      <c r="D949" s="268"/>
      <c r="E949" s="271"/>
      <c r="F949" s="259">
        <f t="shared" si="42"/>
        <v>0</v>
      </c>
    </row>
    <row r="950" spans="2:6" x14ac:dyDescent="0.25">
      <c r="B950" s="272"/>
      <c r="C950" s="273"/>
      <c r="D950" s="268"/>
      <c r="E950" s="271"/>
      <c r="F950" s="259">
        <f t="shared" si="42"/>
        <v>0</v>
      </c>
    </row>
    <row r="951" spans="2:6" x14ac:dyDescent="0.25">
      <c r="B951" s="272"/>
      <c r="C951" s="273"/>
      <c r="D951" s="268"/>
      <c r="E951" s="271"/>
      <c r="F951" s="259">
        <f t="shared" si="42"/>
        <v>0</v>
      </c>
    </row>
    <row r="952" spans="2:6" x14ac:dyDescent="0.25">
      <c r="B952" s="272"/>
      <c r="C952" s="273"/>
      <c r="D952" s="268"/>
      <c r="E952" s="271"/>
      <c r="F952" s="259">
        <f t="shared" si="42"/>
        <v>0</v>
      </c>
    </row>
    <row r="953" spans="2:6" x14ac:dyDescent="0.25">
      <c r="B953" s="272"/>
      <c r="C953" s="273"/>
      <c r="D953" s="268"/>
      <c r="E953" s="271"/>
      <c r="F953" s="259">
        <f t="shared" si="42"/>
        <v>0</v>
      </c>
    </row>
    <row r="954" spans="2:6" ht="15.75" thickBot="1" x14ac:dyDescent="0.3">
      <c r="B954" s="611" t="s">
        <v>289</v>
      </c>
      <c r="C954" s="612"/>
      <c r="D954" s="612"/>
      <c r="E954" s="613"/>
      <c r="F954" s="274">
        <f>SUM(F942:F953)</f>
        <v>339145</v>
      </c>
    </row>
    <row r="955" spans="2:6" x14ac:dyDescent="0.25">
      <c r="B955" s="594" t="s">
        <v>290</v>
      </c>
      <c r="C955" s="595"/>
      <c r="D955" s="595"/>
      <c r="E955" s="595"/>
      <c r="F955" s="596"/>
    </row>
    <row r="956" spans="2:6" x14ac:dyDescent="0.25">
      <c r="B956" s="272" t="s">
        <v>883</v>
      </c>
      <c r="C956" s="273" t="s">
        <v>117</v>
      </c>
      <c r="D956" s="275">
        <v>1.4</v>
      </c>
      <c r="E956" s="276">
        <v>15000</v>
      </c>
      <c r="F956" s="259">
        <f>D956*E956</f>
        <v>21000</v>
      </c>
    </row>
    <row r="957" spans="2:6" x14ac:dyDescent="0.25">
      <c r="B957" s="277"/>
      <c r="C957" s="278"/>
      <c r="D957" s="279"/>
      <c r="E957" s="280"/>
      <c r="F957" s="259">
        <f>D957*E957</f>
        <v>0</v>
      </c>
    </row>
    <row r="958" spans="2:6" x14ac:dyDescent="0.25">
      <c r="B958" s="277"/>
      <c r="C958" s="278"/>
      <c r="D958" s="279"/>
      <c r="E958" s="280"/>
      <c r="F958" s="259">
        <f>D958*E958</f>
        <v>0</v>
      </c>
    </row>
    <row r="959" spans="2:6" ht="15.75" thickBot="1" x14ac:dyDescent="0.3">
      <c r="B959" s="611" t="s">
        <v>291</v>
      </c>
      <c r="C959" s="612"/>
      <c r="D959" s="612"/>
      <c r="E959" s="613"/>
      <c r="F959" s="285">
        <f>SUM(F956:F958)</f>
        <v>21000</v>
      </c>
    </row>
    <row r="960" spans="2:6" ht="15.75" thickBot="1" x14ac:dyDescent="0.3">
      <c r="B960" s="600" t="s">
        <v>282</v>
      </c>
      <c r="C960" s="601"/>
      <c r="D960" s="601"/>
      <c r="E960" s="601"/>
      <c r="F960" s="286">
        <f>ROUND(F931+F937+F940+F954+F959,0)</f>
        <v>471633</v>
      </c>
    </row>
    <row r="961" spans="2:6" ht="15.75" thickBot="1" x14ac:dyDescent="0.3"/>
    <row r="962" spans="2:6" ht="15.75" thickBot="1" x14ac:dyDescent="0.3">
      <c r="B962" s="602" t="s">
        <v>276</v>
      </c>
      <c r="C962" s="603"/>
      <c r="D962" s="603"/>
      <c r="E962" s="603"/>
      <c r="F962" s="604"/>
    </row>
    <row r="963" spans="2:6" ht="15.75" thickBot="1" x14ac:dyDescent="0.3">
      <c r="B963" s="605" t="s">
        <v>104</v>
      </c>
      <c r="C963" s="606"/>
      <c r="D963" s="607"/>
      <c r="E963" s="282" t="s">
        <v>105</v>
      </c>
      <c r="F963" s="283" t="s">
        <v>103</v>
      </c>
    </row>
    <row r="964" spans="2:6" ht="66.599999999999994" customHeight="1" thickBot="1" x14ac:dyDescent="0.3">
      <c r="B964" s="608" t="str">
        <f>'PRESUPUESTO CALLE 58 SUR'!B29</f>
        <v>EXCAVACIÓN MANUAL de material heterogéneo hasta 4.0  m de altura para filtros y fundaciones, bajo cualquier grado de humedad. Incluye: roca descompuesta, bolas de roca de volumen inferior a 0.35 m³., el cargue, transporte interno, a los sitios donde lo indique la interventoría y su medida será en el sitio. No incluye botada ni entibado.</v>
      </c>
      <c r="C964" s="609"/>
      <c r="D964" s="610"/>
      <c r="E964" s="248" t="str">
        <f>'PRESUPUESTO CALLE 58 SUR'!C29</f>
        <v>m3</v>
      </c>
      <c r="F964" s="448">
        <f>'PRESUPUESTO CALLE 58 SUR'!A29</f>
        <v>4.2</v>
      </c>
    </row>
    <row r="965" spans="2:6" ht="15.75" thickBot="1" x14ac:dyDescent="0.3">
      <c r="B965" s="250" t="s">
        <v>8</v>
      </c>
      <c r="C965" s="251" t="s">
        <v>9</v>
      </c>
      <c r="D965" s="252" t="s">
        <v>10</v>
      </c>
      <c r="E965" s="253" t="s">
        <v>283</v>
      </c>
      <c r="F965" s="254" t="s">
        <v>284</v>
      </c>
    </row>
    <row r="966" spans="2:6" x14ac:dyDescent="0.25">
      <c r="B966" s="594" t="s">
        <v>285</v>
      </c>
      <c r="C966" s="595"/>
      <c r="D966" s="595"/>
      <c r="E966" s="595"/>
      <c r="F966" s="596"/>
    </row>
    <row r="967" spans="2:6" x14ac:dyDescent="0.25">
      <c r="B967" s="255"/>
      <c r="C967" s="256"/>
      <c r="D967" s="257"/>
      <c r="E967" s="258"/>
      <c r="F967" s="259">
        <f t="shared" ref="F967:F978" si="43">D967*E967</f>
        <v>0</v>
      </c>
    </row>
    <row r="968" spans="2:6" x14ac:dyDescent="0.25">
      <c r="B968" s="260"/>
      <c r="C968" s="256"/>
      <c r="D968" s="257"/>
      <c r="E968" s="258"/>
      <c r="F968" s="259">
        <f t="shared" si="43"/>
        <v>0</v>
      </c>
    </row>
    <row r="969" spans="2:6" x14ac:dyDescent="0.25">
      <c r="B969" s="261"/>
      <c r="C969" s="256"/>
      <c r="D969" s="257"/>
      <c r="E969" s="258"/>
      <c r="F969" s="259">
        <f t="shared" si="43"/>
        <v>0</v>
      </c>
    </row>
    <row r="970" spans="2:6" x14ac:dyDescent="0.25">
      <c r="B970" s="261"/>
      <c r="C970" s="256"/>
      <c r="D970" s="257"/>
      <c r="E970" s="258"/>
      <c r="F970" s="259">
        <f t="shared" si="43"/>
        <v>0</v>
      </c>
    </row>
    <row r="971" spans="2:6" x14ac:dyDescent="0.25">
      <c r="B971" s="261"/>
      <c r="C971" s="256"/>
      <c r="D971" s="257"/>
      <c r="E971" s="258"/>
      <c r="F971" s="259">
        <f t="shared" si="43"/>
        <v>0</v>
      </c>
    </row>
    <row r="972" spans="2:6" x14ac:dyDescent="0.25">
      <c r="B972" s="261"/>
      <c r="C972" s="256"/>
      <c r="D972" s="257"/>
      <c r="E972" s="258"/>
      <c r="F972" s="259">
        <f t="shared" si="43"/>
        <v>0</v>
      </c>
    </row>
    <row r="973" spans="2:6" x14ac:dyDescent="0.25">
      <c r="B973" s="261"/>
      <c r="C973" s="256"/>
      <c r="D973" s="257"/>
      <c r="E973" s="258"/>
      <c r="F973" s="259">
        <f t="shared" si="43"/>
        <v>0</v>
      </c>
    </row>
    <row r="974" spans="2:6" x14ac:dyDescent="0.25">
      <c r="B974" s="261"/>
      <c r="C974" s="256"/>
      <c r="D974" s="257"/>
      <c r="E974" s="258"/>
      <c r="F974" s="259">
        <f t="shared" si="43"/>
        <v>0</v>
      </c>
    </row>
    <row r="975" spans="2:6" x14ac:dyDescent="0.25">
      <c r="B975" s="261"/>
      <c r="C975" s="256"/>
      <c r="D975" s="257"/>
      <c r="E975" s="258"/>
      <c r="F975" s="259">
        <f t="shared" si="43"/>
        <v>0</v>
      </c>
    </row>
    <row r="976" spans="2:6" x14ac:dyDescent="0.25">
      <c r="B976" s="261"/>
      <c r="C976" s="256"/>
      <c r="D976" s="257"/>
      <c r="E976" s="258"/>
      <c r="F976" s="259">
        <f t="shared" si="43"/>
        <v>0</v>
      </c>
    </row>
    <row r="977" spans="2:6" x14ac:dyDescent="0.25">
      <c r="B977" s="261"/>
      <c r="C977" s="256"/>
      <c r="D977" s="257"/>
      <c r="E977" s="258"/>
      <c r="F977" s="259">
        <f t="shared" si="43"/>
        <v>0</v>
      </c>
    </row>
    <row r="978" spans="2:6" x14ac:dyDescent="0.25">
      <c r="B978" s="262"/>
      <c r="C978" s="263"/>
      <c r="D978" s="264"/>
      <c r="E978" s="265"/>
      <c r="F978" s="259">
        <f t="shared" si="43"/>
        <v>0</v>
      </c>
    </row>
    <row r="979" spans="2:6" ht="15.75" thickBot="1" x14ac:dyDescent="0.3">
      <c r="B979" s="611" t="s">
        <v>286</v>
      </c>
      <c r="C979" s="612"/>
      <c r="D979" s="612"/>
      <c r="E979" s="613"/>
      <c r="F979" s="284">
        <f>SUM(F967:F978)</f>
        <v>0</v>
      </c>
    </row>
    <row r="980" spans="2:6" x14ac:dyDescent="0.25">
      <c r="B980" s="594" t="s">
        <v>277</v>
      </c>
      <c r="C980" s="595"/>
      <c r="D980" s="595"/>
      <c r="E980" s="595"/>
      <c r="F980" s="596"/>
    </row>
    <row r="981" spans="2:6" x14ac:dyDescent="0.25">
      <c r="B981" s="266" t="str">
        <f>CUADRILLAS!A91</f>
        <v>Cuadrilla Exc y Llenos. (1ayE + 2ay)</v>
      </c>
      <c r="C981" s="267" t="s">
        <v>110</v>
      </c>
      <c r="D981" s="268">
        <v>0.15</v>
      </c>
      <c r="E981" s="269">
        <f>CUADRILLAS!B91</f>
        <v>215672</v>
      </c>
      <c r="F981" s="270">
        <f>D981*E981</f>
        <v>32350.799999999999</v>
      </c>
    </row>
    <row r="982" spans="2:6" x14ac:dyDescent="0.25">
      <c r="B982" s="266"/>
      <c r="C982" s="267"/>
      <c r="D982" s="268"/>
      <c r="E982" s="269"/>
      <c r="F982" s="270">
        <f>D982*E982</f>
        <v>0</v>
      </c>
    </row>
    <row r="983" spans="2:6" x14ac:dyDescent="0.25">
      <c r="B983" s="266"/>
      <c r="C983" s="267"/>
      <c r="D983" s="268"/>
      <c r="E983" s="271"/>
      <c r="F983" s="270">
        <f>D983*E983</f>
        <v>0</v>
      </c>
    </row>
    <row r="984" spans="2:6" x14ac:dyDescent="0.25">
      <c r="B984" s="272"/>
      <c r="C984" s="273"/>
      <c r="D984" s="268"/>
      <c r="E984" s="271"/>
      <c r="F984" s="270">
        <f>D984*E984</f>
        <v>0</v>
      </c>
    </row>
    <row r="985" spans="2:6" ht="15.75" thickBot="1" x14ac:dyDescent="0.3">
      <c r="B985" s="611" t="s">
        <v>287</v>
      </c>
      <c r="C985" s="612"/>
      <c r="D985" s="612"/>
      <c r="E985" s="613"/>
      <c r="F985" s="274">
        <f>SUM(F981:F984)</f>
        <v>32350.799999999999</v>
      </c>
    </row>
    <row r="986" spans="2:6" x14ac:dyDescent="0.25">
      <c r="B986" s="594" t="s">
        <v>278</v>
      </c>
      <c r="C986" s="595"/>
      <c r="D986" s="595"/>
      <c r="E986" s="595"/>
      <c r="F986" s="596"/>
    </row>
    <row r="987" spans="2:6" x14ac:dyDescent="0.25">
      <c r="B987" s="272" t="s">
        <v>279</v>
      </c>
      <c r="C987" s="273" t="s">
        <v>280</v>
      </c>
      <c r="D987" s="268">
        <v>0.05</v>
      </c>
      <c r="E987" s="271">
        <f>F985</f>
        <v>32350.799999999999</v>
      </c>
      <c r="F987" s="270">
        <f>D987*E987</f>
        <v>1617.54</v>
      </c>
    </row>
    <row r="988" spans="2:6" ht="15.75" thickBot="1" x14ac:dyDescent="0.3">
      <c r="B988" s="611" t="s">
        <v>288</v>
      </c>
      <c r="C988" s="612"/>
      <c r="D988" s="612"/>
      <c r="E988" s="613"/>
      <c r="F988" s="274">
        <f>SUM(F987)</f>
        <v>1617.54</v>
      </c>
    </row>
    <row r="989" spans="2:6" x14ac:dyDescent="0.25">
      <c r="B989" s="594" t="s">
        <v>281</v>
      </c>
      <c r="C989" s="595"/>
      <c r="D989" s="595"/>
      <c r="E989" s="595"/>
      <c r="F989" s="596"/>
    </row>
    <row r="990" spans="2:6" x14ac:dyDescent="0.25">
      <c r="B990" s="272" t="str">
        <f t="shared" ref="B990:E992" si="44">B943</f>
        <v xml:space="preserve">Motobomba Eléctrica Sumergible 2" </v>
      </c>
      <c r="C990" s="273" t="str">
        <f t="shared" si="44"/>
        <v>día</v>
      </c>
      <c r="D990" s="268">
        <f>+D981</f>
        <v>0.15</v>
      </c>
      <c r="E990" s="271">
        <f t="shared" si="44"/>
        <v>30345</v>
      </c>
      <c r="F990" s="259">
        <f t="shared" ref="F990:F1001" si="45">D990*E990</f>
        <v>4551.75</v>
      </c>
    </row>
    <row r="991" spans="2:6" x14ac:dyDescent="0.25">
      <c r="B991" s="272" t="str">
        <f t="shared" si="44"/>
        <v xml:space="preserve">Extensión eléctrica encauchetada (50m) </v>
      </c>
      <c r="C991" s="273" t="str">
        <f t="shared" si="44"/>
        <v>día</v>
      </c>
      <c r="D991" s="268">
        <f>D990</f>
        <v>0.15</v>
      </c>
      <c r="E991" s="271">
        <f t="shared" si="44"/>
        <v>9163</v>
      </c>
      <c r="F991" s="259">
        <f t="shared" si="45"/>
        <v>1374.45</v>
      </c>
    </row>
    <row r="992" spans="2:6" ht="22.5" x14ac:dyDescent="0.25">
      <c r="B992" s="272" t="str">
        <f t="shared" si="44"/>
        <v>Manguera de succión con granada flexible 2" (26m) + transporte.</v>
      </c>
      <c r="C992" s="273" t="str">
        <f t="shared" si="44"/>
        <v>día</v>
      </c>
      <c r="D992" s="268">
        <f>D990</f>
        <v>0.15</v>
      </c>
      <c r="E992" s="271">
        <f t="shared" si="44"/>
        <v>19637</v>
      </c>
      <c r="F992" s="259">
        <f t="shared" si="45"/>
        <v>2945.5499999999997</v>
      </c>
    </row>
    <row r="993" spans="2:6" x14ac:dyDescent="0.25">
      <c r="B993" s="272"/>
      <c r="C993" s="273"/>
      <c r="D993" s="268"/>
      <c r="E993" s="271"/>
      <c r="F993" s="259">
        <f t="shared" si="45"/>
        <v>0</v>
      </c>
    </row>
    <row r="994" spans="2:6" x14ac:dyDescent="0.25">
      <c r="B994" s="272"/>
      <c r="C994" s="273"/>
      <c r="D994" s="268"/>
      <c r="E994" s="271"/>
      <c r="F994" s="259">
        <f t="shared" si="45"/>
        <v>0</v>
      </c>
    </row>
    <row r="995" spans="2:6" x14ac:dyDescent="0.25">
      <c r="B995" s="272"/>
      <c r="C995" s="273"/>
      <c r="D995" s="268"/>
      <c r="E995" s="271"/>
      <c r="F995" s="259">
        <f t="shared" si="45"/>
        <v>0</v>
      </c>
    </row>
    <row r="996" spans="2:6" x14ac:dyDescent="0.25">
      <c r="B996" s="272"/>
      <c r="C996" s="273"/>
      <c r="D996" s="268"/>
      <c r="E996" s="271"/>
      <c r="F996" s="259">
        <f t="shared" si="45"/>
        <v>0</v>
      </c>
    </row>
    <row r="997" spans="2:6" x14ac:dyDescent="0.25">
      <c r="B997" s="272"/>
      <c r="C997" s="273"/>
      <c r="D997" s="268"/>
      <c r="E997" s="271"/>
      <c r="F997" s="259">
        <f t="shared" si="45"/>
        <v>0</v>
      </c>
    </row>
    <row r="998" spans="2:6" x14ac:dyDescent="0.25">
      <c r="B998" s="272"/>
      <c r="C998" s="273"/>
      <c r="D998" s="268"/>
      <c r="E998" s="271"/>
      <c r="F998" s="259">
        <f t="shared" si="45"/>
        <v>0</v>
      </c>
    </row>
    <row r="999" spans="2:6" x14ac:dyDescent="0.25">
      <c r="B999" s="272"/>
      <c r="C999" s="273"/>
      <c r="D999" s="268"/>
      <c r="E999" s="271"/>
      <c r="F999" s="259">
        <f t="shared" si="45"/>
        <v>0</v>
      </c>
    </row>
    <row r="1000" spans="2:6" x14ac:dyDescent="0.25">
      <c r="B1000" s="272"/>
      <c r="C1000" s="273"/>
      <c r="D1000" s="268"/>
      <c r="E1000" s="271"/>
      <c r="F1000" s="259">
        <f t="shared" si="45"/>
        <v>0</v>
      </c>
    </row>
    <row r="1001" spans="2:6" x14ac:dyDescent="0.25">
      <c r="B1001" s="272"/>
      <c r="C1001" s="273"/>
      <c r="D1001" s="268"/>
      <c r="E1001" s="271"/>
      <c r="F1001" s="259">
        <f t="shared" si="45"/>
        <v>0</v>
      </c>
    </row>
    <row r="1002" spans="2:6" ht="15.75" thickBot="1" x14ac:dyDescent="0.3">
      <c r="B1002" s="611" t="s">
        <v>289</v>
      </c>
      <c r="C1002" s="612"/>
      <c r="D1002" s="612"/>
      <c r="E1002" s="613"/>
      <c r="F1002" s="274">
        <f>SUM(F990:F1001)</f>
        <v>8871.75</v>
      </c>
    </row>
    <row r="1003" spans="2:6" x14ac:dyDescent="0.25">
      <c r="B1003" s="594" t="s">
        <v>290</v>
      </c>
      <c r="C1003" s="595"/>
      <c r="D1003" s="595"/>
      <c r="E1003" s="595"/>
      <c r="F1003" s="596"/>
    </row>
    <row r="1004" spans="2:6" x14ac:dyDescent="0.25">
      <c r="B1004" s="272" t="str">
        <f>CUADRILLAS!A103</f>
        <v>Cargue Manual-Transporte-Botada</v>
      </c>
      <c r="C1004" s="273" t="s">
        <v>117</v>
      </c>
      <c r="D1004" s="275">
        <v>0</v>
      </c>
      <c r="E1004" s="276">
        <f>CUADRILLAS!B103</f>
        <v>58198</v>
      </c>
      <c r="F1004" s="259">
        <f>D1004*E1004</f>
        <v>0</v>
      </c>
    </row>
    <row r="1005" spans="2:6" x14ac:dyDescent="0.25">
      <c r="B1005" s="277" t="s">
        <v>883</v>
      </c>
      <c r="C1005" s="278" t="s">
        <v>117</v>
      </c>
      <c r="D1005" s="279">
        <v>1.3</v>
      </c>
      <c r="E1005" s="280">
        <v>15000</v>
      </c>
      <c r="F1005" s="259">
        <f>D1005*E1005</f>
        <v>19500</v>
      </c>
    </row>
    <row r="1006" spans="2:6" x14ac:dyDescent="0.25">
      <c r="B1006" s="277"/>
      <c r="C1006" s="278"/>
      <c r="D1006" s="279"/>
      <c r="E1006" s="280"/>
      <c r="F1006" s="259">
        <f>D1006*E1006</f>
        <v>0</v>
      </c>
    </row>
    <row r="1007" spans="2:6" ht="15.75" thickBot="1" x14ac:dyDescent="0.3">
      <c r="B1007" s="611" t="s">
        <v>291</v>
      </c>
      <c r="C1007" s="612"/>
      <c r="D1007" s="612"/>
      <c r="E1007" s="613"/>
      <c r="F1007" s="285">
        <f>SUM(F1004:F1006)</f>
        <v>19500</v>
      </c>
    </row>
    <row r="1008" spans="2:6" ht="15.75" thickBot="1" x14ac:dyDescent="0.3">
      <c r="B1008" s="600" t="s">
        <v>282</v>
      </c>
      <c r="C1008" s="601"/>
      <c r="D1008" s="601"/>
      <c r="E1008" s="601"/>
      <c r="F1008" s="286">
        <f>ROUND(F979+F985+F988+F1002+F1007,0)</f>
        <v>62340</v>
      </c>
    </row>
    <row r="1009" spans="2:6" ht="15.75" thickBot="1" x14ac:dyDescent="0.3"/>
    <row r="1010" spans="2:6" ht="15.75" thickBot="1" x14ac:dyDescent="0.3">
      <c r="B1010" s="602" t="s">
        <v>276</v>
      </c>
      <c r="C1010" s="603"/>
      <c r="D1010" s="603"/>
      <c r="E1010" s="603"/>
      <c r="F1010" s="604"/>
    </row>
    <row r="1011" spans="2:6" ht="15.75" thickBot="1" x14ac:dyDescent="0.3">
      <c r="B1011" s="605" t="s">
        <v>104</v>
      </c>
      <c r="C1011" s="606"/>
      <c r="D1011" s="607"/>
      <c r="E1011" s="282" t="s">
        <v>105</v>
      </c>
      <c r="F1011" s="283" t="s">
        <v>103</v>
      </c>
    </row>
    <row r="1012" spans="2:6" ht="61.9" customHeight="1" thickBot="1" x14ac:dyDescent="0.3">
      <c r="B1012" s="608" t="str">
        <f>'PRESUPUESTO CALLE 58 SUR'!B30</f>
        <v>EXCAVACIÓN MANUAL PARA PILOTES Ø= 0.40 m. En material heterogéneo (HASTA 2.0 m.). Incluye la extracción del material de los pilotes y acarreo interno de materiales, el cargue, transporte y botada del material proveniente de la excavación en botaderos oficiales o donde lo indique la interventoría Y SU MEDIDA SERA EN SITIO.</v>
      </c>
      <c r="C1012" s="609"/>
      <c r="D1012" s="610"/>
      <c r="E1012" s="449" t="str">
        <f>'PRESUPUESTO CALLE 58 SUR'!C30</f>
        <v>m</v>
      </c>
      <c r="F1012" s="448">
        <f>'PRESUPUESTO CALLE 58 SUR'!A30</f>
        <v>4.3</v>
      </c>
    </row>
    <row r="1013" spans="2:6" ht="15.75" thickBot="1" x14ac:dyDescent="0.3">
      <c r="B1013" s="250" t="s">
        <v>8</v>
      </c>
      <c r="C1013" s="251" t="s">
        <v>9</v>
      </c>
      <c r="D1013" s="252" t="s">
        <v>10</v>
      </c>
      <c r="E1013" s="253" t="s">
        <v>283</v>
      </c>
      <c r="F1013" s="254" t="s">
        <v>284</v>
      </c>
    </row>
    <row r="1014" spans="2:6" x14ac:dyDescent="0.25">
      <c r="B1014" s="594" t="s">
        <v>285</v>
      </c>
      <c r="C1014" s="595"/>
      <c r="D1014" s="595"/>
      <c r="E1014" s="595"/>
      <c r="F1014" s="596"/>
    </row>
    <row r="1015" spans="2:6" x14ac:dyDescent="0.25">
      <c r="B1015" s="255"/>
      <c r="C1015" s="256"/>
      <c r="D1015" s="257"/>
      <c r="E1015" s="258"/>
      <c r="F1015" s="259">
        <f t="shared" ref="F1015:F1026" si="46">D1015*E1015</f>
        <v>0</v>
      </c>
    </row>
    <row r="1016" spans="2:6" x14ac:dyDescent="0.25">
      <c r="B1016" s="260"/>
      <c r="C1016" s="256"/>
      <c r="D1016" s="257"/>
      <c r="E1016" s="258"/>
      <c r="F1016" s="259">
        <f t="shared" si="46"/>
        <v>0</v>
      </c>
    </row>
    <row r="1017" spans="2:6" x14ac:dyDescent="0.25">
      <c r="B1017" s="261"/>
      <c r="C1017" s="256"/>
      <c r="D1017" s="257"/>
      <c r="E1017" s="258"/>
      <c r="F1017" s="259">
        <f t="shared" si="46"/>
        <v>0</v>
      </c>
    </row>
    <row r="1018" spans="2:6" x14ac:dyDescent="0.25">
      <c r="B1018" s="261"/>
      <c r="C1018" s="256"/>
      <c r="D1018" s="257"/>
      <c r="E1018" s="258"/>
      <c r="F1018" s="259">
        <f t="shared" si="46"/>
        <v>0</v>
      </c>
    </row>
    <row r="1019" spans="2:6" x14ac:dyDescent="0.25">
      <c r="B1019" s="261"/>
      <c r="C1019" s="256"/>
      <c r="D1019" s="257"/>
      <c r="E1019" s="258"/>
      <c r="F1019" s="259">
        <f t="shared" si="46"/>
        <v>0</v>
      </c>
    </row>
    <row r="1020" spans="2:6" x14ac:dyDescent="0.25">
      <c r="B1020" s="261"/>
      <c r="C1020" s="256"/>
      <c r="D1020" s="257"/>
      <c r="E1020" s="258"/>
      <c r="F1020" s="259">
        <f t="shared" si="46"/>
        <v>0</v>
      </c>
    </row>
    <row r="1021" spans="2:6" x14ac:dyDescent="0.25">
      <c r="B1021" s="261"/>
      <c r="C1021" s="256"/>
      <c r="D1021" s="257"/>
      <c r="E1021" s="258"/>
      <c r="F1021" s="259">
        <f t="shared" si="46"/>
        <v>0</v>
      </c>
    </row>
    <row r="1022" spans="2:6" x14ac:dyDescent="0.25">
      <c r="B1022" s="261"/>
      <c r="C1022" s="256"/>
      <c r="D1022" s="257"/>
      <c r="E1022" s="258"/>
      <c r="F1022" s="259">
        <f t="shared" si="46"/>
        <v>0</v>
      </c>
    </row>
    <row r="1023" spans="2:6" x14ac:dyDescent="0.25">
      <c r="B1023" s="261"/>
      <c r="C1023" s="256"/>
      <c r="D1023" s="257"/>
      <c r="E1023" s="258"/>
      <c r="F1023" s="259">
        <f t="shared" si="46"/>
        <v>0</v>
      </c>
    </row>
    <row r="1024" spans="2:6" x14ac:dyDescent="0.25">
      <c r="B1024" s="261"/>
      <c r="C1024" s="256"/>
      <c r="D1024" s="257"/>
      <c r="E1024" s="258"/>
      <c r="F1024" s="259">
        <f t="shared" si="46"/>
        <v>0</v>
      </c>
    </row>
    <row r="1025" spans="2:6" x14ac:dyDescent="0.25">
      <c r="B1025" s="261"/>
      <c r="C1025" s="256"/>
      <c r="D1025" s="257"/>
      <c r="E1025" s="258"/>
      <c r="F1025" s="259">
        <f t="shared" si="46"/>
        <v>0</v>
      </c>
    </row>
    <row r="1026" spans="2:6" x14ac:dyDescent="0.25">
      <c r="B1026" s="262"/>
      <c r="C1026" s="263"/>
      <c r="D1026" s="264"/>
      <c r="E1026" s="265"/>
      <c r="F1026" s="259">
        <f t="shared" si="46"/>
        <v>0</v>
      </c>
    </row>
    <row r="1027" spans="2:6" ht="15.75" thickBot="1" x14ac:dyDescent="0.3">
      <c r="B1027" s="611" t="s">
        <v>286</v>
      </c>
      <c r="C1027" s="612"/>
      <c r="D1027" s="612"/>
      <c r="E1027" s="613"/>
      <c r="F1027" s="284">
        <f>SUM(F1015:F1026)</f>
        <v>0</v>
      </c>
    </row>
    <row r="1028" spans="2:6" x14ac:dyDescent="0.25">
      <c r="B1028" s="594" t="s">
        <v>277</v>
      </c>
      <c r="C1028" s="595"/>
      <c r="D1028" s="595"/>
      <c r="E1028" s="595"/>
      <c r="F1028" s="596"/>
    </row>
    <row r="1029" spans="2:6" x14ac:dyDescent="0.25">
      <c r="B1029" s="266" t="str">
        <f>CUADRILLAS!A84</f>
        <v>1Ay Entendido</v>
      </c>
      <c r="C1029" s="267" t="s">
        <v>110</v>
      </c>
      <c r="D1029" s="268">
        <v>0.47904716981132073</v>
      </c>
      <c r="E1029" s="269">
        <f>CUADRILLAS!B84</f>
        <v>85000</v>
      </c>
      <c r="F1029" s="270">
        <f>D1029*E1029</f>
        <v>40719.009433962259</v>
      </c>
    </row>
    <row r="1030" spans="2:6" x14ac:dyDescent="0.25">
      <c r="B1030" s="266"/>
      <c r="C1030" s="267"/>
      <c r="D1030" s="268"/>
      <c r="E1030" s="269"/>
      <c r="F1030" s="270">
        <f>D1030*E1030</f>
        <v>0</v>
      </c>
    </row>
    <row r="1031" spans="2:6" x14ac:dyDescent="0.25">
      <c r="B1031" s="266"/>
      <c r="C1031" s="267"/>
      <c r="D1031" s="268"/>
      <c r="E1031" s="271"/>
      <c r="F1031" s="270">
        <f>D1031*E1031</f>
        <v>0</v>
      </c>
    </row>
    <row r="1032" spans="2:6" x14ac:dyDescent="0.25">
      <c r="B1032" s="272"/>
      <c r="C1032" s="273"/>
      <c r="D1032" s="268"/>
      <c r="E1032" s="271"/>
      <c r="F1032" s="270">
        <f>D1032*E1032</f>
        <v>0</v>
      </c>
    </row>
    <row r="1033" spans="2:6" ht="15.75" thickBot="1" x14ac:dyDescent="0.3">
      <c r="B1033" s="611" t="s">
        <v>287</v>
      </c>
      <c r="C1033" s="612"/>
      <c r="D1033" s="612"/>
      <c r="E1033" s="613"/>
      <c r="F1033" s="274">
        <f>SUM(F1029:F1032)</f>
        <v>40719.009433962259</v>
      </c>
    </row>
    <row r="1034" spans="2:6" x14ac:dyDescent="0.25">
      <c r="B1034" s="594" t="s">
        <v>278</v>
      </c>
      <c r="C1034" s="595"/>
      <c r="D1034" s="595"/>
      <c r="E1034" s="595"/>
      <c r="F1034" s="596"/>
    </row>
    <row r="1035" spans="2:6" x14ac:dyDescent="0.25">
      <c r="B1035" s="272" t="s">
        <v>279</v>
      </c>
      <c r="C1035" s="273" t="s">
        <v>280</v>
      </c>
      <c r="D1035" s="268">
        <v>0.05</v>
      </c>
      <c r="E1035" s="271">
        <f>F1033</f>
        <v>40719.009433962259</v>
      </c>
      <c r="F1035" s="270">
        <f>D1035*E1035</f>
        <v>2035.950471698113</v>
      </c>
    </row>
    <row r="1036" spans="2:6" ht="15.75" thickBot="1" x14ac:dyDescent="0.3">
      <c r="B1036" s="611" t="s">
        <v>288</v>
      </c>
      <c r="C1036" s="612"/>
      <c r="D1036" s="612"/>
      <c r="E1036" s="613"/>
      <c r="F1036" s="274">
        <f>SUM(F1035)</f>
        <v>2035.950471698113</v>
      </c>
    </row>
    <row r="1037" spans="2:6" x14ac:dyDescent="0.25">
      <c r="B1037" s="594" t="s">
        <v>281</v>
      </c>
      <c r="C1037" s="595"/>
      <c r="D1037" s="595"/>
      <c r="E1037" s="595"/>
      <c r="F1037" s="596"/>
    </row>
    <row r="1038" spans="2:6" x14ac:dyDescent="0.25">
      <c r="B1038" s="272" t="str">
        <f t="shared" ref="B1038:E1040" si="47">B990</f>
        <v xml:space="preserve">Motobomba Eléctrica Sumergible 2" </v>
      </c>
      <c r="C1038" s="273" t="str">
        <f t="shared" si="47"/>
        <v>día</v>
      </c>
      <c r="D1038" s="268">
        <f>D1029</f>
        <v>0.47904716981132073</v>
      </c>
      <c r="E1038" s="271">
        <f t="shared" si="47"/>
        <v>30345</v>
      </c>
      <c r="F1038" s="259">
        <f t="shared" ref="F1038:F1049" si="48">D1038*E1038</f>
        <v>14536.686367924527</v>
      </c>
    </row>
    <row r="1039" spans="2:6" x14ac:dyDescent="0.25">
      <c r="B1039" s="272" t="str">
        <f t="shared" si="47"/>
        <v xml:space="preserve">Extensión eléctrica encauchetada (50m) </v>
      </c>
      <c r="C1039" s="273" t="str">
        <f t="shared" si="47"/>
        <v>día</v>
      </c>
      <c r="D1039" s="268">
        <f>D1038</f>
        <v>0.47904716981132073</v>
      </c>
      <c r="E1039" s="271">
        <f t="shared" si="47"/>
        <v>9163</v>
      </c>
      <c r="F1039" s="259">
        <f t="shared" si="48"/>
        <v>4389.5092169811314</v>
      </c>
    </row>
    <row r="1040" spans="2:6" ht="22.5" x14ac:dyDescent="0.25">
      <c r="B1040" s="272" t="str">
        <f t="shared" si="47"/>
        <v>Manguera de succión con granada flexible 2" (26m) + transporte.</v>
      </c>
      <c r="C1040" s="273" t="str">
        <f t="shared" si="47"/>
        <v>día</v>
      </c>
      <c r="D1040" s="268">
        <f>D1038</f>
        <v>0.47904716981132073</v>
      </c>
      <c r="E1040" s="271">
        <f t="shared" si="47"/>
        <v>19637</v>
      </c>
      <c r="F1040" s="259">
        <f t="shared" si="48"/>
        <v>9407.0492735849057</v>
      </c>
    </row>
    <row r="1041" spans="2:6" x14ac:dyDescent="0.25">
      <c r="B1041" s="272"/>
      <c r="C1041" s="273"/>
      <c r="D1041" s="268"/>
      <c r="E1041" s="271"/>
      <c r="F1041" s="259">
        <f t="shared" si="48"/>
        <v>0</v>
      </c>
    </row>
    <row r="1042" spans="2:6" x14ac:dyDescent="0.25">
      <c r="B1042" s="272"/>
      <c r="C1042" s="273"/>
      <c r="D1042" s="268"/>
      <c r="E1042" s="271"/>
      <c r="F1042" s="259">
        <f t="shared" si="48"/>
        <v>0</v>
      </c>
    </row>
    <row r="1043" spans="2:6" x14ac:dyDescent="0.25">
      <c r="B1043" s="272"/>
      <c r="C1043" s="273"/>
      <c r="D1043" s="268"/>
      <c r="E1043" s="271"/>
      <c r="F1043" s="259">
        <f t="shared" si="48"/>
        <v>0</v>
      </c>
    </row>
    <row r="1044" spans="2:6" x14ac:dyDescent="0.25">
      <c r="B1044" s="272"/>
      <c r="C1044" s="273"/>
      <c r="D1044" s="268"/>
      <c r="E1044" s="271"/>
      <c r="F1044" s="259">
        <f t="shared" si="48"/>
        <v>0</v>
      </c>
    </row>
    <row r="1045" spans="2:6" x14ac:dyDescent="0.25">
      <c r="B1045" s="272"/>
      <c r="C1045" s="273"/>
      <c r="D1045" s="268"/>
      <c r="E1045" s="271"/>
      <c r="F1045" s="259">
        <f t="shared" si="48"/>
        <v>0</v>
      </c>
    </row>
    <row r="1046" spans="2:6" x14ac:dyDescent="0.25">
      <c r="B1046" s="272"/>
      <c r="C1046" s="273"/>
      <c r="D1046" s="268"/>
      <c r="E1046" s="271"/>
      <c r="F1046" s="259">
        <f t="shared" si="48"/>
        <v>0</v>
      </c>
    </row>
    <row r="1047" spans="2:6" x14ac:dyDescent="0.25">
      <c r="B1047" s="272"/>
      <c r="C1047" s="273"/>
      <c r="D1047" s="268"/>
      <c r="E1047" s="271"/>
      <c r="F1047" s="259">
        <f t="shared" si="48"/>
        <v>0</v>
      </c>
    </row>
    <row r="1048" spans="2:6" x14ac:dyDescent="0.25">
      <c r="B1048" s="272"/>
      <c r="C1048" s="273"/>
      <c r="D1048" s="268"/>
      <c r="E1048" s="271"/>
      <c r="F1048" s="259">
        <f t="shared" si="48"/>
        <v>0</v>
      </c>
    </row>
    <row r="1049" spans="2:6" x14ac:dyDescent="0.25">
      <c r="B1049" s="272"/>
      <c r="C1049" s="273"/>
      <c r="D1049" s="268"/>
      <c r="E1049" s="271"/>
      <c r="F1049" s="259">
        <f t="shared" si="48"/>
        <v>0</v>
      </c>
    </row>
    <row r="1050" spans="2:6" ht="15.75" thickBot="1" x14ac:dyDescent="0.3">
      <c r="B1050" s="611" t="s">
        <v>289</v>
      </c>
      <c r="C1050" s="612"/>
      <c r="D1050" s="612"/>
      <c r="E1050" s="613"/>
      <c r="F1050" s="274">
        <f>SUM(F1038:F1049)</f>
        <v>28333.244858490565</v>
      </c>
    </row>
    <row r="1051" spans="2:6" x14ac:dyDescent="0.25">
      <c r="B1051" s="594" t="s">
        <v>290</v>
      </c>
      <c r="C1051" s="595"/>
      <c r="D1051" s="595"/>
      <c r="E1051" s="595"/>
      <c r="F1051" s="596"/>
    </row>
    <row r="1052" spans="2:6" x14ac:dyDescent="0.25">
      <c r="B1052" s="272" t="str">
        <f>CUADRILLAS!A103</f>
        <v>Cargue Manual-Transporte-Botada</v>
      </c>
      <c r="C1052" s="273" t="s">
        <v>117</v>
      </c>
      <c r="D1052" s="275">
        <f>PI()*0.2^2*1.3</f>
        <v>0.16336281798666927</v>
      </c>
      <c r="E1052" s="276">
        <f>CUADRILLAS!B103</f>
        <v>58198</v>
      </c>
      <c r="F1052" s="259">
        <f>D1052*E1052</f>
        <v>9507.3892811881778</v>
      </c>
    </row>
    <row r="1053" spans="2:6" x14ac:dyDescent="0.25">
      <c r="B1053" s="277" t="s">
        <v>895</v>
      </c>
      <c r="C1053" s="278" t="s">
        <v>117</v>
      </c>
      <c r="D1053" s="279">
        <f>D1052</f>
        <v>0.16336281798666927</v>
      </c>
      <c r="E1053" s="280">
        <v>15000</v>
      </c>
      <c r="F1053" s="259">
        <f>D1053*E1053</f>
        <v>2450.442269800039</v>
      </c>
    </row>
    <row r="1054" spans="2:6" x14ac:dyDescent="0.25">
      <c r="B1054" s="277"/>
      <c r="C1054" s="278"/>
      <c r="D1054" s="279"/>
      <c r="E1054" s="280"/>
      <c r="F1054" s="259">
        <f>D1054*E1054</f>
        <v>0</v>
      </c>
    </row>
    <row r="1055" spans="2:6" ht="15.75" thickBot="1" x14ac:dyDescent="0.3">
      <c r="B1055" s="611" t="s">
        <v>291</v>
      </c>
      <c r="C1055" s="612"/>
      <c r="D1055" s="612"/>
      <c r="E1055" s="613"/>
      <c r="F1055" s="285">
        <f>SUM(F1052:F1054)</f>
        <v>11957.831550988216</v>
      </c>
    </row>
    <row r="1056" spans="2:6" ht="15.75" thickBot="1" x14ac:dyDescent="0.3">
      <c r="B1056" s="600" t="s">
        <v>282</v>
      </c>
      <c r="C1056" s="601"/>
      <c r="D1056" s="601"/>
      <c r="E1056" s="601"/>
      <c r="F1056" s="286">
        <f>ROUND(F1027+F1033+F1036+F1050+F1055,0)</f>
        <v>83046</v>
      </c>
    </row>
    <row r="1057" spans="2:6" ht="15.75" thickBot="1" x14ac:dyDescent="0.3"/>
    <row r="1058" spans="2:6" ht="15.75" thickBot="1" x14ac:dyDescent="0.3">
      <c r="B1058" s="602" t="s">
        <v>276</v>
      </c>
      <c r="C1058" s="603"/>
      <c r="D1058" s="603"/>
      <c r="E1058" s="603"/>
      <c r="F1058" s="604"/>
    </row>
    <row r="1059" spans="2:6" ht="15.75" thickBot="1" x14ac:dyDescent="0.3">
      <c r="B1059" s="605" t="s">
        <v>104</v>
      </c>
      <c r="C1059" s="606"/>
      <c r="D1059" s="607"/>
      <c r="E1059" s="282" t="s">
        <v>105</v>
      </c>
      <c r="F1059" s="283" t="s">
        <v>103</v>
      </c>
    </row>
    <row r="1060" spans="2:6" ht="63" customHeight="1" thickBot="1" x14ac:dyDescent="0.3">
      <c r="B1060" s="608" t="str">
        <f>'PRESUPUESTO CALLE 58 SUR'!B31</f>
        <v>Construcción de APUNTALAMIENTO DE TALUDES Corte según diseño, con elementos metálicos y/o de madera, de altura hasta 2.5 m, bajo caulaquiere grado de humedad. Incluye suministro, transporte y colocación de elementos en madera,metálicos (tacos, formaleta), el cargue, transporte interno y externo y su medida será en el sitio, su forma de pago se hará por el área que se encuentre en contacto con la tierra.</v>
      </c>
      <c r="C1060" s="609"/>
      <c r="D1060" s="610"/>
      <c r="E1060" s="449" t="str">
        <f>'PRESUPUESTO CALLE 58 SUR'!C31</f>
        <v>m2</v>
      </c>
      <c r="F1060" s="448">
        <f>'PRESUPUESTO CALLE 58 SUR'!A31</f>
        <v>4.4000000000000004</v>
      </c>
    </row>
    <row r="1061" spans="2:6" ht="15.75" thickBot="1" x14ac:dyDescent="0.3">
      <c r="B1061" s="250" t="s">
        <v>8</v>
      </c>
      <c r="C1061" s="251" t="s">
        <v>9</v>
      </c>
      <c r="D1061" s="252" t="s">
        <v>10</v>
      </c>
      <c r="E1061" s="253" t="s">
        <v>283</v>
      </c>
      <c r="F1061" s="254" t="s">
        <v>284</v>
      </c>
    </row>
    <row r="1062" spans="2:6" x14ac:dyDescent="0.25">
      <c r="B1062" s="594" t="s">
        <v>285</v>
      </c>
      <c r="C1062" s="595"/>
      <c r="D1062" s="595"/>
      <c r="E1062" s="595"/>
      <c r="F1062" s="596"/>
    </row>
    <row r="1063" spans="2:6" ht="22.5" x14ac:dyDescent="0.25">
      <c r="B1063" s="255" t="str">
        <f>INSUMOS!B213</f>
        <v>Can Zunchado en madera común. De 3,5cm x 20 cm x 2.80m. Incluye transporte.</v>
      </c>
      <c r="C1063" s="256" t="s">
        <v>17</v>
      </c>
      <c r="D1063" s="257">
        <f>2.5/3</f>
        <v>0.83333333333333337</v>
      </c>
      <c r="E1063" s="258">
        <f>INSUMOS!D213</f>
        <v>26180</v>
      </c>
      <c r="F1063" s="259">
        <f t="shared" ref="F1063:F1074" si="49">D1063*E1063</f>
        <v>21816.666666666668</v>
      </c>
    </row>
    <row r="1064" spans="2:6" x14ac:dyDescent="0.25">
      <c r="B1064" s="260" t="str">
        <f>INSUMOS!B204</f>
        <v>Taco de madera de 3.0 m</v>
      </c>
      <c r="C1064" s="256" t="s">
        <v>17</v>
      </c>
      <c r="D1064" s="257">
        <v>0.8</v>
      </c>
      <c r="E1064" s="258">
        <f>INSUMOS!D204</f>
        <v>9482</v>
      </c>
      <c r="F1064" s="259">
        <f t="shared" si="49"/>
        <v>7585.6</v>
      </c>
    </row>
    <row r="1065" spans="2:6" x14ac:dyDescent="0.25">
      <c r="B1065" s="261" t="str">
        <f>INSUMOS!B205</f>
        <v>Clavo común x CAJA por 500 gr</v>
      </c>
      <c r="C1065" s="256" t="s">
        <v>576</v>
      </c>
      <c r="D1065" s="257">
        <v>0.2</v>
      </c>
      <c r="E1065" s="258">
        <f>INSUMOS!E205</f>
        <v>5000</v>
      </c>
      <c r="F1065" s="259">
        <f t="shared" si="49"/>
        <v>1000</v>
      </c>
    </row>
    <row r="1066" spans="2:6" x14ac:dyDescent="0.25">
      <c r="B1066" s="261"/>
      <c r="C1066" s="256"/>
      <c r="D1066" s="257"/>
      <c r="E1066" s="258"/>
      <c r="F1066" s="259">
        <f t="shared" si="49"/>
        <v>0</v>
      </c>
    </row>
    <row r="1067" spans="2:6" x14ac:dyDescent="0.25">
      <c r="B1067" s="261"/>
      <c r="C1067" s="256"/>
      <c r="D1067" s="257"/>
      <c r="E1067" s="258"/>
      <c r="F1067" s="259">
        <f t="shared" si="49"/>
        <v>0</v>
      </c>
    </row>
    <row r="1068" spans="2:6" x14ac:dyDescent="0.25">
      <c r="B1068" s="261"/>
      <c r="C1068" s="256"/>
      <c r="D1068" s="257"/>
      <c r="E1068" s="258"/>
      <c r="F1068" s="259">
        <f t="shared" si="49"/>
        <v>0</v>
      </c>
    </row>
    <row r="1069" spans="2:6" x14ac:dyDescent="0.25">
      <c r="B1069" s="261"/>
      <c r="C1069" s="256"/>
      <c r="D1069" s="257"/>
      <c r="E1069" s="258"/>
      <c r="F1069" s="259">
        <f t="shared" si="49"/>
        <v>0</v>
      </c>
    </row>
    <row r="1070" spans="2:6" x14ac:dyDescent="0.25">
      <c r="B1070" s="261"/>
      <c r="C1070" s="256"/>
      <c r="D1070" s="257"/>
      <c r="E1070" s="258"/>
      <c r="F1070" s="259">
        <f t="shared" si="49"/>
        <v>0</v>
      </c>
    </row>
    <row r="1071" spans="2:6" x14ac:dyDescent="0.25">
      <c r="B1071" s="261"/>
      <c r="C1071" s="256"/>
      <c r="D1071" s="257"/>
      <c r="E1071" s="258"/>
      <c r="F1071" s="259">
        <f t="shared" si="49"/>
        <v>0</v>
      </c>
    </row>
    <row r="1072" spans="2:6" x14ac:dyDescent="0.25">
      <c r="B1072" s="261"/>
      <c r="C1072" s="256"/>
      <c r="D1072" s="257"/>
      <c r="E1072" s="258"/>
      <c r="F1072" s="259">
        <f t="shared" si="49"/>
        <v>0</v>
      </c>
    </row>
    <row r="1073" spans="2:6" x14ac:dyDescent="0.25">
      <c r="B1073" s="261"/>
      <c r="C1073" s="256"/>
      <c r="D1073" s="257"/>
      <c r="E1073" s="258"/>
      <c r="F1073" s="259">
        <f t="shared" si="49"/>
        <v>0</v>
      </c>
    </row>
    <row r="1074" spans="2:6" x14ac:dyDescent="0.25">
      <c r="B1074" s="262"/>
      <c r="C1074" s="263"/>
      <c r="D1074" s="264"/>
      <c r="E1074" s="265"/>
      <c r="F1074" s="259">
        <f t="shared" si="49"/>
        <v>0</v>
      </c>
    </row>
    <row r="1075" spans="2:6" ht="15.75" thickBot="1" x14ac:dyDescent="0.3">
      <c r="B1075" s="611" t="s">
        <v>286</v>
      </c>
      <c r="C1075" s="612"/>
      <c r="D1075" s="612"/>
      <c r="E1075" s="613"/>
      <c r="F1075" s="284">
        <f>SUM(F1063:F1074)</f>
        <v>30402.26666666667</v>
      </c>
    </row>
    <row r="1076" spans="2:6" x14ac:dyDescent="0.25">
      <c r="B1076" s="594" t="s">
        <v>277</v>
      </c>
      <c r="C1076" s="595"/>
      <c r="D1076" s="595"/>
      <c r="E1076" s="595"/>
      <c r="F1076" s="596"/>
    </row>
    <row r="1077" spans="2:6" x14ac:dyDescent="0.25">
      <c r="B1077" s="266" t="str">
        <f>CUADRILLAS!A87</f>
        <v>Cuadrilla labores varias (1of + 2ay)</v>
      </c>
      <c r="C1077" s="267" t="s">
        <v>110</v>
      </c>
      <c r="D1077" s="268">
        <v>0.11</v>
      </c>
      <c r="E1077" s="269">
        <f>CUADRILLAS!B87</f>
        <v>278637</v>
      </c>
      <c r="F1077" s="270">
        <f>D1077*E1077</f>
        <v>30650.07</v>
      </c>
    </row>
    <row r="1078" spans="2:6" x14ac:dyDescent="0.25">
      <c r="B1078" s="266"/>
      <c r="C1078" s="267"/>
      <c r="D1078" s="268"/>
      <c r="E1078" s="269"/>
      <c r="F1078" s="270">
        <f>D1078*E1078</f>
        <v>0</v>
      </c>
    </row>
    <row r="1079" spans="2:6" x14ac:dyDescent="0.25">
      <c r="B1079" s="266"/>
      <c r="C1079" s="267"/>
      <c r="D1079" s="268"/>
      <c r="E1079" s="271"/>
      <c r="F1079" s="270">
        <f>D1079*E1079</f>
        <v>0</v>
      </c>
    </row>
    <row r="1080" spans="2:6" x14ac:dyDescent="0.25">
      <c r="B1080" s="272"/>
      <c r="C1080" s="273"/>
      <c r="D1080" s="268"/>
      <c r="E1080" s="271"/>
      <c r="F1080" s="270">
        <f>D1080*E1080</f>
        <v>0</v>
      </c>
    </row>
    <row r="1081" spans="2:6" ht="15.75" thickBot="1" x14ac:dyDescent="0.3">
      <c r="B1081" s="611" t="s">
        <v>287</v>
      </c>
      <c r="C1081" s="612"/>
      <c r="D1081" s="612"/>
      <c r="E1081" s="613"/>
      <c r="F1081" s="274">
        <f>SUM(F1077:F1080)</f>
        <v>30650.07</v>
      </c>
    </row>
    <row r="1082" spans="2:6" x14ac:dyDescent="0.25">
      <c r="B1082" s="594" t="s">
        <v>278</v>
      </c>
      <c r="C1082" s="595"/>
      <c r="D1082" s="595"/>
      <c r="E1082" s="595"/>
      <c r="F1082" s="596"/>
    </row>
    <row r="1083" spans="2:6" x14ac:dyDescent="0.25">
      <c r="B1083" s="272" t="s">
        <v>279</v>
      </c>
      <c r="C1083" s="273" t="s">
        <v>280</v>
      </c>
      <c r="D1083" s="268">
        <v>0.05</v>
      </c>
      <c r="E1083" s="271">
        <f>F1081</f>
        <v>30650.07</v>
      </c>
      <c r="F1083" s="270">
        <f>D1083*E1083</f>
        <v>1532.5035</v>
      </c>
    </row>
    <row r="1084" spans="2:6" ht="15.75" thickBot="1" x14ac:dyDescent="0.3">
      <c r="B1084" s="611" t="s">
        <v>288</v>
      </c>
      <c r="C1084" s="612"/>
      <c r="D1084" s="612"/>
      <c r="E1084" s="613"/>
      <c r="F1084" s="274">
        <f>SUM(F1083)</f>
        <v>1532.5035</v>
      </c>
    </row>
    <row r="1085" spans="2:6" x14ac:dyDescent="0.25">
      <c r="B1085" s="594" t="s">
        <v>281</v>
      </c>
      <c r="C1085" s="595"/>
      <c r="D1085" s="595"/>
      <c r="E1085" s="595"/>
      <c r="F1085" s="596"/>
    </row>
    <row r="1086" spans="2:6" x14ac:dyDescent="0.25">
      <c r="B1086" s="272"/>
      <c r="C1086" s="273"/>
      <c r="D1086" s="268"/>
      <c r="E1086" s="271"/>
      <c r="F1086" s="259">
        <f t="shared" ref="F1086:F1097" si="50">D1086*E1086</f>
        <v>0</v>
      </c>
    </row>
    <row r="1087" spans="2:6" x14ac:dyDescent="0.25">
      <c r="B1087" s="272"/>
      <c r="C1087" s="273"/>
      <c r="D1087" s="268"/>
      <c r="E1087" s="271"/>
      <c r="F1087" s="259">
        <f t="shared" si="50"/>
        <v>0</v>
      </c>
    </row>
    <row r="1088" spans="2:6" x14ac:dyDescent="0.25">
      <c r="B1088" s="272"/>
      <c r="C1088" s="273"/>
      <c r="D1088" s="268"/>
      <c r="E1088" s="271"/>
      <c r="F1088" s="259">
        <f t="shared" si="50"/>
        <v>0</v>
      </c>
    </row>
    <row r="1089" spans="2:6" x14ac:dyDescent="0.25">
      <c r="B1089" s="272"/>
      <c r="C1089" s="273"/>
      <c r="D1089" s="268"/>
      <c r="E1089" s="271"/>
      <c r="F1089" s="259">
        <f t="shared" si="50"/>
        <v>0</v>
      </c>
    </row>
    <row r="1090" spans="2:6" x14ac:dyDescent="0.25">
      <c r="B1090" s="272"/>
      <c r="C1090" s="273"/>
      <c r="D1090" s="268"/>
      <c r="E1090" s="271"/>
      <c r="F1090" s="259">
        <f t="shared" si="50"/>
        <v>0</v>
      </c>
    </row>
    <row r="1091" spans="2:6" x14ac:dyDescent="0.25">
      <c r="B1091" s="272"/>
      <c r="C1091" s="273"/>
      <c r="D1091" s="268"/>
      <c r="E1091" s="271"/>
      <c r="F1091" s="259">
        <f t="shared" si="50"/>
        <v>0</v>
      </c>
    </row>
    <row r="1092" spans="2:6" x14ac:dyDescent="0.25">
      <c r="B1092" s="272"/>
      <c r="C1092" s="273"/>
      <c r="D1092" s="268"/>
      <c r="E1092" s="271"/>
      <c r="F1092" s="259">
        <f t="shared" si="50"/>
        <v>0</v>
      </c>
    </row>
    <row r="1093" spans="2:6" x14ac:dyDescent="0.25">
      <c r="B1093" s="272"/>
      <c r="C1093" s="273"/>
      <c r="D1093" s="268"/>
      <c r="E1093" s="271"/>
      <c r="F1093" s="259">
        <f t="shared" si="50"/>
        <v>0</v>
      </c>
    </row>
    <row r="1094" spans="2:6" x14ac:dyDescent="0.25">
      <c r="B1094" s="272"/>
      <c r="C1094" s="273"/>
      <c r="D1094" s="268"/>
      <c r="E1094" s="271"/>
      <c r="F1094" s="259">
        <f t="shared" si="50"/>
        <v>0</v>
      </c>
    </row>
    <row r="1095" spans="2:6" x14ac:dyDescent="0.25">
      <c r="B1095" s="272"/>
      <c r="C1095" s="273"/>
      <c r="D1095" s="268"/>
      <c r="E1095" s="271"/>
      <c r="F1095" s="259">
        <f t="shared" si="50"/>
        <v>0</v>
      </c>
    </row>
    <row r="1096" spans="2:6" x14ac:dyDescent="0.25">
      <c r="B1096" s="272"/>
      <c r="C1096" s="273"/>
      <c r="D1096" s="268"/>
      <c r="E1096" s="271"/>
      <c r="F1096" s="259">
        <f t="shared" si="50"/>
        <v>0</v>
      </c>
    </row>
    <row r="1097" spans="2:6" x14ac:dyDescent="0.25">
      <c r="B1097" s="272"/>
      <c r="C1097" s="273"/>
      <c r="D1097" s="268"/>
      <c r="E1097" s="271"/>
      <c r="F1097" s="259">
        <f t="shared" si="50"/>
        <v>0</v>
      </c>
    </row>
    <row r="1098" spans="2:6" ht="15.75" thickBot="1" x14ac:dyDescent="0.3">
      <c r="B1098" s="611" t="s">
        <v>289</v>
      </c>
      <c r="C1098" s="612"/>
      <c r="D1098" s="612"/>
      <c r="E1098" s="613"/>
      <c r="F1098" s="274">
        <f>SUM(F1086:F1097)</f>
        <v>0</v>
      </c>
    </row>
    <row r="1099" spans="2:6" x14ac:dyDescent="0.25">
      <c r="B1099" s="594" t="s">
        <v>290</v>
      </c>
      <c r="C1099" s="595"/>
      <c r="D1099" s="595"/>
      <c r="E1099" s="595"/>
      <c r="F1099" s="596"/>
    </row>
    <row r="1100" spans="2:6" x14ac:dyDescent="0.25">
      <c r="B1100" s="272" t="s">
        <v>892</v>
      </c>
      <c r="C1100" s="273" t="s">
        <v>49</v>
      </c>
      <c r="D1100" s="275">
        <v>1</v>
      </c>
      <c r="E1100" s="276">
        <v>1500</v>
      </c>
      <c r="F1100" s="259">
        <f>D1100*E1100</f>
        <v>1500</v>
      </c>
    </row>
    <row r="1101" spans="2:6" x14ac:dyDescent="0.25">
      <c r="B1101" s="277"/>
      <c r="C1101" s="278"/>
      <c r="D1101" s="279"/>
      <c r="E1101" s="280"/>
      <c r="F1101" s="259">
        <f>D1101*E1101</f>
        <v>0</v>
      </c>
    </row>
    <row r="1102" spans="2:6" x14ac:dyDescent="0.25">
      <c r="B1102" s="277"/>
      <c r="C1102" s="278"/>
      <c r="D1102" s="279"/>
      <c r="E1102" s="280"/>
      <c r="F1102" s="259">
        <f>D1102*E1102</f>
        <v>0</v>
      </c>
    </row>
    <row r="1103" spans="2:6" ht="15.75" thickBot="1" x14ac:dyDescent="0.3">
      <c r="B1103" s="611" t="s">
        <v>291</v>
      </c>
      <c r="C1103" s="612"/>
      <c r="D1103" s="612"/>
      <c r="E1103" s="613"/>
      <c r="F1103" s="285">
        <f>SUM(F1100:F1102)</f>
        <v>1500</v>
      </c>
    </row>
    <row r="1104" spans="2:6" ht="15.75" thickBot="1" x14ac:dyDescent="0.3">
      <c r="B1104" s="600" t="s">
        <v>282</v>
      </c>
      <c r="C1104" s="601"/>
      <c r="D1104" s="601"/>
      <c r="E1104" s="601"/>
      <c r="F1104" s="286">
        <f>ROUND(F1075+F1081+F1084+F1098+F1103,0)</f>
        <v>64085</v>
      </c>
    </row>
    <row r="1105" spans="2:6" ht="15.75" thickBot="1" x14ac:dyDescent="0.3"/>
    <row r="1106" spans="2:6" ht="15.75" thickBot="1" x14ac:dyDescent="0.3">
      <c r="B1106" s="602" t="s">
        <v>276</v>
      </c>
      <c r="C1106" s="603"/>
      <c r="D1106" s="603"/>
      <c r="E1106" s="603"/>
      <c r="F1106" s="604"/>
    </row>
    <row r="1107" spans="2:6" ht="15.75" thickBot="1" x14ac:dyDescent="0.3">
      <c r="B1107" s="605" t="s">
        <v>104</v>
      </c>
      <c r="C1107" s="606"/>
      <c r="D1107" s="607"/>
      <c r="E1107" s="282" t="s">
        <v>105</v>
      </c>
      <c r="F1107" s="283" t="s">
        <v>103</v>
      </c>
    </row>
    <row r="1108" spans="2:6" ht="83.45" customHeight="1" thickBot="1" x14ac:dyDescent="0.3">
      <c r="B1108" s="608" t="str">
        <f>'PRESUPUESTO CALLE 58 SUR'!B32</f>
        <v>EXCAVACIÓN PARA PILAS DE 0,0 a 4,0 m de profundidad con DÍAMETRO EXTERIOR DE 1,40m, en material heterogéneo, con piedras de hasta 0.05 m³. Incluye anillos de revestimiento en concreto de 2.000 psi. con espesor de 10cm, pozo piloto de bombeo, formaleta en madera común, molinete, motobomba, extracción del material de la pila y acarreo interno y SOBREACARREO de materiales, cargue, transporte y botada del material proveniente de la excavación en botaderos oficiales o donde lo indique la interventoría  y todo lo necesario para su correcta construcción. SU MEDIDA SERA EN SITIO.</v>
      </c>
      <c r="C1108" s="609"/>
      <c r="D1108" s="610"/>
      <c r="E1108" s="449" t="str">
        <f>'PRESUPUESTO CALLE 58 SUR'!C32</f>
        <v>m</v>
      </c>
      <c r="F1108" s="448">
        <f>'PRESUPUESTO CALLE 58 SUR'!A32</f>
        <v>4.5</v>
      </c>
    </row>
    <row r="1109" spans="2:6" ht="15.75" thickBot="1" x14ac:dyDescent="0.3">
      <c r="B1109" s="250" t="s">
        <v>8</v>
      </c>
      <c r="C1109" s="251" t="s">
        <v>9</v>
      </c>
      <c r="D1109" s="252" t="s">
        <v>10</v>
      </c>
      <c r="E1109" s="253" t="s">
        <v>283</v>
      </c>
      <c r="F1109" s="254" t="s">
        <v>284</v>
      </c>
    </row>
    <row r="1110" spans="2:6" x14ac:dyDescent="0.25">
      <c r="B1110" s="594" t="s">
        <v>285</v>
      </c>
      <c r="C1110" s="595"/>
      <c r="D1110" s="595"/>
      <c r="E1110" s="595"/>
      <c r="F1110" s="596"/>
    </row>
    <row r="1111" spans="2:6" x14ac:dyDescent="0.25">
      <c r="B1111" s="255" t="str">
        <f>SUBANALISIS!A64</f>
        <v>Concr.en obra 2000 psi 3/4"</v>
      </c>
      <c r="C1111" s="256" t="s">
        <v>17</v>
      </c>
      <c r="D1111" s="257">
        <f>2*PI()*0.65*1*0.1*1.1</f>
        <v>0.44924774946334045</v>
      </c>
      <c r="E1111" s="258">
        <f>SUBANALISIS!F64</f>
        <v>533198.90610000002</v>
      </c>
      <c r="F1111" s="259">
        <f t="shared" ref="F1111:F1122" si="51">D1111*E1111</f>
        <v>239538.40858173999</v>
      </c>
    </row>
    <row r="1112" spans="2:6" ht="22.5" x14ac:dyDescent="0.25">
      <c r="B1112" s="260" t="str">
        <f>INSUMOS!B209</f>
        <v>Acero refuerzo G-60 SIN FIGURAR + transporte y descargue</v>
      </c>
      <c r="C1112" s="256" t="s">
        <v>122</v>
      </c>
      <c r="D1112" s="257">
        <v>1.1111</v>
      </c>
      <c r="E1112" s="258">
        <f>INSUMOS!D209</f>
        <v>5990</v>
      </c>
      <c r="F1112" s="259">
        <f t="shared" si="51"/>
        <v>6655.4889999999996</v>
      </c>
    </row>
    <row r="1113" spans="2:6" x14ac:dyDescent="0.25">
      <c r="B1113" s="261" t="str">
        <f>INSUMOS!B208</f>
        <v>Alambre recocido C 18</v>
      </c>
      <c r="C1113" s="256" t="s">
        <v>122</v>
      </c>
      <c r="D1113" s="257">
        <v>0.13109999999999999</v>
      </c>
      <c r="E1113" s="258">
        <f>INSUMOS!D208</f>
        <v>8687</v>
      </c>
      <c r="F1113" s="259">
        <f t="shared" si="51"/>
        <v>1138.8657000000001</v>
      </c>
    </row>
    <row r="1114" spans="2:6" x14ac:dyDescent="0.25">
      <c r="B1114" s="261" t="str">
        <f>INSUMOS!B205</f>
        <v>Clavo común x CAJA por 500 gr</v>
      </c>
      <c r="C1114" s="256" t="s">
        <v>576</v>
      </c>
      <c r="D1114" s="257">
        <v>1.7</v>
      </c>
      <c r="E1114" s="258">
        <f>INSUMOS!E205</f>
        <v>5000</v>
      </c>
      <c r="F1114" s="259">
        <f t="shared" si="51"/>
        <v>8500</v>
      </c>
    </row>
    <row r="1115" spans="2:6" ht="22.5" x14ac:dyDescent="0.25">
      <c r="B1115" s="261" t="str">
        <f>INSUMOS!B213</f>
        <v>Can Zunchado en madera común. De 3,5cm x 20 cm x 2.80m. Incluye transporte.</v>
      </c>
      <c r="C1115" s="256" t="s">
        <v>17</v>
      </c>
      <c r="D1115" s="257">
        <f>((2*PI()*0.6)/0.2)/2.8/3</f>
        <v>2.2439947525641379</v>
      </c>
      <c r="E1115" s="258">
        <f>INSUMOS!D213</f>
        <v>26180</v>
      </c>
      <c r="F1115" s="259">
        <f t="shared" si="51"/>
        <v>58747.782622129133</v>
      </c>
    </row>
    <row r="1116" spans="2:6" ht="67.5" x14ac:dyDescent="0.25">
      <c r="B1116" s="261" t="str">
        <f>INSUMOS!B214</f>
        <v>Separol o equivalente (Desmoldante para evitar adherencia de concretos a formaletas.Presentación 15Kg. Rendimiento metal :45g/m2 madera:55g/m2 (15 kg)). para metal puro, para madera diluir hasta 5 partes de agua segun porosidad de la madera.</v>
      </c>
      <c r="C1116" s="256" t="s">
        <v>17</v>
      </c>
      <c r="D1116" s="257">
        <f>2*PI()*0.6*1*55/15000*1.1</f>
        <v>1.52053084433746E-2</v>
      </c>
      <c r="E1116" s="258">
        <f>INSUMOS!D214</f>
        <v>550778</v>
      </c>
      <c r="F1116" s="259">
        <f t="shared" si="51"/>
        <v>8374.7493738249759</v>
      </c>
    </row>
    <row r="1117" spans="2:6" x14ac:dyDescent="0.25">
      <c r="B1117" s="261"/>
      <c r="C1117" s="256"/>
      <c r="D1117" s="257"/>
      <c r="E1117" s="258"/>
      <c r="F1117" s="259">
        <f t="shared" si="51"/>
        <v>0</v>
      </c>
    </row>
    <row r="1118" spans="2:6" x14ac:dyDescent="0.25">
      <c r="B1118" s="261"/>
      <c r="C1118" s="256"/>
      <c r="D1118" s="257"/>
      <c r="E1118" s="258"/>
      <c r="F1118" s="259">
        <f t="shared" si="51"/>
        <v>0</v>
      </c>
    </row>
    <row r="1119" spans="2:6" x14ac:dyDescent="0.25">
      <c r="B1119" s="261"/>
      <c r="C1119" s="256"/>
      <c r="D1119" s="257"/>
      <c r="E1119" s="258"/>
      <c r="F1119" s="259">
        <f t="shared" si="51"/>
        <v>0</v>
      </c>
    </row>
    <row r="1120" spans="2:6" x14ac:dyDescent="0.25">
      <c r="B1120" s="261"/>
      <c r="C1120" s="256"/>
      <c r="D1120" s="257"/>
      <c r="E1120" s="258"/>
      <c r="F1120" s="259">
        <f t="shared" si="51"/>
        <v>0</v>
      </c>
    </row>
    <row r="1121" spans="2:6" x14ac:dyDescent="0.25">
      <c r="B1121" s="261"/>
      <c r="C1121" s="256"/>
      <c r="D1121" s="257"/>
      <c r="E1121" s="258"/>
      <c r="F1121" s="259">
        <f t="shared" si="51"/>
        <v>0</v>
      </c>
    </row>
    <row r="1122" spans="2:6" x14ac:dyDescent="0.25">
      <c r="B1122" s="262"/>
      <c r="C1122" s="263"/>
      <c r="D1122" s="264"/>
      <c r="E1122" s="265"/>
      <c r="F1122" s="259">
        <f t="shared" si="51"/>
        <v>0</v>
      </c>
    </row>
    <row r="1123" spans="2:6" ht="15.75" thickBot="1" x14ac:dyDescent="0.3">
      <c r="B1123" s="611" t="s">
        <v>286</v>
      </c>
      <c r="C1123" s="612"/>
      <c r="D1123" s="612"/>
      <c r="E1123" s="613"/>
      <c r="F1123" s="284">
        <f>SUM(F1111:F1122)</f>
        <v>322955.29527769407</v>
      </c>
    </row>
    <row r="1124" spans="2:6" x14ac:dyDescent="0.25">
      <c r="B1124" s="594" t="s">
        <v>277</v>
      </c>
      <c r="C1124" s="595"/>
      <c r="D1124" s="595"/>
      <c r="E1124" s="595"/>
      <c r="F1124" s="596"/>
    </row>
    <row r="1125" spans="2:6" x14ac:dyDescent="0.25">
      <c r="B1125" s="266" t="str">
        <f>CUADRILLAS!A88</f>
        <v>Cuad. Exc. Plias (2pileros+1ay)</v>
      </c>
      <c r="C1125" s="267" t="s">
        <v>110</v>
      </c>
      <c r="D1125" s="268">
        <v>0.65</v>
      </c>
      <c r="E1125" s="269">
        <f>CUADRILLAS!B88</f>
        <v>420178</v>
      </c>
      <c r="F1125" s="270">
        <f>D1125*E1125</f>
        <v>273115.7</v>
      </c>
    </row>
    <row r="1126" spans="2:6" x14ac:dyDescent="0.25">
      <c r="B1126" s="266"/>
      <c r="C1126" s="267"/>
      <c r="D1126" s="268"/>
      <c r="E1126" s="269"/>
      <c r="F1126" s="270">
        <f>D1126*E1126</f>
        <v>0</v>
      </c>
    </row>
    <row r="1127" spans="2:6" x14ac:dyDescent="0.25">
      <c r="B1127" s="266"/>
      <c r="C1127" s="267"/>
      <c r="D1127" s="268"/>
      <c r="E1127" s="271"/>
      <c r="F1127" s="270">
        <f>D1127*E1127</f>
        <v>0</v>
      </c>
    </row>
    <row r="1128" spans="2:6" x14ac:dyDescent="0.25">
      <c r="B1128" s="272"/>
      <c r="C1128" s="273"/>
      <c r="D1128" s="268"/>
      <c r="E1128" s="271"/>
      <c r="F1128" s="270">
        <f>D1128*E1128</f>
        <v>0</v>
      </c>
    </row>
    <row r="1129" spans="2:6" ht="15.75" thickBot="1" x14ac:dyDescent="0.3">
      <c r="B1129" s="611" t="s">
        <v>287</v>
      </c>
      <c r="C1129" s="612"/>
      <c r="D1129" s="612"/>
      <c r="E1129" s="613"/>
      <c r="F1129" s="274">
        <f>SUM(F1125:F1128)</f>
        <v>273115.7</v>
      </c>
    </row>
    <row r="1130" spans="2:6" x14ac:dyDescent="0.25">
      <c r="B1130" s="594" t="s">
        <v>278</v>
      </c>
      <c r="C1130" s="595"/>
      <c r="D1130" s="595"/>
      <c r="E1130" s="595"/>
      <c r="F1130" s="596"/>
    </row>
    <row r="1131" spans="2:6" x14ac:dyDescent="0.25">
      <c r="B1131" s="272" t="s">
        <v>279</v>
      </c>
      <c r="C1131" s="273" t="s">
        <v>280</v>
      </c>
      <c r="D1131" s="268">
        <v>0.05</v>
      </c>
      <c r="E1131" s="271">
        <f>F1129</f>
        <v>273115.7</v>
      </c>
      <c r="F1131" s="270">
        <f>D1131*E1131</f>
        <v>13655.785000000002</v>
      </c>
    </row>
    <row r="1132" spans="2:6" ht="15.75" thickBot="1" x14ac:dyDescent="0.3">
      <c r="B1132" s="611" t="s">
        <v>288</v>
      </c>
      <c r="C1132" s="612"/>
      <c r="D1132" s="612"/>
      <c r="E1132" s="613"/>
      <c r="F1132" s="274">
        <f>SUM(F1131)</f>
        <v>13655.785000000002</v>
      </c>
    </row>
    <row r="1133" spans="2:6" x14ac:dyDescent="0.25">
      <c r="B1133" s="594" t="s">
        <v>281</v>
      </c>
      <c r="C1133" s="595"/>
      <c r="D1133" s="595"/>
      <c r="E1133" s="595"/>
      <c r="F1133" s="596"/>
    </row>
    <row r="1134" spans="2:6" ht="22.5" x14ac:dyDescent="0.25">
      <c r="B1134" s="272" t="str">
        <f>INSUMOS!B220</f>
        <v>Can zunchado en madera común de 5,0cmx20cmx3,0m (alquiler). Incluye transporte.</v>
      </c>
      <c r="C1134" s="273" t="s">
        <v>110</v>
      </c>
      <c r="D1134" s="268">
        <v>2.4</v>
      </c>
      <c r="E1134" s="271">
        <f>INSUMOS!D220</f>
        <v>750</v>
      </c>
      <c r="F1134" s="259">
        <f t="shared" ref="F1134:F1145" si="52">D1134*E1134</f>
        <v>1800</v>
      </c>
    </row>
    <row r="1135" spans="2:6" x14ac:dyDescent="0.25">
      <c r="B1135" s="272" t="str">
        <f>INSUMOS!B247</f>
        <v>Alquiler Telera 90x135 + transporte</v>
      </c>
      <c r="C1135" s="273" t="s">
        <v>110</v>
      </c>
      <c r="D1135" s="268">
        <v>1.1000000000000001</v>
      </c>
      <c r="E1135" s="271">
        <f>INSUMOS!D247</f>
        <v>1200</v>
      </c>
      <c r="F1135" s="259">
        <f t="shared" si="52"/>
        <v>1320</v>
      </c>
    </row>
    <row r="1136" spans="2:6" ht="22.5" x14ac:dyDescent="0.25">
      <c r="B1136" s="272" t="str">
        <f>INSUMOS!B294</f>
        <v>Molinete freno de mano - freno pedal y aro + Transporte</v>
      </c>
      <c r="C1136" s="273" t="s">
        <v>110</v>
      </c>
      <c r="D1136" s="268">
        <v>1.1000000000000001</v>
      </c>
      <c r="E1136" s="271">
        <f>INSUMOS!D294</f>
        <v>1716</v>
      </c>
      <c r="F1136" s="259">
        <f t="shared" si="52"/>
        <v>1887.6000000000001</v>
      </c>
    </row>
    <row r="1137" spans="2:6" x14ac:dyDescent="0.25">
      <c r="B1137" s="272" t="str">
        <f>INSUMOS!B296</f>
        <v>Manila para molinete (alquiler) 2</v>
      </c>
      <c r="C1137" s="273" t="s">
        <v>590</v>
      </c>
      <c r="D1137" s="268">
        <v>25</v>
      </c>
      <c r="E1137" s="271">
        <f>INSUMOS!D296</f>
        <v>70</v>
      </c>
      <c r="F1137" s="259">
        <f t="shared" si="52"/>
        <v>1750</v>
      </c>
    </row>
    <row r="1138" spans="2:6" x14ac:dyDescent="0.25">
      <c r="B1138" s="272" t="str">
        <f>INSUMOS!B215</f>
        <v xml:space="preserve">Motobomba Eléctrica Sumergible 2" </v>
      </c>
      <c r="C1138" s="273" t="s">
        <v>110</v>
      </c>
      <c r="D1138" s="268">
        <v>1</v>
      </c>
      <c r="E1138" s="271">
        <f>INSUMOS!F215</f>
        <v>44506</v>
      </c>
      <c r="F1138" s="259">
        <f t="shared" si="52"/>
        <v>44506</v>
      </c>
    </row>
    <row r="1139" spans="2:6" ht="22.5" x14ac:dyDescent="0.25">
      <c r="B1139" s="272" t="str">
        <f>INSUMOS!B217</f>
        <v>Manguera de succión con granada flexible 2" (26m) + transporte.</v>
      </c>
      <c r="C1139" s="273" t="s">
        <v>110</v>
      </c>
      <c r="D1139" s="268">
        <v>1.1000000000000001</v>
      </c>
      <c r="E1139" s="271">
        <f>INSUMOS!F217</f>
        <v>34034</v>
      </c>
      <c r="F1139" s="259">
        <f t="shared" si="52"/>
        <v>37437.4</v>
      </c>
    </row>
    <row r="1140" spans="2:6" x14ac:dyDescent="0.25">
      <c r="B1140" s="272" t="str">
        <f>INSUMOS!B218</f>
        <v xml:space="preserve">Extensión eléctrica encauchetada (50m) </v>
      </c>
      <c r="C1140" s="273" t="s">
        <v>110</v>
      </c>
      <c r="D1140" s="268">
        <v>1.1000000000000001</v>
      </c>
      <c r="E1140" s="271">
        <f>INSUMOS!F218</f>
        <v>9163</v>
      </c>
      <c r="F1140" s="259">
        <f t="shared" si="52"/>
        <v>10079.300000000001</v>
      </c>
    </row>
    <row r="1141" spans="2:6" x14ac:dyDescent="0.25">
      <c r="B1141" s="272"/>
      <c r="C1141" s="273"/>
      <c r="D1141" s="268"/>
      <c r="E1141" s="271"/>
      <c r="F1141" s="259">
        <f t="shared" si="52"/>
        <v>0</v>
      </c>
    </row>
    <row r="1142" spans="2:6" x14ac:dyDescent="0.25">
      <c r="B1142" s="272"/>
      <c r="C1142" s="273"/>
      <c r="D1142" s="268"/>
      <c r="E1142" s="271"/>
      <c r="F1142" s="259">
        <f t="shared" si="52"/>
        <v>0</v>
      </c>
    </row>
    <row r="1143" spans="2:6" x14ac:dyDescent="0.25">
      <c r="B1143" s="272"/>
      <c r="C1143" s="273"/>
      <c r="D1143" s="268"/>
      <c r="E1143" s="271"/>
      <c r="F1143" s="259">
        <f t="shared" si="52"/>
        <v>0</v>
      </c>
    </row>
    <row r="1144" spans="2:6" x14ac:dyDescent="0.25">
      <c r="B1144" s="272"/>
      <c r="C1144" s="273"/>
      <c r="D1144" s="268"/>
      <c r="E1144" s="271"/>
      <c r="F1144" s="259">
        <f t="shared" si="52"/>
        <v>0</v>
      </c>
    </row>
    <row r="1145" spans="2:6" x14ac:dyDescent="0.25">
      <c r="B1145" s="272"/>
      <c r="C1145" s="273"/>
      <c r="D1145" s="268"/>
      <c r="E1145" s="271"/>
      <c r="F1145" s="259">
        <f t="shared" si="52"/>
        <v>0</v>
      </c>
    </row>
    <row r="1146" spans="2:6" ht="15.75" thickBot="1" x14ac:dyDescent="0.3">
      <c r="B1146" s="611" t="s">
        <v>289</v>
      </c>
      <c r="C1146" s="612"/>
      <c r="D1146" s="612"/>
      <c r="E1146" s="613"/>
      <c r="F1146" s="274">
        <f>SUM(F1134:F1145)</f>
        <v>98780.3</v>
      </c>
    </row>
    <row r="1147" spans="2:6" x14ac:dyDescent="0.25">
      <c r="B1147" s="594" t="s">
        <v>290</v>
      </c>
      <c r="C1147" s="595"/>
      <c r="D1147" s="595"/>
      <c r="E1147" s="595"/>
      <c r="F1147" s="596"/>
    </row>
    <row r="1148" spans="2:6" x14ac:dyDescent="0.25">
      <c r="B1148" s="272" t="s">
        <v>892</v>
      </c>
      <c r="C1148" s="273" t="s">
        <v>117</v>
      </c>
      <c r="D1148" s="275">
        <f>PI()*0.7^2*1*1.3+D1111*1.84</f>
        <v>2.8278103793492444</v>
      </c>
      <c r="E1148" s="276">
        <v>1500</v>
      </c>
      <c r="F1148" s="259">
        <f>D1148*E1148</f>
        <v>4241.7155690238669</v>
      </c>
    </row>
    <row r="1149" spans="2:6" x14ac:dyDescent="0.25">
      <c r="B1149" s="277" t="str">
        <f>CUADRILLAS!A103</f>
        <v>Cargue Manual-Transporte-Botada</v>
      </c>
      <c r="C1149" s="278" t="s">
        <v>117</v>
      </c>
      <c r="D1149" s="279">
        <f>PI()*0.7^2*1.3</f>
        <v>2.0011945203366981</v>
      </c>
      <c r="E1149" s="280">
        <f>CUADRILLAS!B103</f>
        <v>58198</v>
      </c>
      <c r="F1149" s="259">
        <f>D1149*E1149</f>
        <v>116465.51869455515</v>
      </c>
    </row>
    <row r="1150" spans="2:6" x14ac:dyDescent="0.25">
      <c r="B1150" s="277"/>
      <c r="C1150" s="278"/>
      <c r="D1150" s="279"/>
      <c r="E1150" s="280"/>
      <c r="F1150" s="259">
        <f>D1150*E1150</f>
        <v>0</v>
      </c>
    </row>
    <row r="1151" spans="2:6" ht="15.75" thickBot="1" x14ac:dyDescent="0.3">
      <c r="B1151" s="611" t="s">
        <v>291</v>
      </c>
      <c r="C1151" s="612"/>
      <c r="D1151" s="612"/>
      <c r="E1151" s="613"/>
      <c r="F1151" s="285">
        <f>SUM(F1148:F1150)</f>
        <v>120707.23426357903</v>
      </c>
    </row>
    <row r="1152" spans="2:6" ht="15.75" thickBot="1" x14ac:dyDescent="0.3">
      <c r="B1152" s="600" t="s">
        <v>282</v>
      </c>
      <c r="C1152" s="601"/>
      <c r="D1152" s="601"/>
      <c r="E1152" s="601"/>
      <c r="F1152" s="499">
        <f>ROUND(F1123+F1129+F1132+F1146+F1151,0)</f>
        <v>829214</v>
      </c>
    </row>
    <row r="1153" spans="2:6" ht="15.75" thickBot="1" x14ac:dyDescent="0.3"/>
    <row r="1154" spans="2:6" ht="15.75" thickBot="1" x14ac:dyDescent="0.3">
      <c r="B1154" s="602" t="s">
        <v>276</v>
      </c>
      <c r="C1154" s="603"/>
      <c r="D1154" s="603"/>
      <c r="E1154" s="603"/>
      <c r="F1154" s="604"/>
    </row>
    <row r="1155" spans="2:6" ht="15.75" thickBot="1" x14ac:dyDescent="0.3">
      <c r="B1155" s="605" t="s">
        <v>104</v>
      </c>
      <c r="C1155" s="606"/>
      <c r="D1155" s="607"/>
      <c r="E1155" s="282" t="s">
        <v>105</v>
      </c>
      <c r="F1155" s="283" t="s">
        <v>103</v>
      </c>
    </row>
    <row r="1156" spans="2:6" ht="65.45" customHeight="1" thickBot="1" x14ac:dyDescent="0.3">
      <c r="B1156" s="608" t="str">
        <f>'PRESUPUESTO CALLE 58 SUR'!B34</f>
        <v>LLENOS EN ARENILLA Y/O MATERIAL DE PRESTAMO, compactados mecánicamente hasta obtener una densidad del 95% de la máxima obtenida en el ensayo del próctor modificado. Incluye transporte interno. Su medida será en sitio ya compactado.</v>
      </c>
      <c r="C1156" s="609"/>
      <c r="D1156" s="610"/>
      <c r="E1156" s="248" t="str">
        <f>'PRESUPUESTO CALLE 58 SUR'!C34</f>
        <v>m3</v>
      </c>
      <c r="F1156" s="448">
        <f>'PRESUPUESTO CALLE 58 SUR'!A34</f>
        <v>5.0999999999999996</v>
      </c>
    </row>
    <row r="1157" spans="2:6" ht="15.75" thickBot="1" x14ac:dyDescent="0.3">
      <c r="B1157" s="250" t="s">
        <v>8</v>
      </c>
      <c r="C1157" s="251" t="s">
        <v>9</v>
      </c>
      <c r="D1157" s="252" t="s">
        <v>10</v>
      </c>
      <c r="E1157" s="253" t="s">
        <v>283</v>
      </c>
      <c r="F1157" s="254" t="s">
        <v>284</v>
      </c>
    </row>
    <row r="1158" spans="2:6" x14ac:dyDescent="0.25">
      <c r="B1158" s="594" t="s">
        <v>285</v>
      </c>
      <c r="C1158" s="595"/>
      <c r="D1158" s="595"/>
      <c r="E1158" s="595"/>
      <c r="F1158" s="596"/>
    </row>
    <row r="1159" spans="2:6" x14ac:dyDescent="0.25">
      <c r="B1159" s="255" t="str">
        <f>SUBANALISIS!H6</f>
        <v>ARENILLA</v>
      </c>
      <c r="C1159" s="256" t="s">
        <v>117</v>
      </c>
      <c r="D1159" s="257">
        <v>1.3</v>
      </c>
      <c r="E1159" s="258">
        <f>SUBANALISIS!I6</f>
        <v>20000</v>
      </c>
      <c r="F1159" s="259">
        <f t="shared" ref="F1159:F1170" si="53">D1159*E1159</f>
        <v>26000</v>
      </c>
    </row>
    <row r="1160" spans="2:6" x14ac:dyDescent="0.25">
      <c r="B1160" s="260"/>
      <c r="C1160" s="256"/>
      <c r="D1160" s="257"/>
      <c r="E1160" s="258"/>
      <c r="F1160" s="259">
        <f t="shared" si="53"/>
        <v>0</v>
      </c>
    </row>
    <row r="1161" spans="2:6" x14ac:dyDescent="0.25">
      <c r="B1161" s="261"/>
      <c r="C1161" s="256"/>
      <c r="D1161" s="257"/>
      <c r="E1161" s="258"/>
      <c r="F1161" s="259">
        <f t="shared" si="53"/>
        <v>0</v>
      </c>
    </row>
    <row r="1162" spans="2:6" x14ac:dyDescent="0.25">
      <c r="B1162" s="261"/>
      <c r="C1162" s="256"/>
      <c r="D1162" s="257"/>
      <c r="E1162" s="258"/>
      <c r="F1162" s="259">
        <f t="shared" si="53"/>
        <v>0</v>
      </c>
    </row>
    <row r="1163" spans="2:6" x14ac:dyDescent="0.25">
      <c r="B1163" s="261"/>
      <c r="C1163" s="256"/>
      <c r="D1163" s="257"/>
      <c r="E1163" s="258"/>
      <c r="F1163" s="259">
        <f t="shared" si="53"/>
        <v>0</v>
      </c>
    </row>
    <row r="1164" spans="2:6" x14ac:dyDescent="0.25">
      <c r="B1164" s="261"/>
      <c r="C1164" s="256"/>
      <c r="D1164" s="257"/>
      <c r="E1164" s="258"/>
      <c r="F1164" s="259">
        <f t="shared" si="53"/>
        <v>0</v>
      </c>
    </row>
    <row r="1165" spans="2:6" x14ac:dyDescent="0.25">
      <c r="B1165" s="261"/>
      <c r="C1165" s="256"/>
      <c r="D1165" s="257"/>
      <c r="E1165" s="258"/>
      <c r="F1165" s="259">
        <f t="shared" si="53"/>
        <v>0</v>
      </c>
    </row>
    <row r="1166" spans="2:6" x14ac:dyDescent="0.25">
      <c r="B1166" s="261"/>
      <c r="C1166" s="256"/>
      <c r="D1166" s="257"/>
      <c r="E1166" s="258"/>
      <c r="F1166" s="259">
        <f t="shared" si="53"/>
        <v>0</v>
      </c>
    </row>
    <row r="1167" spans="2:6" x14ac:dyDescent="0.25">
      <c r="B1167" s="261"/>
      <c r="C1167" s="256"/>
      <c r="D1167" s="257"/>
      <c r="E1167" s="258"/>
      <c r="F1167" s="259">
        <f t="shared" si="53"/>
        <v>0</v>
      </c>
    </row>
    <row r="1168" spans="2:6" x14ac:dyDescent="0.25">
      <c r="B1168" s="261"/>
      <c r="C1168" s="256"/>
      <c r="D1168" s="257"/>
      <c r="E1168" s="258"/>
      <c r="F1168" s="259">
        <f t="shared" si="53"/>
        <v>0</v>
      </c>
    </row>
    <row r="1169" spans="2:6" x14ac:dyDescent="0.25">
      <c r="B1169" s="261"/>
      <c r="C1169" s="256"/>
      <c r="D1169" s="257"/>
      <c r="E1169" s="258"/>
      <c r="F1169" s="259">
        <f t="shared" si="53"/>
        <v>0</v>
      </c>
    </row>
    <row r="1170" spans="2:6" x14ac:dyDescent="0.25">
      <c r="B1170" s="262"/>
      <c r="C1170" s="263"/>
      <c r="D1170" s="264"/>
      <c r="E1170" s="265"/>
      <c r="F1170" s="259">
        <f t="shared" si="53"/>
        <v>0</v>
      </c>
    </row>
    <row r="1171" spans="2:6" ht="15.75" thickBot="1" x14ac:dyDescent="0.3">
      <c r="B1171" s="611" t="s">
        <v>286</v>
      </c>
      <c r="C1171" s="612"/>
      <c r="D1171" s="612"/>
      <c r="E1171" s="613"/>
      <c r="F1171" s="284">
        <f>SUM(F1159:F1170)</f>
        <v>26000</v>
      </c>
    </row>
    <row r="1172" spans="2:6" x14ac:dyDescent="0.25">
      <c r="B1172" s="594" t="s">
        <v>277</v>
      </c>
      <c r="C1172" s="595"/>
      <c r="D1172" s="595"/>
      <c r="E1172" s="595"/>
      <c r="F1172" s="596"/>
    </row>
    <row r="1173" spans="2:6" x14ac:dyDescent="0.25">
      <c r="B1173" s="266" t="str">
        <f>CUADRILLAS!A79</f>
        <v>Cuad. 1of + 1ay</v>
      </c>
      <c r="C1173" s="267" t="s">
        <v>117</v>
      </c>
      <c r="D1173" s="268">
        <v>0.12</v>
      </c>
      <c r="E1173" s="269">
        <f>CUADRILLAS!B79</f>
        <v>207851</v>
      </c>
      <c r="F1173" s="270">
        <f>D1173*E1173</f>
        <v>24942.12</v>
      </c>
    </row>
    <row r="1174" spans="2:6" x14ac:dyDescent="0.25">
      <c r="B1174" s="266"/>
      <c r="C1174" s="267"/>
      <c r="D1174" s="268"/>
      <c r="E1174" s="269"/>
      <c r="F1174" s="270">
        <f>D1174*E1174</f>
        <v>0</v>
      </c>
    </row>
    <row r="1175" spans="2:6" x14ac:dyDescent="0.25">
      <c r="B1175" s="266"/>
      <c r="C1175" s="267"/>
      <c r="D1175" s="268"/>
      <c r="E1175" s="271"/>
      <c r="F1175" s="270">
        <f>D1175*E1175</f>
        <v>0</v>
      </c>
    </row>
    <row r="1176" spans="2:6" x14ac:dyDescent="0.25">
      <c r="B1176" s="272"/>
      <c r="C1176" s="273"/>
      <c r="D1176" s="268"/>
      <c r="E1176" s="271"/>
      <c r="F1176" s="270">
        <f>D1176*E1176</f>
        <v>0</v>
      </c>
    </row>
    <row r="1177" spans="2:6" ht="15.75" thickBot="1" x14ac:dyDescent="0.3">
      <c r="B1177" s="611" t="s">
        <v>287</v>
      </c>
      <c r="C1177" s="612"/>
      <c r="D1177" s="612"/>
      <c r="E1177" s="613"/>
      <c r="F1177" s="274">
        <f>SUM(F1173:F1176)</f>
        <v>24942.12</v>
      </c>
    </row>
    <row r="1178" spans="2:6" x14ac:dyDescent="0.25">
      <c r="B1178" s="594" t="s">
        <v>278</v>
      </c>
      <c r="C1178" s="595"/>
      <c r="D1178" s="595"/>
      <c r="E1178" s="595"/>
      <c r="F1178" s="596"/>
    </row>
    <row r="1179" spans="2:6" x14ac:dyDescent="0.25">
      <c r="B1179" s="272" t="s">
        <v>279</v>
      </c>
      <c r="C1179" s="273" t="s">
        <v>280</v>
      </c>
      <c r="D1179" s="268">
        <v>0.05</v>
      </c>
      <c r="E1179" s="271">
        <f>F1177</f>
        <v>24942.12</v>
      </c>
      <c r="F1179" s="270">
        <f>D1179*E1179</f>
        <v>1247.106</v>
      </c>
    </row>
    <row r="1180" spans="2:6" ht="15.75" thickBot="1" x14ac:dyDescent="0.3">
      <c r="B1180" s="611" t="s">
        <v>288</v>
      </c>
      <c r="C1180" s="612"/>
      <c r="D1180" s="612"/>
      <c r="E1180" s="613"/>
      <c r="F1180" s="274">
        <f>SUM(F1179)</f>
        <v>1247.106</v>
      </c>
    </row>
    <row r="1181" spans="2:6" x14ac:dyDescent="0.25">
      <c r="B1181" s="594" t="s">
        <v>281</v>
      </c>
      <c r="C1181" s="595"/>
      <c r="D1181" s="595"/>
      <c r="E1181" s="595"/>
      <c r="F1181" s="596"/>
    </row>
    <row r="1182" spans="2:6" x14ac:dyDescent="0.25">
      <c r="B1182" s="272" t="str">
        <f>INSUMOS!B290</f>
        <v>Compactador tipo Canguro. Incluye - transporte.</v>
      </c>
      <c r="C1182" s="273" t="s">
        <v>110</v>
      </c>
      <c r="D1182" s="268">
        <v>7.0000000000000007E-2</v>
      </c>
      <c r="E1182" s="271">
        <f>INSUMOS!D290</f>
        <v>66640</v>
      </c>
      <c r="F1182" s="259">
        <f t="shared" ref="F1182:F1193" si="54">D1182*E1182</f>
        <v>4664.8</v>
      </c>
    </row>
    <row r="1183" spans="2:6" x14ac:dyDescent="0.25">
      <c r="B1183" s="272" t="str">
        <f>INSUMOS!B291</f>
        <v>Combustible equipos + transporte</v>
      </c>
      <c r="C1183" s="273" t="s">
        <v>886</v>
      </c>
      <c r="D1183" s="268">
        <v>0.2</v>
      </c>
      <c r="E1183" s="271">
        <f>INSUMOS!D291</f>
        <v>15000</v>
      </c>
      <c r="F1183" s="259">
        <f t="shared" si="54"/>
        <v>3000</v>
      </c>
    </row>
    <row r="1184" spans="2:6" x14ac:dyDescent="0.25">
      <c r="B1184" s="272"/>
      <c r="C1184" s="273"/>
      <c r="D1184" s="268"/>
      <c r="E1184" s="271"/>
      <c r="F1184" s="259">
        <f t="shared" si="54"/>
        <v>0</v>
      </c>
    </row>
    <row r="1185" spans="2:6" x14ac:dyDescent="0.25">
      <c r="B1185" s="272"/>
      <c r="C1185" s="273"/>
      <c r="D1185" s="268"/>
      <c r="E1185" s="271"/>
      <c r="F1185" s="259">
        <f t="shared" si="54"/>
        <v>0</v>
      </c>
    </row>
    <row r="1186" spans="2:6" x14ac:dyDescent="0.25">
      <c r="B1186" s="272"/>
      <c r="C1186" s="273"/>
      <c r="D1186" s="268"/>
      <c r="E1186" s="271"/>
      <c r="F1186" s="259">
        <f t="shared" si="54"/>
        <v>0</v>
      </c>
    </row>
    <row r="1187" spans="2:6" x14ac:dyDescent="0.25">
      <c r="B1187" s="272"/>
      <c r="C1187" s="273"/>
      <c r="D1187" s="268"/>
      <c r="E1187" s="271"/>
      <c r="F1187" s="259">
        <f t="shared" si="54"/>
        <v>0</v>
      </c>
    </row>
    <row r="1188" spans="2:6" x14ac:dyDescent="0.25">
      <c r="B1188" s="272"/>
      <c r="C1188" s="273"/>
      <c r="D1188" s="268"/>
      <c r="E1188" s="271"/>
      <c r="F1188" s="259">
        <f t="shared" si="54"/>
        <v>0</v>
      </c>
    </row>
    <row r="1189" spans="2:6" x14ac:dyDescent="0.25">
      <c r="B1189" s="272"/>
      <c r="C1189" s="273"/>
      <c r="D1189" s="268"/>
      <c r="E1189" s="271"/>
      <c r="F1189" s="259">
        <f t="shared" si="54"/>
        <v>0</v>
      </c>
    </row>
    <row r="1190" spans="2:6" x14ac:dyDescent="0.25">
      <c r="B1190" s="272"/>
      <c r="C1190" s="273"/>
      <c r="D1190" s="268"/>
      <c r="E1190" s="271"/>
      <c r="F1190" s="259">
        <f t="shared" si="54"/>
        <v>0</v>
      </c>
    </row>
    <row r="1191" spans="2:6" x14ac:dyDescent="0.25">
      <c r="B1191" s="272"/>
      <c r="C1191" s="273"/>
      <c r="D1191" s="268"/>
      <c r="E1191" s="271"/>
      <c r="F1191" s="259">
        <f t="shared" si="54"/>
        <v>0</v>
      </c>
    </row>
    <row r="1192" spans="2:6" x14ac:dyDescent="0.25">
      <c r="B1192" s="272"/>
      <c r="C1192" s="273"/>
      <c r="D1192" s="268"/>
      <c r="E1192" s="271"/>
      <c r="F1192" s="259">
        <f t="shared" si="54"/>
        <v>0</v>
      </c>
    </row>
    <row r="1193" spans="2:6" x14ac:dyDescent="0.25">
      <c r="B1193" s="272"/>
      <c r="C1193" s="273"/>
      <c r="D1193" s="268"/>
      <c r="E1193" s="271"/>
      <c r="F1193" s="259">
        <f t="shared" si="54"/>
        <v>0</v>
      </c>
    </row>
    <row r="1194" spans="2:6" ht="15.75" thickBot="1" x14ac:dyDescent="0.3">
      <c r="B1194" s="611" t="s">
        <v>289</v>
      </c>
      <c r="C1194" s="612"/>
      <c r="D1194" s="612"/>
      <c r="E1194" s="613"/>
      <c r="F1194" s="274">
        <f>SUM(F1182:F1193)</f>
        <v>7664.8</v>
      </c>
    </row>
    <row r="1195" spans="2:6" x14ac:dyDescent="0.25">
      <c r="B1195" s="594" t="s">
        <v>290</v>
      </c>
      <c r="C1195" s="595"/>
      <c r="D1195" s="595"/>
      <c r="E1195" s="595"/>
      <c r="F1195" s="596"/>
    </row>
    <row r="1196" spans="2:6" x14ac:dyDescent="0.25">
      <c r="B1196" s="272" t="s">
        <v>892</v>
      </c>
      <c r="C1196" s="273" t="s">
        <v>117</v>
      </c>
      <c r="D1196" s="275">
        <v>1.3</v>
      </c>
      <c r="E1196" s="276">
        <v>15000</v>
      </c>
      <c r="F1196" s="259">
        <f>D1196*E1196</f>
        <v>19500</v>
      </c>
    </row>
    <row r="1197" spans="2:6" x14ac:dyDescent="0.25">
      <c r="B1197" s="277" t="s">
        <v>976</v>
      </c>
      <c r="C1197" s="278" t="s">
        <v>117</v>
      </c>
      <c r="D1197" s="279">
        <v>1.3</v>
      </c>
      <c r="E1197" s="280">
        <f>SUBANALISIS!J1</f>
        <v>72000</v>
      </c>
      <c r="F1197" s="259">
        <f>D1197*E1197</f>
        <v>93600</v>
      </c>
    </row>
    <row r="1198" spans="2:6" x14ac:dyDescent="0.25">
      <c r="B1198" s="277"/>
      <c r="C1198" s="278"/>
      <c r="D1198" s="279"/>
      <c r="E1198" s="280"/>
      <c r="F1198" s="259">
        <f>D1198*E1198</f>
        <v>0</v>
      </c>
    </row>
    <row r="1199" spans="2:6" ht="15.75" thickBot="1" x14ac:dyDescent="0.3">
      <c r="B1199" s="611" t="s">
        <v>291</v>
      </c>
      <c r="C1199" s="612"/>
      <c r="D1199" s="612"/>
      <c r="E1199" s="613"/>
      <c r="F1199" s="285">
        <f>SUM(F1196:F1198)</f>
        <v>113100</v>
      </c>
    </row>
    <row r="1200" spans="2:6" ht="15.75" thickBot="1" x14ac:dyDescent="0.3">
      <c r="B1200" s="600" t="s">
        <v>282</v>
      </c>
      <c r="C1200" s="601"/>
      <c r="D1200" s="601"/>
      <c r="E1200" s="601"/>
      <c r="F1200" s="499">
        <f>ROUND(F1171+F1177+F1180+F1194+F1199,0)</f>
        <v>172954</v>
      </c>
    </row>
    <row r="1201" spans="2:6" ht="15.75" thickBot="1" x14ac:dyDescent="0.3"/>
    <row r="1202" spans="2:6" ht="15.75" thickBot="1" x14ac:dyDescent="0.3">
      <c r="B1202" s="602" t="str">
        <f t="shared" ref="B1202:F1211" si="55">B194</f>
        <v>ANÁLISIS DE  PRECIO UNITARIO</v>
      </c>
      <c r="C1202" s="603"/>
      <c r="D1202" s="603"/>
      <c r="E1202" s="603"/>
      <c r="F1202" s="604"/>
    </row>
    <row r="1203" spans="2:6" ht="15.75" thickBot="1" x14ac:dyDescent="0.3">
      <c r="B1203" s="605" t="str">
        <f t="shared" si="55"/>
        <v>DESCRIPCIÓN</v>
      </c>
      <c r="C1203" s="606"/>
      <c r="D1203" s="607"/>
      <c r="E1203" s="282" t="str">
        <f t="shared" si="55"/>
        <v>UNIDAD</v>
      </c>
      <c r="F1203" s="283" t="str">
        <f t="shared" si="55"/>
        <v>ÍTEM</v>
      </c>
    </row>
    <row r="1204" spans="2:6" ht="54" customHeight="1" thickBot="1" x14ac:dyDescent="0.3">
      <c r="B1204" s="608" t="str">
        <f>'PRESUPUESTO CALLE 58 SUR'!B35</f>
        <v>LLENOS EN MATERIAL ESTABILIZADO CON CEMENTO CON MATERIAL TIPO SUB-BASE GRANULAR, compactados mecánicamente. Incluye material de préstamo, 2 sacos de cemento 50 kg por cada m3, transporte interno y todo lo necesario para su correcta compactación. Y su medida será en sitio ya compactado.</v>
      </c>
      <c r="C1204" s="609"/>
      <c r="D1204" s="610"/>
      <c r="E1204" s="248" t="str">
        <f t="shared" si="55"/>
        <v>m3</v>
      </c>
      <c r="F1204" s="448">
        <f>'PRESUPUESTO CALLE 58 SUR'!A35</f>
        <v>5.2</v>
      </c>
    </row>
    <row r="1205" spans="2:6" ht="15.75" thickBot="1" x14ac:dyDescent="0.3">
      <c r="B1205" s="250" t="str">
        <f t="shared" si="55"/>
        <v>Descripción</v>
      </c>
      <c r="C1205" s="251" t="str">
        <f t="shared" si="55"/>
        <v>Unidad</v>
      </c>
      <c r="D1205" s="252" t="str">
        <f t="shared" si="55"/>
        <v>Cantidad</v>
      </c>
      <c r="E1205" s="253" t="str">
        <f t="shared" si="55"/>
        <v>V. Unt.</v>
      </c>
      <c r="F1205" s="254" t="str">
        <f t="shared" si="55"/>
        <v>V.Total</v>
      </c>
    </row>
    <row r="1206" spans="2:6" x14ac:dyDescent="0.25">
      <c r="B1206" s="594" t="str">
        <f t="shared" si="55"/>
        <v>Materiales</v>
      </c>
      <c r="C1206" s="595"/>
      <c r="D1206" s="595"/>
      <c r="E1206" s="595"/>
      <c r="F1206" s="596"/>
    </row>
    <row r="1207" spans="2:6" x14ac:dyDescent="0.25">
      <c r="B1207" s="255" t="str">
        <f t="shared" si="55"/>
        <v>SUB-BASE GRANULAR</v>
      </c>
      <c r="C1207" s="256" t="str">
        <f t="shared" si="55"/>
        <v>m3</v>
      </c>
      <c r="D1207" s="257">
        <f t="shared" si="55"/>
        <v>1.3</v>
      </c>
      <c r="E1207" s="258">
        <f t="shared" si="55"/>
        <v>74970</v>
      </c>
      <c r="F1207" s="259">
        <f t="shared" si="55"/>
        <v>97461</v>
      </c>
    </row>
    <row r="1208" spans="2:6" x14ac:dyDescent="0.25">
      <c r="B1208" s="452" t="str">
        <f t="shared" si="55"/>
        <v>Cemento 50kg</v>
      </c>
      <c r="C1208" s="256" t="str">
        <f t="shared" si="55"/>
        <v>saco</v>
      </c>
      <c r="D1208" s="257">
        <f t="shared" si="55"/>
        <v>1</v>
      </c>
      <c r="E1208" s="258">
        <f t="shared" si="55"/>
        <v>35000</v>
      </c>
      <c r="F1208" s="259">
        <f t="shared" si="55"/>
        <v>35000</v>
      </c>
    </row>
    <row r="1209" spans="2:6" x14ac:dyDescent="0.25">
      <c r="B1209" s="261"/>
      <c r="C1209" s="256"/>
      <c r="D1209" s="257"/>
      <c r="E1209" s="258"/>
      <c r="F1209" s="259">
        <f t="shared" si="55"/>
        <v>0</v>
      </c>
    </row>
    <row r="1210" spans="2:6" x14ac:dyDescent="0.25">
      <c r="B1210" s="261"/>
      <c r="C1210" s="256"/>
      <c r="D1210" s="257"/>
      <c r="E1210" s="258"/>
      <c r="F1210" s="259">
        <f t="shared" si="55"/>
        <v>0</v>
      </c>
    </row>
    <row r="1211" spans="2:6" x14ac:dyDescent="0.25">
      <c r="B1211" s="261"/>
      <c r="C1211" s="256"/>
      <c r="D1211" s="257"/>
      <c r="E1211" s="258"/>
      <c r="F1211" s="259">
        <f t="shared" si="55"/>
        <v>0</v>
      </c>
    </row>
    <row r="1212" spans="2:6" x14ac:dyDescent="0.25">
      <c r="B1212" s="261"/>
      <c r="C1212" s="256"/>
      <c r="D1212" s="257"/>
      <c r="E1212" s="258"/>
      <c r="F1212" s="259">
        <f t="shared" ref="B1212:F1221" si="56">F204</f>
        <v>0</v>
      </c>
    </row>
    <row r="1213" spans="2:6" x14ac:dyDescent="0.25">
      <c r="B1213" s="261"/>
      <c r="C1213" s="256"/>
      <c r="D1213" s="257"/>
      <c r="E1213" s="258"/>
      <c r="F1213" s="259">
        <f t="shared" si="56"/>
        <v>0</v>
      </c>
    </row>
    <row r="1214" spans="2:6" x14ac:dyDescent="0.25">
      <c r="B1214" s="261"/>
      <c r="C1214" s="256"/>
      <c r="D1214" s="257"/>
      <c r="E1214" s="258"/>
      <c r="F1214" s="259">
        <f t="shared" si="56"/>
        <v>0</v>
      </c>
    </row>
    <row r="1215" spans="2:6" x14ac:dyDescent="0.25">
      <c r="B1215" s="261"/>
      <c r="C1215" s="256"/>
      <c r="D1215" s="257"/>
      <c r="E1215" s="258"/>
      <c r="F1215" s="259">
        <f t="shared" si="56"/>
        <v>0</v>
      </c>
    </row>
    <row r="1216" spans="2:6" x14ac:dyDescent="0.25">
      <c r="B1216" s="261"/>
      <c r="C1216" s="256"/>
      <c r="D1216" s="257"/>
      <c r="E1216" s="258"/>
      <c r="F1216" s="259">
        <f t="shared" si="56"/>
        <v>0</v>
      </c>
    </row>
    <row r="1217" spans="2:6" x14ac:dyDescent="0.25">
      <c r="B1217" s="261"/>
      <c r="C1217" s="256"/>
      <c r="D1217" s="257"/>
      <c r="E1217" s="258"/>
      <c r="F1217" s="259">
        <f t="shared" si="56"/>
        <v>0</v>
      </c>
    </row>
    <row r="1218" spans="2:6" x14ac:dyDescent="0.25">
      <c r="B1218" s="262"/>
      <c r="C1218" s="263"/>
      <c r="D1218" s="264"/>
      <c r="E1218" s="265"/>
      <c r="F1218" s="259">
        <f t="shared" si="56"/>
        <v>0</v>
      </c>
    </row>
    <row r="1219" spans="2:6" ht="15.75" thickBot="1" x14ac:dyDescent="0.3">
      <c r="B1219" s="597" t="str">
        <f t="shared" si="56"/>
        <v>Sub-Total Materiales</v>
      </c>
      <c r="C1219" s="598"/>
      <c r="D1219" s="598"/>
      <c r="E1219" s="599"/>
      <c r="F1219" s="284">
        <f t="shared" si="56"/>
        <v>132461</v>
      </c>
    </row>
    <row r="1220" spans="2:6" x14ac:dyDescent="0.25">
      <c r="B1220" s="594" t="str">
        <f t="shared" si="56"/>
        <v>Mano de Obra</v>
      </c>
      <c r="C1220" s="595"/>
      <c r="D1220" s="595"/>
      <c r="E1220" s="595"/>
      <c r="F1220" s="596"/>
    </row>
    <row r="1221" spans="2:6" x14ac:dyDescent="0.25">
      <c r="B1221" s="266" t="str">
        <f t="shared" si="56"/>
        <v>Cuadrilla Exc y Llenos. (1ayE + 2ay)</v>
      </c>
      <c r="C1221" s="267" t="str">
        <f t="shared" si="56"/>
        <v>día</v>
      </c>
      <c r="D1221" s="268">
        <f t="shared" si="56"/>
        <v>0.12</v>
      </c>
      <c r="E1221" s="269">
        <f t="shared" si="56"/>
        <v>215672</v>
      </c>
      <c r="F1221" s="270">
        <f t="shared" si="56"/>
        <v>25880.639999999999</v>
      </c>
    </row>
    <row r="1222" spans="2:6" x14ac:dyDescent="0.25">
      <c r="B1222" s="266"/>
      <c r="C1222" s="267"/>
      <c r="D1222" s="268"/>
      <c r="E1222" s="269"/>
      <c r="F1222" s="270">
        <f t="shared" ref="B1222:F1231" si="57">F214</f>
        <v>0</v>
      </c>
    </row>
    <row r="1223" spans="2:6" x14ac:dyDescent="0.25">
      <c r="B1223" s="266"/>
      <c r="C1223" s="267"/>
      <c r="D1223" s="268"/>
      <c r="E1223" s="271"/>
      <c r="F1223" s="270">
        <f t="shared" si="57"/>
        <v>0</v>
      </c>
    </row>
    <row r="1224" spans="2:6" x14ac:dyDescent="0.25">
      <c r="B1224" s="272"/>
      <c r="C1224" s="273"/>
      <c r="D1224" s="268"/>
      <c r="E1224" s="271"/>
      <c r="F1224" s="270">
        <f t="shared" si="57"/>
        <v>0</v>
      </c>
    </row>
    <row r="1225" spans="2:6" ht="15.75" thickBot="1" x14ac:dyDescent="0.3">
      <c r="B1225" s="597" t="str">
        <f t="shared" si="57"/>
        <v>Su-Total de Mano de Obra</v>
      </c>
      <c r="C1225" s="598"/>
      <c r="D1225" s="598"/>
      <c r="E1225" s="599"/>
      <c r="F1225" s="274">
        <f t="shared" si="57"/>
        <v>25880.639999999999</v>
      </c>
    </row>
    <row r="1226" spans="2:6" x14ac:dyDescent="0.25">
      <c r="B1226" s="594" t="str">
        <f t="shared" si="57"/>
        <v>Herramienta</v>
      </c>
      <c r="C1226" s="595"/>
      <c r="D1226" s="595"/>
      <c r="E1226" s="595"/>
      <c r="F1226" s="596"/>
    </row>
    <row r="1227" spans="2:6" x14ac:dyDescent="0.25">
      <c r="B1227" s="272" t="str">
        <f t="shared" si="57"/>
        <v>Herramienta menor</v>
      </c>
      <c r="C1227" s="273" t="str">
        <f t="shared" si="57"/>
        <v>(%)mo</v>
      </c>
      <c r="D1227" s="268">
        <f t="shared" si="57"/>
        <v>0.05</v>
      </c>
      <c r="E1227" s="271">
        <f t="shared" si="57"/>
        <v>25880.639999999999</v>
      </c>
      <c r="F1227" s="270">
        <f t="shared" si="57"/>
        <v>1294.0320000000002</v>
      </c>
    </row>
    <row r="1228" spans="2:6" ht="15.75" thickBot="1" x14ac:dyDescent="0.3">
      <c r="B1228" s="597" t="str">
        <f t="shared" si="57"/>
        <v>Sub-Total de Herramienta</v>
      </c>
      <c r="C1228" s="598"/>
      <c r="D1228" s="598"/>
      <c r="E1228" s="599"/>
      <c r="F1228" s="274">
        <f t="shared" si="57"/>
        <v>1294.0320000000002</v>
      </c>
    </row>
    <row r="1229" spans="2:6" x14ac:dyDescent="0.25">
      <c r="B1229" s="594" t="str">
        <f t="shared" si="57"/>
        <v>Equipo</v>
      </c>
      <c r="C1229" s="595"/>
      <c r="D1229" s="595"/>
      <c r="E1229" s="595"/>
      <c r="F1229" s="596"/>
    </row>
    <row r="1230" spans="2:6" x14ac:dyDescent="0.25">
      <c r="B1230" s="272" t="str">
        <f t="shared" si="57"/>
        <v>Retroexcavadora sobre llantas New Holland LB75</v>
      </c>
      <c r="C1230" s="273" t="str">
        <f t="shared" si="57"/>
        <v>hr</v>
      </c>
      <c r="D1230" s="268">
        <f t="shared" si="57"/>
        <v>0.05</v>
      </c>
      <c r="E1230" s="271">
        <f t="shared" si="57"/>
        <v>95000</v>
      </c>
      <c r="F1230" s="259">
        <f t="shared" si="57"/>
        <v>4750</v>
      </c>
    </row>
    <row r="1231" spans="2:6" ht="20.45" customHeight="1" x14ac:dyDescent="0.25">
      <c r="B1231" s="272" t="str">
        <f t="shared" si="57"/>
        <v>Compactador tipo Canguro. Incluye operador, combustible y transporte.</v>
      </c>
      <c r="C1231" s="273" t="str">
        <f t="shared" si="57"/>
        <v>hr</v>
      </c>
      <c r="D1231" s="268">
        <f t="shared" si="57"/>
        <v>0.15</v>
      </c>
      <c r="E1231" s="271">
        <f t="shared" si="57"/>
        <v>146590</v>
      </c>
      <c r="F1231" s="259">
        <f t="shared" si="57"/>
        <v>21988.5</v>
      </c>
    </row>
    <row r="1232" spans="2:6" x14ac:dyDescent="0.25">
      <c r="B1232" s="272" t="str">
        <f t="shared" ref="B1232:F1241" si="58">B224</f>
        <v>Rana Compactadora + Transporte</v>
      </c>
      <c r="C1232" s="273" t="str">
        <f t="shared" si="58"/>
        <v>día</v>
      </c>
      <c r="D1232" s="268">
        <f t="shared" si="58"/>
        <v>9.8000000000000004E-2</v>
      </c>
      <c r="E1232" s="271">
        <f t="shared" si="58"/>
        <v>44900</v>
      </c>
      <c r="F1232" s="259">
        <f t="shared" si="58"/>
        <v>0</v>
      </c>
    </row>
    <row r="1233" spans="2:6" x14ac:dyDescent="0.25">
      <c r="B1233" s="272"/>
      <c r="C1233" s="273"/>
      <c r="D1233" s="268"/>
      <c r="E1233" s="271"/>
      <c r="F1233" s="259">
        <f t="shared" si="58"/>
        <v>0</v>
      </c>
    </row>
    <row r="1234" spans="2:6" x14ac:dyDescent="0.25">
      <c r="B1234" s="272"/>
      <c r="C1234" s="273"/>
      <c r="D1234" s="268"/>
      <c r="E1234" s="271"/>
      <c r="F1234" s="259">
        <f t="shared" si="58"/>
        <v>0</v>
      </c>
    </row>
    <row r="1235" spans="2:6" x14ac:dyDescent="0.25">
      <c r="B1235" s="272"/>
      <c r="C1235" s="273"/>
      <c r="D1235" s="268"/>
      <c r="E1235" s="271"/>
      <c r="F1235" s="259">
        <f t="shared" si="58"/>
        <v>0</v>
      </c>
    </row>
    <row r="1236" spans="2:6" x14ac:dyDescent="0.25">
      <c r="B1236" s="272"/>
      <c r="C1236" s="273"/>
      <c r="D1236" s="268"/>
      <c r="E1236" s="271"/>
      <c r="F1236" s="259">
        <f t="shared" si="58"/>
        <v>0</v>
      </c>
    </row>
    <row r="1237" spans="2:6" x14ac:dyDescent="0.25">
      <c r="B1237" s="272"/>
      <c r="C1237" s="273"/>
      <c r="D1237" s="268"/>
      <c r="E1237" s="271"/>
      <c r="F1237" s="259">
        <f t="shared" si="58"/>
        <v>0</v>
      </c>
    </row>
    <row r="1238" spans="2:6" x14ac:dyDescent="0.25">
      <c r="B1238" s="272"/>
      <c r="C1238" s="273"/>
      <c r="D1238" s="268"/>
      <c r="E1238" s="271"/>
      <c r="F1238" s="259">
        <f t="shared" si="58"/>
        <v>0</v>
      </c>
    </row>
    <row r="1239" spans="2:6" x14ac:dyDescent="0.25">
      <c r="B1239" s="272"/>
      <c r="C1239" s="273"/>
      <c r="D1239" s="268"/>
      <c r="E1239" s="271"/>
      <c r="F1239" s="259">
        <f t="shared" si="58"/>
        <v>0</v>
      </c>
    </row>
    <row r="1240" spans="2:6" x14ac:dyDescent="0.25">
      <c r="B1240" s="272"/>
      <c r="C1240" s="273"/>
      <c r="D1240" s="268"/>
      <c r="E1240" s="271"/>
      <c r="F1240" s="259">
        <f t="shared" si="58"/>
        <v>0</v>
      </c>
    </row>
    <row r="1241" spans="2:6" x14ac:dyDescent="0.25">
      <c r="B1241" s="272"/>
      <c r="C1241" s="273"/>
      <c r="D1241" s="268"/>
      <c r="E1241" s="271"/>
      <c r="F1241" s="259">
        <f t="shared" si="58"/>
        <v>0</v>
      </c>
    </row>
    <row r="1242" spans="2:6" ht="15.75" thickBot="1" x14ac:dyDescent="0.3">
      <c r="B1242" s="597" t="str">
        <f t="shared" ref="B1242:F1248" si="59">B234</f>
        <v>Sub-Total de Equipo</v>
      </c>
      <c r="C1242" s="598"/>
      <c r="D1242" s="598"/>
      <c r="E1242" s="599"/>
      <c r="F1242" s="274">
        <f t="shared" si="59"/>
        <v>26738.5</v>
      </c>
    </row>
    <row r="1243" spans="2:6" x14ac:dyDescent="0.25">
      <c r="B1243" s="594" t="str">
        <f t="shared" si="59"/>
        <v>Auxiliares - Transportes</v>
      </c>
      <c r="C1243" s="595"/>
      <c r="D1243" s="595"/>
      <c r="E1243" s="595"/>
      <c r="F1243" s="596"/>
    </row>
    <row r="1244" spans="2:6" x14ac:dyDescent="0.25">
      <c r="B1244" s="272" t="str">
        <f t="shared" si="59"/>
        <v>Transporte Interno</v>
      </c>
      <c r="C1244" s="273" t="str">
        <f t="shared" si="59"/>
        <v>m3</v>
      </c>
      <c r="D1244" s="275">
        <f t="shared" si="59"/>
        <v>1.3</v>
      </c>
      <c r="E1244" s="276">
        <f t="shared" si="59"/>
        <v>15000</v>
      </c>
      <c r="F1244" s="259">
        <f t="shared" si="59"/>
        <v>19500</v>
      </c>
    </row>
    <row r="1245" spans="2:6" x14ac:dyDescent="0.25">
      <c r="B1245" s="277" t="str">
        <f t="shared" si="59"/>
        <v>Trasnporte externo</v>
      </c>
      <c r="C1245" s="278" t="str">
        <f t="shared" si="59"/>
        <v>m3</v>
      </c>
      <c r="D1245" s="279">
        <f t="shared" si="59"/>
        <v>1.3</v>
      </c>
      <c r="E1245" s="280">
        <f>SUBANALISIS!J1</f>
        <v>72000</v>
      </c>
      <c r="F1245" s="259">
        <f t="shared" si="59"/>
        <v>93600</v>
      </c>
    </row>
    <row r="1246" spans="2:6" x14ac:dyDescent="0.25">
      <c r="B1246" s="277"/>
      <c r="C1246" s="278"/>
      <c r="D1246" s="279"/>
      <c r="E1246" s="280"/>
      <c r="F1246" s="259">
        <f t="shared" si="59"/>
        <v>0</v>
      </c>
    </row>
    <row r="1247" spans="2:6" ht="15.75" thickBot="1" x14ac:dyDescent="0.3">
      <c r="B1247" s="597" t="str">
        <f t="shared" si="59"/>
        <v>Sub-Total Auxiliares-Transportes</v>
      </c>
      <c r="C1247" s="598"/>
      <c r="D1247" s="598"/>
      <c r="E1247" s="599"/>
      <c r="F1247" s="285">
        <f t="shared" si="59"/>
        <v>113100</v>
      </c>
    </row>
    <row r="1248" spans="2:6" ht="15.75" thickBot="1" x14ac:dyDescent="0.3">
      <c r="B1248" s="600" t="str">
        <f t="shared" si="59"/>
        <v>Costo Directo</v>
      </c>
      <c r="C1248" s="601"/>
      <c r="D1248" s="601"/>
      <c r="E1248" s="601"/>
      <c r="F1248" s="499">
        <f t="shared" si="59"/>
        <v>299474</v>
      </c>
    </row>
    <row r="1249" spans="2:6" ht="15.75" thickBot="1" x14ac:dyDescent="0.3"/>
    <row r="1250" spans="2:6" ht="15.75" thickBot="1" x14ac:dyDescent="0.3">
      <c r="B1250" s="602" t="s">
        <v>276</v>
      </c>
      <c r="C1250" s="603"/>
      <c r="D1250" s="603"/>
      <c r="E1250" s="603"/>
      <c r="F1250" s="604"/>
    </row>
    <row r="1251" spans="2:6" ht="15.75" thickBot="1" x14ac:dyDescent="0.3">
      <c r="B1251" s="605" t="s">
        <v>104</v>
      </c>
      <c r="C1251" s="606"/>
      <c r="D1251" s="607"/>
      <c r="E1251" s="282" t="s">
        <v>105</v>
      </c>
      <c r="F1251" s="283" t="s">
        <v>103</v>
      </c>
    </row>
    <row r="1252" spans="2:6" ht="64.900000000000006" customHeight="1" thickBot="1" x14ac:dyDescent="0.3">
      <c r="B1252" s="608" t="str">
        <f>'PRESUPUESTO CALLE 58 SUR'!B37</f>
        <v>CARGUE MANUAL y/o MECÁNICO,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
      <c r="C1252" s="609"/>
      <c r="D1252" s="610"/>
      <c r="E1252" s="449" t="str">
        <f>'PRESUPUESTO CALLE 58 SUR'!C37</f>
        <v>m3</v>
      </c>
      <c r="F1252" s="448">
        <f>'PRESUPUESTO CALLE 58 SUR'!A37</f>
        <v>6.1</v>
      </c>
    </row>
    <row r="1253" spans="2:6" ht="15.75" thickBot="1" x14ac:dyDescent="0.3">
      <c r="B1253" s="250" t="s">
        <v>8</v>
      </c>
      <c r="C1253" s="251" t="s">
        <v>9</v>
      </c>
      <c r="D1253" s="252" t="s">
        <v>10</v>
      </c>
      <c r="E1253" s="253" t="s">
        <v>283</v>
      </c>
      <c r="F1253" s="254" t="s">
        <v>284</v>
      </c>
    </row>
    <row r="1254" spans="2:6" x14ac:dyDescent="0.25">
      <c r="B1254" s="594" t="s">
        <v>285</v>
      </c>
      <c r="C1254" s="595"/>
      <c r="D1254" s="595"/>
      <c r="E1254" s="595"/>
      <c r="F1254" s="596"/>
    </row>
    <row r="1255" spans="2:6" x14ac:dyDescent="0.25">
      <c r="B1255" s="255"/>
      <c r="C1255" s="256"/>
      <c r="D1255" s="257"/>
      <c r="E1255" s="258"/>
      <c r="F1255" s="259">
        <f t="shared" ref="F1255:F1266" si="60">D1255*E1255</f>
        <v>0</v>
      </c>
    </row>
    <row r="1256" spans="2:6" x14ac:dyDescent="0.25">
      <c r="B1256" s="260"/>
      <c r="C1256" s="256"/>
      <c r="D1256" s="257"/>
      <c r="E1256" s="258"/>
      <c r="F1256" s="259">
        <f t="shared" si="60"/>
        <v>0</v>
      </c>
    </row>
    <row r="1257" spans="2:6" x14ac:dyDescent="0.25">
      <c r="B1257" s="261"/>
      <c r="C1257" s="256"/>
      <c r="D1257" s="257"/>
      <c r="E1257" s="258"/>
      <c r="F1257" s="259">
        <f t="shared" si="60"/>
        <v>0</v>
      </c>
    </row>
    <row r="1258" spans="2:6" x14ac:dyDescent="0.25">
      <c r="B1258" s="261"/>
      <c r="C1258" s="256"/>
      <c r="D1258" s="257"/>
      <c r="E1258" s="258"/>
      <c r="F1258" s="259">
        <f t="shared" si="60"/>
        <v>0</v>
      </c>
    </row>
    <row r="1259" spans="2:6" x14ac:dyDescent="0.25">
      <c r="B1259" s="261"/>
      <c r="C1259" s="256"/>
      <c r="D1259" s="257"/>
      <c r="E1259" s="258"/>
      <c r="F1259" s="259">
        <f t="shared" si="60"/>
        <v>0</v>
      </c>
    </row>
    <row r="1260" spans="2:6" x14ac:dyDescent="0.25">
      <c r="B1260" s="261"/>
      <c r="C1260" s="256"/>
      <c r="D1260" s="257"/>
      <c r="E1260" s="258"/>
      <c r="F1260" s="259">
        <f t="shared" si="60"/>
        <v>0</v>
      </c>
    </row>
    <row r="1261" spans="2:6" x14ac:dyDescent="0.25">
      <c r="B1261" s="261"/>
      <c r="C1261" s="256"/>
      <c r="D1261" s="257"/>
      <c r="E1261" s="258"/>
      <c r="F1261" s="259">
        <f t="shared" si="60"/>
        <v>0</v>
      </c>
    </row>
    <row r="1262" spans="2:6" x14ac:dyDescent="0.25">
      <c r="B1262" s="261"/>
      <c r="C1262" s="256"/>
      <c r="D1262" s="257"/>
      <c r="E1262" s="258"/>
      <c r="F1262" s="259">
        <f t="shared" si="60"/>
        <v>0</v>
      </c>
    </row>
    <row r="1263" spans="2:6" x14ac:dyDescent="0.25">
      <c r="B1263" s="261"/>
      <c r="C1263" s="256"/>
      <c r="D1263" s="257"/>
      <c r="E1263" s="258"/>
      <c r="F1263" s="259">
        <f t="shared" si="60"/>
        <v>0</v>
      </c>
    </row>
    <row r="1264" spans="2:6" x14ac:dyDescent="0.25">
      <c r="B1264" s="261"/>
      <c r="C1264" s="256"/>
      <c r="D1264" s="257"/>
      <c r="E1264" s="258"/>
      <c r="F1264" s="259">
        <f t="shared" si="60"/>
        <v>0</v>
      </c>
    </row>
    <row r="1265" spans="2:6" x14ac:dyDescent="0.25">
      <c r="B1265" s="261"/>
      <c r="C1265" s="256"/>
      <c r="D1265" s="257"/>
      <c r="E1265" s="258"/>
      <c r="F1265" s="259">
        <f t="shared" si="60"/>
        <v>0</v>
      </c>
    </row>
    <row r="1266" spans="2:6" x14ac:dyDescent="0.25">
      <c r="B1266" s="262"/>
      <c r="C1266" s="263"/>
      <c r="D1266" s="264"/>
      <c r="E1266" s="265"/>
      <c r="F1266" s="259">
        <f t="shared" si="60"/>
        <v>0</v>
      </c>
    </row>
    <row r="1267" spans="2:6" ht="15.75" thickBot="1" x14ac:dyDescent="0.3">
      <c r="B1267" s="611" t="s">
        <v>286</v>
      </c>
      <c r="C1267" s="612"/>
      <c r="D1267" s="612"/>
      <c r="E1267" s="613"/>
      <c r="F1267" s="284">
        <f>SUM(F1255:F1266)</f>
        <v>0</v>
      </c>
    </row>
    <row r="1268" spans="2:6" x14ac:dyDescent="0.25">
      <c r="B1268" s="594" t="s">
        <v>277</v>
      </c>
      <c r="C1268" s="595"/>
      <c r="D1268" s="595"/>
      <c r="E1268" s="595"/>
      <c r="F1268" s="596"/>
    </row>
    <row r="1269" spans="2:6" x14ac:dyDescent="0.25">
      <c r="B1269" s="266" t="str">
        <f>CUADRILLAS!A82</f>
        <v>Cuadrilla Cargue Paleros - 2Ayu.</v>
      </c>
      <c r="C1269" s="267" t="s">
        <v>110</v>
      </c>
      <c r="D1269" s="268">
        <v>0.1</v>
      </c>
      <c r="E1269" s="269">
        <f>CUADRILLAS!B82</f>
        <v>141572</v>
      </c>
      <c r="F1269" s="270">
        <f>D1269*E1269</f>
        <v>14157.2</v>
      </c>
    </row>
    <row r="1270" spans="2:6" x14ac:dyDescent="0.25">
      <c r="B1270" s="266"/>
      <c r="C1270" s="267"/>
      <c r="D1270" s="268"/>
      <c r="E1270" s="269"/>
      <c r="F1270" s="270">
        <f>D1270*E1270</f>
        <v>0</v>
      </c>
    </row>
    <row r="1271" spans="2:6" x14ac:dyDescent="0.25">
      <c r="B1271" s="266"/>
      <c r="C1271" s="267"/>
      <c r="D1271" s="268"/>
      <c r="E1271" s="271"/>
      <c r="F1271" s="270">
        <f>D1271*E1271</f>
        <v>0</v>
      </c>
    </row>
    <row r="1272" spans="2:6" x14ac:dyDescent="0.25">
      <c r="B1272" s="272"/>
      <c r="C1272" s="273"/>
      <c r="D1272" s="268"/>
      <c r="E1272" s="271"/>
      <c r="F1272" s="270">
        <f>D1272*E1272</f>
        <v>0</v>
      </c>
    </row>
    <row r="1273" spans="2:6" ht="15.75" thickBot="1" x14ac:dyDescent="0.3">
      <c r="B1273" s="611" t="s">
        <v>287</v>
      </c>
      <c r="C1273" s="612"/>
      <c r="D1273" s="612"/>
      <c r="E1273" s="613"/>
      <c r="F1273" s="274">
        <f>SUM(F1269:F1272)</f>
        <v>14157.2</v>
      </c>
    </row>
    <row r="1274" spans="2:6" x14ac:dyDescent="0.25">
      <c r="B1274" s="594" t="s">
        <v>278</v>
      </c>
      <c r="C1274" s="595"/>
      <c r="D1274" s="595"/>
      <c r="E1274" s="595"/>
      <c r="F1274" s="596"/>
    </row>
    <row r="1275" spans="2:6" x14ac:dyDescent="0.25">
      <c r="B1275" s="272" t="s">
        <v>279</v>
      </c>
      <c r="C1275" s="273" t="s">
        <v>280</v>
      </c>
      <c r="D1275" s="268">
        <v>0.05</v>
      </c>
      <c r="E1275" s="271">
        <f>F1273</f>
        <v>14157.2</v>
      </c>
      <c r="F1275" s="270">
        <f>D1275*E1275</f>
        <v>707.86000000000013</v>
      </c>
    </row>
    <row r="1276" spans="2:6" ht="15.75" thickBot="1" x14ac:dyDescent="0.3">
      <c r="B1276" s="611" t="s">
        <v>288</v>
      </c>
      <c r="C1276" s="612"/>
      <c r="D1276" s="612"/>
      <c r="E1276" s="613"/>
      <c r="F1276" s="274">
        <f>SUM(F1275)</f>
        <v>707.86000000000013</v>
      </c>
    </row>
    <row r="1277" spans="2:6" x14ac:dyDescent="0.25">
      <c r="B1277" s="594" t="s">
        <v>281</v>
      </c>
      <c r="C1277" s="595"/>
      <c r="D1277" s="595"/>
      <c r="E1277" s="595"/>
      <c r="F1277" s="596"/>
    </row>
    <row r="1278" spans="2:6" x14ac:dyDescent="0.25">
      <c r="B1278" s="272"/>
      <c r="C1278" s="273"/>
      <c r="D1278" s="268"/>
      <c r="E1278" s="271"/>
      <c r="F1278" s="259">
        <f t="shared" ref="F1278:F1289" si="61">D1278*E1278</f>
        <v>0</v>
      </c>
    </row>
    <row r="1279" spans="2:6" x14ac:dyDescent="0.25">
      <c r="B1279" s="272"/>
      <c r="C1279" s="273"/>
      <c r="D1279" s="268"/>
      <c r="E1279" s="271"/>
      <c r="F1279" s="259">
        <f t="shared" si="61"/>
        <v>0</v>
      </c>
    </row>
    <row r="1280" spans="2:6" x14ac:dyDescent="0.25">
      <c r="B1280" s="272"/>
      <c r="C1280" s="273"/>
      <c r="D1280" s="268"/>
      <c r="E1280" s="271"/>
      <c r="F1280" s="259">
        <f t="shared" si="61"/>
        <v>0</v>
      </c>
    </row>
    <row r="1281" spans="2:8" x14ac:dyDescent="0.25">
      <c r="B1281" s="272"/>
      <c r="C1281" s="273"/>
      <c r="D1281" s="268"/>
      <c r="E1281" s="271"/>
      <c r="F1281" s="259">
        <f t="shared" si="61"/>
        <v>0</v>
      </c>
    </row>
    <row r="1282" spans="2:8" x14ac:dyDescent="0.25">
      <c r="B1282" s="272"/>
      <c r="C1282" s="273"/>
      <c r="D1282" s="268"/>
      <c r="E1282" s="271"/>
      <c r="F1282" s="259">
        <f t="shared" si="61"/>
        <v>0</v>
      </c>
    </row>
    <row r="1283" spans="2:8" x14ac:dyDescent="0.25">
      <c r="B1283" s="272"/>
      <c r="C1283" s="273"/>
      <c r="D1283" s="268"/>
      <c r="E1283" s="271"/>
      <c r="F1283" s="259">
        <f t="shared" si="61"/>
        <v>0</v>
      </c>
    </row>
    <row r="1284" spans="2:8" x14ac:dyDescent="0.25">
      <c r="B1284" s="272"/>
      <c r="C1284" s="273"/>
      <c r="D1284" s="268"/>
      <c r="E1284" s="271"/>
      <c r="F1284" s="259">
        <f t="shared" si="61"/>
        <v>0</v>
      </c>
    </row>
    <row r="1285" spans="2:8" x14ac:dyDescent="0.25">
      <c r="B1285" s="272"/>
      <c r="C1285" s="273"/>
      <c r="D1285" s="268"/>
      <c r="E1285" s="271"/>
      <c r="F1285" s="259">
        <f t="shared" si="61"/>
        <v>0</v>
      </c>
    </row>
    <row r="1286" spans="2:8" x14ac:dyDescent="0.25">
      <c r="B1286" s="272"/>
      <c r="C1286" s="273"/>
      <c r="D1286" s="268"/>
      <c r="E1286" s="271"/>
      <c r="F1286" s="259">
        <f t="shared" si="61"/>
        <v>0</v>
      </c>
    </row>
    <row r="1287" spans="2:8" x14ac:dyDescent="0.25">
      <c r="B1287" s="272"/>
      <c r="C1287" s="273"/>
      <c r="D1287" s="268"/>
      <c r="E1287" s="271"/>
      <c r="F1287" s="259">
        <f t="shared" si="61"/>
        <v>0</v>
      </c>
    </row>
    <row r="1288" spans="2:8" x14ac:dyDescent="0.25">
      <c r="B1288" s="272"/>
      <c r="C1288" s="273"/>
      <c r="D1288" s="268"/>
      <c r="E1288" s="271"/>
      <c r="F1288" s="259">
        <f t="shared" si="61"/>
        <v>0</v>
      </c>
    </row>
    <row r="1289" spans="2:8" x14ac:dyDescent="0.25">
      <c r="B1289" s="272"/>
      <c r="C1289" s="273"/>
      <c r="D1289" s="268"/>
      <c r="E1289" s="271"/>
      <c r="F1289" s="259">
        <f t="shared" si="61"/>
        <v>0</v>
      </c>
    </row>
    <row r="1290" spans="2:8" ht="15.75" thickBot="1" x14ac:dyDescent="0.3">
      <c r="B1290" s="611" t="s">
        <v>289</v>
      </c>
      <c r="C1290" s="612"/>
      <c r="D1290" s="612"/>
      <c r="E1290" s="613"/>
      <c r="F1290" s="274">
        <f>SUM(F1278:F1289)</f>
        <v>0</v>
      </c>
    </row>
    <row r="1291" spans="2:8" x14ac:dyDescent="0.25">
      <c r="B1291" s="594" t="s">
        <v>290</v>
      </c>
      <c r="C1291" s="595"/>
      <c r="D1291" s="595"/>
      <c r="E1291" s="595"/>
      <c r="F1291" s="596"/>
    </row>
    <row r="1292" spans="2:8" x14ac:dyDescent="0.25">
      <c r="B1292" s="272" t="str">
        <f>INSUMOS!B293</f>
        <v>Transporte material y derechos de botadero.</v>
      </c>
      <c r="C1292" s="273" t="s">
        <v>117</v>
      </c>
      <c r="D1292" s="275">
        <v>1</v>
      </c>
      <c r="E1292" s="276">
        <v>43332.901280231934</v>
      </c>
      <c r="F1292" s="259">
        <f>D1292*E1292</f>
        <v>43332.901280231934</v>
      </c>
    </row>
    <row r="1293" spans="2:8" x14ac:dyDescent="0.25">
      <c r="B1293" s="277"/>
      <c r="C1293" s="278"/>
      <c r="D1293" s="279"/>
      <c r="E1293" s="280"/>
      <c r="F1293" s="259">
        <f>D1293*E1293</f>
        <v>0</v>
      </c>
    </row>
    <row r="1294" spans="2:8" x14ac:dyDescent="0.25">
      <c r="B1294" s="277"/>
      <c r="C1294" s="278"/>
      <c r="D1294" s="279"/>
      <c r="E1294" s="280"/>
      <c r="F1294" s="259">
        <f>D1294*E1294</f>
        <v>0</v>
      </c>
    </row>
    <row r="1295" spans="2:8" ht="15.75" thickBot="1" x14ac:dyDescent="0.3">
      <c r="B1295" s="611" t="s">
        <v>291</v>
      </c>
      <c r="C1295" s="612"/>
      <c r="D1295" s="612"/>
      <c r="E1295" s="613"/>
      <c r="F1295" s="285">
        <f>SUM(F1292:F1294)</f>
        <v>43332.901280231934</v>
      </c>
      <c r="H1295" s="502"/>
    </row>
    <row r="1296" spans="2:8" ht="15.75" thickBot="1" x14ac:dyDescent="0.3">
      <c r="B1296" s="600" t="s">
        <v>282</v>
      </c>
      <c r="C1296" s="601"/>
      <c r="D1296" s="601"/>
      <c r="E1296" s="601"/>
      <c r="F1296" s="286">
        <f>ROUND(F1267+F1273+F1276+F1290+F1295,0)</f>
        <v>58198</v>
      </c>
      <c r="H1296" s="502"/>
    </row>
    <row r="1297" spans="2:6" ht="15.75" thickBot="1" x14ac:dyDescent="0.3"/>
    <row r="1298" spans="2:6" ht="15.75" thickBot="1" x14ac:dyDescent="0.3">
      <c r="B1298" s="602" t="s">
        <v>276</v>
      </c>
      <c r="C1298" s="603"/>
      <c r="D1298" s="603"/>
      <c r="E1298" s="603"/>
      <c r="F1298" s="604"/>
    </row>
    <row r="1299" spans="2:6" ht="15.75" thickBot="1" x14ac:dyDescent="0.3">
      <c r="B1299" s="605" t="s">
        <v>104</v>
      </c>
      <c r="C1299" s="606"/>
      <c r="D1299" s="607"/>
      <c r="E1299" s="282" t="s">
        <v>105</v>
      </c>
      <c r="F1299" s="283" t="s">
        <v>103</v>
      </c>
    </row>
    <row r="1300" spans="2:6" ht="60.6" customHeight="1" thickBot="1" x14ac:dyDescent="0.3">
      <c r="B1300" s="608" t="str">
        <f>'PRESUPUESTO CALLE 58 SUR'!B39</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1300" s="609"/>
      <c r="D1300" s="610"/>
      <c r="E1300" s="449" t="str">
        <f>'PRESUPUESTO CALLE 58 SUR'!C39</f>
        <v>kg</v>
      </c>
      <c r="F1300" s="448">
        <f>'PRESUPUESTO CALLE 58 SUR'!A39</f>
        <v>7.1</v>
      </c>
    </row>
    <row r="1301" spans="2:6" ht="15.75" thickBot="1" x14ac:dyDescent="0.3">
      <c r="B1301" s="250" t="s">
        <v>8</v>
      </c>
      <c r="C1301" s="251" t="s">
        <v>9</v>
      </c>
      <c r="D1301" s="252" t="s">
        <v>10</v>
      </c>
      <c r="E1301" s="253" t="s">
        <v>283</v>
      </c>
      <c r="F1301" s="254" t="s">
        <v>284</v>
      </c>
    </row>
    <row r="1302" spans="2:6" x14ac:dyDescent="0.25">
      <c r="B1302" s="594" t="s">
        <v>285</v>
      </c>
      <c r="C1302" s="595"/>
      <c r="D1302" s="595"/>
      <c r="E1302" s="595"/>
      <c r="F1302" s="596"/>
    </row>
    <row r="1303" spans="2:6" ht="22.5" x14ac:dyDescent="0.25">
      <c r="B1303" s="255" t="str">
        <f>INSUMOS!B209</f>
        <v>Acero refuerzo G-60 SIN FIGURAR + transporte y descargue</v>
      </c>
      <c r="C1303" s="256" t="s">
        <v>900</v>
      </c>
      <c r="D1303" s="257">
        <v>1.05</v>
      </c>
      <c r="E1303" s="258">
        <f>INSUMOS!D209</f>
        <v>5990</v>
      </c>
      <c r="F1303" s="259">
        <f t="shared" ref="F1303:F1314" si="62">D1303*E1303</f>
        <v>6289.5</v>
      </c>
    </row>
    <row r="1304" spans="2:6" x14ac:dyDescent="0.25">
      <c r="B1304" s="260" t="str">
        <f>INSUMOS!B208</f>
        <v>Alambre recocido C 18</v>
      </c>
      <c r="C1304" s="256" t="s">
        <v>122</v>
      </c>
      <c r="D1304" s="257">
        <v>0.03</v>
      </c>
      <c r="E1304" s="258">
        <f>INSUMOS!D208</f>
        <v>8687</v>
      </c>
      <c r="F1304" s="259">
        <f t="shared" si="62"/>
        <v>260.61</v>
      </c>
    </row>
    <row r="1305" spans="2:6" x14ac:dyDescent="0.25">
      <c r="B1305" s="261"/>
      <c r="C1305" s="256"/>
      <c r="D1305" s="257"/>
      <c r="E1305" s="258"/>
      <c r="F1305" s="259">
        <f t="shared" si="62"/>
        <v>0</v>
      </c>
    </row>
    <row r="1306" spans="2:6" x14ac:dyDescent="0.25">
      <c r="B1306" s="261"/>
      <c r="C1306" s="256"/>
      <c r="D1306" s="257"/>
      <c r="E1306" s="258"/>
      <c r="F1306" s="259">
        <f t="shared" si="62"/>
        <v>0</v>
      </c>
    </row>
    <row r="1307" spans="2:6" x14ac:dyDescent="0.25">
      <c r="B1307" s="261"/>
      <c r="C1307" s="256"/>
      <c r="D1307" s="257"/>
      <c r="E1307" s="258"/>
      <c r="F1307" s="259">
        <f t="shared" si="62"/>
        <v>0</v>
      </c>
    </row>
    <row r="1308" spans="2:6" x14ac:dyDescent="0.25">
      <c r="B1308" s="261"/>
      <c r="C1308" s="256"/>
      <c r="D1308" s="257"/>
      <c r="E1308" s="258"/>
      <c r="F1308" s="259">
        <f t="shared" si="62"/>
        <v>0</v>
      </c>
    </row>
    <row r="1309" spans="2:6" x14ac:dyDescent="0.25">
      <c r="B1309" s="261"/>
      <c r="C1309" s="256"/>
      <c r="D1309" s="257"/>
      <c r="E1309" s="258"/>
      <c r="F1309" s="259">
        <f t="shared" si="62"/>
        <v>0</v>
      </c>
    </row>
    <row r="1310" spans="2:6" x14ac:dyDescent="0.25">
      <c r="B1310" s="261"/>
      <c r="C1310" s="256"/>
      <c r="D1310" s="257"/>
      <c r="E1310" s="258"/>
      <c r="F1310" s="259">
        <f t="shared" si="62"/>
        <v>0</v>
      </c>
    </row>
    <row r="1311" spans="2:6" x14ac:dyDescent="0.25">
      <c r="B1311" s="261"/>
      <c r="C1311" s="256"/>
      <c r="D1311" s="257"/>
      <c r="E1311" s="258"/>
      <c r="F1311" s="259">
        <f t="shared" si="62"/>
        <v>0</v>
      </c>
    </row>
    <row r="1312" spans="2:6" x14ac:dyDescent="0.25">
      <c r="B1312" s="261"/>
      <c r="C1312" s="256"/>
      <c r="D1312" s="257"/>
      <c r="E1312" s="258"/>
      <c r="F1312" s="259">
        <f t="shared" si="62"/>
        <v>0</v>
      </c>
    </row>
    <row r="1313" spans="2:6" x14ac:dyDescent="0.25">
      <c r="B1313" s="261"/>
      <c r="C1313" s="256"/>
      <c r="D1313" s="257"/>
      <c r="E1313" s="258"/>
      <c r="F1313" s="259">
        <f t="shared" si="62"/>
        <v>0</v>
      </c>
    </row>
    <row r="1314" spans="2:6" x14ac:dyDescent="0.25">
      <c r="B1314" s="262"/>
      <c r="C1314" s="263"/>
      <c r="D1314" s="264"/>
      <c r="E1314" s="265"/>
      <c r="F1314" s="259">
        <f t="shared" si="62"/>
        <v>0</v>
      </c>
    </row>
    <row r="1315" spans="2:6" ht="15.75" thickBot="1" x14ac:dyDescent="0.3">
      <c r="B1315" s="611" t="s">
        <v>286</v>
      </c>
      <c r="C1315" s="612"/>
      <c r="D1315" s="612"/>
      <c r="E1315" s="613"/>
      <c r="F1315" s="284">
        <f>SUM(F1303:F1314)</f>
        <v>6550.11</v>
      </c>
    </row>
    <row r="1316" spans="2:6" x14ac:dyDescent="0.25">
      <c r="B1316" s="594" t="s">
        <v>277</v>
      </c>
      <c r="C1316" s="595"/>
      <c r="D1316" s="595"/>
      <c r="E1316" s="595"/>
      <c r="F1316" s="596"/>
    </row>
    <row r="1317" spans="2:6" x14ac:dyDescent="0.25">
      <c r="B1317" s="266" t="str">
        <f>CUADRILLAS!A93</f>
        <v>Cuad. Fig y Coloc Acero (1of+ 2ay)</v>
      </c>
      <c r="C1317" s="267" t="s">
        <v>110</v>
      </c>
      <c r="D1317" s="268">
        <v>5.0000000000000001E-3</v>
      </c>
      <c r="E1317" s="269">
        <f>CUADRILLAS!B93</f>
        <v>278637</v>
      </c>
      <c r="F1317" s="270">
        <f>D1317*E1317</f>
        <v>1393.1849999999999</v>
      </c>
    </row>
    <row r="1318" spans="2:6" x14ac:dyDescent="0.25">
      <c r="B1318" s="266"/>
      <c r="C1318" s="267"/>
      <c r="D1318" s="268"/>
      <c r="E1318" s="269"/>
      <c r="F1318" s="270">
        <f>D1318*E1318</f>
        <v>0</v>
      </c>
    </row>
    <row r="1319" spans="2:6" x14ac:dyDescent="0.25">
      <c r="B1319" s="266"/>
      <c r="C1319" s="267"/>
      <c r="D1319" s="268"/>
      <c r="E1319" s="271"/>
      <c r="F1319" s="270">
        <f>D1319*E1319</f>
        <v>0</v>
      </c>
    </row>
    <row r="1320" spans="2:6" x14ac:dyDescent="0.25">
      <c r="B1320" s="272"/>
      <c r="C1320" s="273"/>
      <c r="D1320" s="268"/>
      <c r="E1320" s="271"/>
      <c r="F1320" s="270">
        <f>D1320*E1320</f>
        <v>0</v>
      </c>
    </row>
    <row r="1321" spans="2:6" ht="15.75" thickBot="1" x14ac:dyDescent="0.3">
      <c r="B1321" s="611" t="s">
        <v>287</v>
      </c>
      <c r="C1321" s="612"/>
      <c r="D1321" s="612"/>
      <c r="E1321" s="613"/>
      <c r="F1321" s="274">
        <f>SUM(F1317:F1320)</f>
        <v>1393.1849999999999</v>
      </c>
    </row>
    <row r="1322" spans="2:6" x14ac:dyDescent="0.25">
      <c r="B1322" s="594" t="s">
        <v>278</v>
      </c>
      <c r="C1322" s="595"/>
      <c r="D1322" s="595"/>
      <c r="E1322" s="595"/>
      <c r="F1322" s="596"/>
    </row>
    <row r="1323" spans="2:6" x14ac:dyDescent="0.25">
      <c r="B1323" s="272" t="s">
        <v>279</v>
      </c>
      <c r="C1323" s="273" t="s">
        <v>280</v>
      </c>
      <c r="D1323" s="268">
        <v>0.05</v>
      </c>
      <c r="E1323" s="271">
        <f>F1321</f>
        <v>1393.1849999999999</v>
      </c>
      <c r="F1323" s="270">
        <f>D1323*E1323</f>
        <v>69.65925</v>
      </c>
    </row>
    <row r="1324" spans="2:6" ht="15.75" thickBot="1" x14ac:dyDescent="0.3">
      <c r="B1324" s="611" t="s">
        <v>288</v>
      </c>
      <c r="C1324" s="612"/>
      <c r="D1324" s="612"/>
      <c r="E1324" s="613"/>
      <c r="F1324" s="274">
        <f>SUM(F1323)</f>
        <v>69.65925</v>
      </c>
    </row>
    <row r="1325" spans="2:6" x14ac:dyDescent="0.25">
      <c r="B1325" s="594" t="s">
        <v>281</v>
      </c>
      <c r="C1325" s="595"/>
      <c r="D1325" s="595"/>
      <c r="E1325" s="595"/>
      <c r="F1325" s="596"/>
    </row>
    <row r="1326" spans="2:6" x14ac:dyDescent="0.25">
      <c r="B1326" s="272" t="str">
        <f>INSUMOS!B228</f>
        <v>Tronzadora 14-pulg 2300W 2800rpm + Disco</v>
      </c>
      <c r="C1326" s="273" t="s">
        <v>110</v>
      </c>
      <c r="D1326" s="268">
        <v>0.05</v>
      </c>
      <c r="E1326" s="271">
        <f>INSUMOS!E228</f>
        <v>18000</v>
      </c>
      <c r="F1326" s="259">
        <f t="shared" ref="F1326:F1337" si="63">D1326*E1326</f>
        <v>900</v>
      </c>
    </row>
    <row r="1327" spans="2:6" x14ac:dyDescent="0.25">
      <c r="B1327" s="272"/>
      <c r="C1327" s="273"/>
      <c r="D1327" s="268"/>
      <c r="E1327" s="271"/>
      <c r="F1327" s="259">
        <f t="shared" si="63"/>
        <v>0</v>
      </c>
    </row>
    <row r="1328" spans="2:6" x14ac:dyDescent="0.25">
      <c r="B1328" s="272"/>
      <c r="C1328" s="273"/>
      <c r="D1328" s="268"/>
      <c r="E1328" s="271"/>
      <c r="F1328" s="259">
        <f t="shared" si="63"/>
        <v>0</v>
      </c>
    </row>
    <row r="1329" spans="2:6" x14ac:dyDescent="0.25">
      <c r="B1329" s="272"/>
      <c r="C1329" s="273"/>
      <c r="D1329" s="268"/>
      <c r="E1329" s="271"/>
      <c r="F1329" s="259">
        <f t="shared" si="63"/>
        <v>0</v>
      </c>
    </row>
    <row r="1330" spans="2:6" x14ac:dyDescent="0.25">
      <c r="B1330" s="272"/>
      <c r="C1330" s="273"/>
      <c r="D1330" s="268"/>
      <c r="E1330" s="271"/>
      <c r="F1330" s="259">
        <f t="shared" si="63"/>
        <v>0</v>
      </c>
    </row>
    <row r="1331" spans="2:6" x14ac:dyDescent="0.25">
      <c r="B1331" s="272"/>
      <c r="C1331" s="273"/>
      <c r="D1331" s="268"/>
      <c r="E1331" s="271"/>
      <c r="F1331" s="259">
        <f t="shared" si="63"/>
        <v>0</v>
      </c>
    </row>
    <row r="1332" spans="2:6" x14ac:dyDescent="0.25">
      <c r="B1332" s="272"/>
      <c r="C1332" s="273"/>
      <c r="D1332" s="268"/>
      <c r="E1332" s="271"/>
      <c r="F1332" s="259">
        <f t="shared" si="63"/>
        <v>0</v>
      </c>
    </row>
    <row r="1333" spans="2:6" x14ac:dyDescent="0.25">
      <c r="B1333" s="272"/>
      <c r="C1333" s="273"/>
      <c r="D1333" s="268"/>
      <c r="E1333" s="271"/>
      <c r="F1333" s="259">
        <f t="shared" si="63"/>
        <v>0</v>
      </c>
    </row>
    <row r="1334" spans="2:6" x14ac:dyDescent="0.25">
      <c r="B1334" s="272"/>
      <c r="C1334" s="273"/>
      <c r="D1334" s="268"/>
      <c r="E1334" s="271"/>
      <c r="F1334" s="259">
        <f t="shared" si="63"/>
        <v>0</v>
      </c>
    </row>
    <row r="1335" spans="2:6" x14ac:dyDescent="0.25">
      <c r="B1335" s="272"/>
      <c r="C1335" s="273"/>
      <c r="D1335" s="268"/>
      <c r="E1335" s="271"/>
      <c r="F1335" s="259">
        <f t="shared" si="63"/>
        <v>0</v>
      </c>
    </row>
    <row r="1336" spans="2:6" x14ac:dyDescent="0.25">
      <c r="B1336" s="272"/>
      <c r="C1336" s="273"/>
      <c r="D1336" s="268"/>
      <c r="E1336" s="271"/>
      <c r="F1336" s="259">
        <f t="shared" si="63"/>
        <v>0</v>
      </c>
    </row>
    <row r="1337" spans="2:6" x14ac:dyDescent="0.25">
      <c r="B1337" s="272"/>
      <c r="C1337" s="273"/>
      <c r="D1337" s="268"/>
      <c r="E1337" s="271"/>
      <c r="F1337" s="259">
        <f t="shared" si="63"/>
        <v>0</v>
      </c>
    </row>
    <row r="1338" spans="2:6" ht="15.75" thickBot="1" x14ac:dyDescent="0.3">
      <c r="B1338" s="611" t="s">
        <v>289</v>
      </c>
      <c r="C1338" s="612"/>
      <c r="D1338" s="612"/>
      <c r="E1338" s="613"/>
      <c r="F1338" s="274">
        <f>SUM(F1326:F1337)</f>
        <v>900</v>
      </c>
    </row>
    <row r="1339" spans="2:6" x14ac:dyDescent="0.25">
      <c r="B1339" s="594" t="s">
        <v>290</v>
      </c>
      <c r="C1339" s="595"/>
      <c r="D1339" s="595"/>
      <c r="E1339" s="595"/>
      <c r="F1339" s="596"/>
    </row>
    <row r="1340" spans="2:6" ht="22.5" x14ac:dyDescent="0.25">
      <c r="B1340" s="272" t="str">
        <f>INSUMOS!B207</f>
        <v>Transporte de acero( descargue y transporte interno)</v>
      </c>
      <c r="C1340" s="273" t="s">
        <v>122</v>
      </c>
      <c r="D1340" s="275">
        <v>1.05</v>
      </c>
      <c r="E1340" s="276">
        <f>INSUMOS!D207</f>
        <v>120</v>
      </c>
      <c r="F1340" s="259">
        <f>D1340*E1340</f>
        <v>126</v>
      </c>
    </row>
    <row r="1341" spans="2:6" x14ac:dyDescent="0.25">
      <c r="B1341" s="277"/>
      <c r="C1341" s="278"/>
      <c r="D1341" s="279"/>
      <c r="E1341" s="280"/>
      <c r="F1341" s="259">
        <f>D1341*E1341</f>
        <v>0</v>
      </c>
    </row>
    <row r="1342" spans="2:6" x14ac:dyDescent="0.25">
      <c r="B1342" s="277"/>
      <c r="C1342" s="278"/>
      <c r="D1342" s="279"/>
      <c r="E1342" s="280"/>
      <c r="F1342" s="259">
        <f>D1342*E1342</f>
        <v>0</v>
      </c>
    </row>
    <row r="1343" spans="2:6" ht="15.75" thickBot="1" x14ac:dyDescent="0.3">
      <c r="B1343" s="611" t="s">
        <v>291</v>
      </c>
      <c r="C1343" s="612"/>
      <c r="D1343" s="612"/>
      <c r="E1343" s="613"/>
      <c r="F1343" s="285">
        <f>SUM(F1340:F1342)</f>
        <v>126</v>
      </c>
    </row>
    <row r="1344" spans="2:6" ht="15.75" thickBot="1" x14ac:dyDescent="0.3">
      <c r="B1344" s="600" t="s">
        <v>282</v>
      </c>
      <c r="C1344" s="601"/>
      <c r="D1344" s="601"/>
      <c r="E1344" s="601"/>
      <c r="F1344" s="286">
        <f>ROUND(F1315+F1321+F1324+F1338+F1343,0)</f>
        <v>9039</v>
      </c>
    </row>
    <row r="1345" spans="2:6" ht="15.75" thickBot="1" x14ac:dyDescent="0.3"/>
    <row r="1346" spans="2:6" ht="15.75" thickBot="1" x14ac:dyDescent="0.3">
      <c r="B1346" s="602" t="s">
        <v>276</v>
      </c>
      <c r="C1346" s="603"/>
      <c r="D1346" s="603"/>
      <c r="E1346" s="603"/>
      <c r="F1346" s="604"/>
    </row>
    <row r="1347" spans="2:6" ht="15.75" thickBot="1" x14ac:dyDescent="0.3">
      <c r="B1347" s="605" t="s">
        <v>104</v>
      </c>
      <c r="C1347" s="606"/>
      <c r="D1347" s="607"/>
      <c r="E1347" s="282" t="s">
        <v>105</v>
      </c>
      <c r="F1347" s="283" t="s">
        <v>103</v>
      </c>
    </row>
    <row r="1348" spans="2:6" ht="62.45" customHeight="1" thickBot="1" x14ac:dyDescent="0.3">
      <c r="B1348" s="608" t="str">
        <f>'PRESUPUESTO CALLE 58 SUR'!B41</f>
        <v>Colocación de concreto de 14 Mpa para SOLADO, con un espesor DE 0.05 m. Incluye el suministro y el transporte del concreto y todos los demás elementos necesarios para su correcta construcción, incluye acarreo interno.</v>
      </c>
      <c r="C1348" s="609"/>
      <c r="D1348" s="610"/>
      <c r="E1348" s="248" t="str">
        <f>'PRESUPUESTO CALLE 58 SUR'!C41</f>
        <v>m2</v>
      </c>
      <c r="F1348" s="448">
        <f>'PRESUPUESTO CALLE 58 SUR'!A41</f>
        <v>8.1</v>
      </c>
    </row>
    <row r="1349" spans="2:6" ht="15.75" thickBot="1" x14ac:dyDescent="0.3">
      <c r="B1349" s="250" t="s">
        <v>8</v>
      </c>
      <c r="C1349" s="251" t="s">
        <v>9</v>
      </c>
      <c r="D1349" s="252" t="s">
        <v>10</v>
      </c>
      <c r="E1349" s="253" t="s">
        <v>283</v>
      </c>
      <c r="F1349" s="254" t="s">
        <v>284</v>
      </c>
    </row>
    <row r="1350" spans="2:6" x14ac:dyDescent="0.25">
      <c r="B1350" s="594" t="s">
        <v>285</v>
      </c>
      <c r="C1350" s="595"/>
      <c r="D1350" s="595"/>
      <c r="E1350" s="595"/>
      <c r="F1350" s="596"/>
    </row>
    <row r="1351" spans="2:6" x14ac:dyDescent="0.25">
      <c r="B1351" s="255" t="str">
        <f>SUBANALISIS!A64</f>
        <v>Concr.en obra 2000 psi 3/4"</v>
      </c>
      <c r="C1351" s="256" t="s">
        <v>117</v>
      </c>
      <c r="D1351" s="257">
        <f>0.05*1.05</f>
        <v>5.2500000000000005E-2</v>
      </c>
      <c r="E1351" s="258">
        <f>SUBANALISIS!F64</f>
        <v>533198.90610000002</v>
      </c>
      <c r="F1351" s="259">
        <f t="shared" ref="F1351:F1362" si="64">D1351*E1351</f>
        <v>27992.942570250005</v>
      </c>
    </row>
    <row r="1352" spans="2:6" x14ac:dyDescent="0.25">
      <c r="B1352" s="260"/>
      <c r="C1352" s="256"/>
      <c r="D1352" s="257"/>
      <c r="E1352" s="258"/>
      <c r="F1352" s="259">
        <f t="shared" si="64"/>
        <v>0</v>
      </c>
    </row>
    <row r="1353" spans="2:6" x14ac:dyDescent="0.25">
      <c r="B1353" s="261"/>
      <c r="C1353" s="256"/>
      <c r="D1353" s="257"/>
      <c r="E1353" s="258"/>
      <c r="F1353" s="259">
        <f t="shared" si="64"/>
        <v>0</v>
      </c>
    </row>
    <row r="1354" spans="2:6" x14ac:dyDescent="0.25">
      <c r="B1354" s="261"/>
      <c r="C1354" s="256"/>
      <c r="D1354" s="257"/>
      <c r="E1354" s="258"/>
      <c r="F1354" s="259">
        <f t="shared" si="64"/>
        <v>0</v>
      </c>
    </row>
    <row r="1355" spans="2:6" x14ac:dyDescent="0.25">
      <c r="B1355" s="261"/>
      <c r="C1355" s="256"/>
      <c r="D1355" s="257"/>
      <c r="E1355" s="258"/>
      <c r="F1355" s="259">
        <f t="shared" si="64"/>
        <v>0</v>
      </c>
    </row>
    <row r="1356" spans="2:6" x14ac:dyDescent="0.25">
      <c r="B1356" s="261"/>
      <c r="C1356" s="256"/>
      <c r="D1356" s="257"/>
      <c r="E1356" s="258"/>
      <c r="F1356" s="259">
        <f t="shared" si="64"/>
        <v>0</v>
      </c>
    </row>
    <row r="1357" spans="2:6" x14ac:dyDescent="0.25">
      <c r="B1357" s="261"/>
      <c r="C1357" s="256"/>
      <c r="D1357" s="257"/>
      <c r="E1357" s="258"/>
      <c r="F1357" s="259">
        <f t="shared" si="64"/>
        <v>0</v>
      </c>
    </row>
    <row r="1358" spans="2:6" x14ac:dyDescent="0.25">
      <c r="B1358" s="261"/>
      <c r="C1358" s="256"/>
      <c r="D1358" s="257"/>
      <c r="E1358" s="258"/>
      <c r="F1358" s="259">
        <f t="shared" si="64"/>
        <v>0</v>
      </c>
    </row>
    <row r="1359" spans="2:6" x14ac:dyDescent="0.25">
      <c r="B1359" s="261"/>
      <c r="C1359" s="256"/>
      <c r="D1359" s="257"/>
      <c r="E1359" s="258"/>
      <c r="F1359" s="259">
        <f t="shared" si="64"/>
        <v>0</v>
      </c>
    </row>
    <row r="1360" spans="2:6" x14ac:dyDescent="0.25">
      <c r="B1360" s="261"/>
      <c r="C1360" s="256"/>
      <c r="D1360" s="257"/>
      <c r="E1360" s="258"/>
      <c r="F1360" s="259">
        <f t="shared" si="64"/>
        <v>0</v>
      </c>
    </row>
    <row r="1361" spans="2:6" x14ac:dyDescent="0.25">
      <c r="B1361" s="261"/>
      <c r="C1361" s="256"/>
      <c r="D1361" s="257"/>
      <c r="E1361" s="258"/>
      <c r="F1361" s="259">
        <f t="shared" si="64"/>
        <v>0</v>
      </c>
    </row>
    <row r="1362" spans="2:6" x14ac:dyDescent="0.25">
      <c r="B1362" s="262"/>
      <c r="C1362" s="263"/>
      <c r="D1362" s="264"/>
      <c r="E1362" s="265"/>
      <c r="F1362" s="259">
        <f t="shared" si="64"/>
        <v>0</v>
      </c>
    </row>
    <row r="1363" spans="2:6" ht="15.75" thickBot="1" x14ac:dyDescent="0.3">
      <c r="B1363" s="611" t="s">
        <v>286</v>
      </c>
      <c r="C1363" s="612"/>
      <c r="D1363" s="612"/>
      <c r="E1363" s="613"/>
      <c r="F1363" s="284">
        <f>SUM(F1351:F1362)</f>
        <v>27992.942570250005</v>
      </c>
    </row>
    <row r="1364" spans="2:6" x14ac:dyDescent="0.25">
      <c r="B1364" s="594" t="s">
        <v>277</v>
      </c>
      <c r="C1364" s="595"/>
      <c r="D1364" s="595"/>
      <c r="E1364" s="595"/>
      <c r="F1364" s="596"/>
    </row>
    <row r="1365" spans="2:6" x14ac:dyDescent="0.25">
      <c r="B1365" s="266" t="str">
        <f>B261</f>
        <v>Cuadrilla labores varias (1of + 2ay)</v>
      </c>
      <c r="C1365" s="267" t="str">
        <f>C261</f>
        <v>día</v>
      </c>
      <c r="D1365" s="268">
        <v>7.0000000000000007E-2</v>
      </c>
      <c r="E1365" s="269">
        <f>E261</f>
        <v>278637</v>
      </c>
      <c r="F1365" s="270">
        <f>D1365*E1365</f>
        <v>19504.59</v>
      </c>
    </row>
    <row r="1366" spans="2:6" x14ac:dyDescent="0.25">
      <c r="B1366" s="266"/>
      <c r="C1366" s="267"/>
      <c r="D1366" s="268"/>
      <c r="E1366" s="269"/>
      <c r="F1366" s="270">
        <f>D1366*E1366</f>
        <v>0</v>
      </c>
    </row>
    <row r="1367" spans="2:6" x14ac:dyDescent="0.25">
      <c r="B1367" s="266"/>
      <c r="C1367" s="267"/>
      <c r="D1367" s="268"/>
      <c r="E1367" s="271"/>
      <c r="F1367" s="270">
        <f>D1367*E1367</f>
        <v>0</v>
      </c>
    </row>
    <row r="1368" spans="2:6" x14ac:dyDescent="0.25">
      <c r="B1368" s="272"/>
      <c r="C1368" s="273"/>
      <c r="D1368" s="268"/>
      <c r="E1368" s="271"/>
      <c r="F1368" s="270">
        <f>D1368*E1368</f>
        <v>0</v>
      </c>
    </row>
    <row r="1369" spans="2:6" ht="15.75" thickBot="1" x14ac:dyDescent="0.3">
      <c r="B1369" s="611" t="s">
        <v>287</v>
      </c>
      <c r="C1369" s="612"/>
      <c r="D1369" s="612"/>
      <c r="E1369" s="613"/>
      <c r="F1369" s="274">
        <f>SUM(F1365:F1368)</f>
        <v>19504.59</v>
      </c>
    </row>
    <row r="1370" spans="2:6" x14ac:dyDescent="0.25">
      <c r="B1370" s="594" t="s">
        <v>278</v>
      </c>
      <c r="C1370" s="595"/>
      <c r="D1370" s="595"/>
      <c r="E1370" s="595"/>
      <c r="F1370" s="596"/>
    </row>
    <row r="1371" spans="2:6" x14ac:dyDescent="0.25">
      <c r="B1371" s="272" t="s">
        <v>279</v>
      </c>
      <c r="C1371" s="273" t="s">
        <v>280</v>
      </c>
      <c r="D1371" s="268">
        <v>0.05</v>
      </c>
      <c r="E1371" s="271">
        <f>F1369</f>
        <v>19504.59</v>
      </c>
      <c r="F1371" s="270">
        <f>D1371*E1371</f>
        <v>975.22950000000003</v>
      </c>
    </row>
    <row r="1372" spans="2:6" ht="15.75" thickBot="1" x14ac:dyDescent="0.3">
      <c r="B1372" s="611" t="s">
        <v>288</v>
      </c>
      <c r="C1372" s="612"/>
      <c r="D1372" s="612"/>
      <c r="E1372" s="613"/>
      <c r="F1372" s="274">
        <f>SUM(F1371)</f>
        <v>975.22950000000003</v>
      </c>
    </row>
    <row r="1373" spans="2:6" x14ac:dyDescent="0.25">
      <c r="B1373" s="594" t="s">
        <v>281</v>
      </c>
      <c r="C1373" s="595"/>
      <c r="D1373" s="595"/>
      <c r="E1373" s="595"/>
      <c r="F1373" s="596"/>
    </row>
    <row r="1374" spans="2:6" x14ac:dyDescent="0.25">
      <c r="B1374" s="272"/>
      <c r="C1374" s="273"/>
      <c r="D1374" s="268"/>
      <c r="E1374" s="271"/>
      <c r="F1374" s="259">
        <f t="shared" ref="F1374:F1385" si="65">D1374*E1374</f>
        <v>0</v>
      </c>
    </row>
    <row r="1375" spans="2:6" x14ac:dyDescent="0.25">
      <c r="B1375" s="272"/>
      <c r="C1375" s="273"/>
      <c r="D1375" s="268"/>
      <c r="E1375" s="271"/>
      <c r="F1375" s="259">
        <f t="shared" si="65"/>
        <v>0</v>
      </c>
    </row>
    <row r="1376" spans="2:6" x14ac:dyDescent="0.25">
      <c r="B1376" s="272"/>
      <c r="C1376" s="273"/>
      <c r="D1376" s="268"/>
      <c r="E1376" s="271"/>
      <c r="F1376" s="259">
        <f t="shared" si="65"/>
        <v>0</v>
      </c>
    </row>
    <row r="1377" spans="2:6" x14ac:dyDescent="0.25">
      <c r="B1377" s="272"/>
      <c r="C1377" s="273"/>
      <c r="D1377" s="268"/>
      <c r="E1377" s="271"/>
      <c r="F1377" s="259">
        <f t="shared" si="65"/>
        <v>0</v>
      </c>
    </row>
    <row r="1378" spans="2:6" x14ac:dyDescent="0.25">
      <c r="B1378" s="272"/>
      <c r="C1378" s="273"/>
      <c r="D1378" s="268"/>
      <c r="E1378" s="271"/>
      <c r="F1378" s="259">
        <f t="shared" si="65"/>
        <v>0</v>
      </c>
    </row>
    <row r="1379" spans="2:6" x14ac:dyDescent="0.25">
      <c r="B1379" s="272"/>
      <c r="C1379" s="273"/>
      <c r="D1379" s="268"/>
      <c r="E1379" s="271"/>
      <c r="F1379" s="259">
        <f t="shared" si="65"/>
        <v>0</v>
      </c>
    </row>
    <row r="1380" spans="2:6" x14ac:dyDescent="0.25">
      <c r="B1380" s="272"/>
      <c r="C1380" s="273"/>
      <c r="D1380" s="268"/>
      <c r="E1380" s="271"/>
      <c r="F1380" s="259">
        <f t="shared" si="65"/>
        <v>0</v>
      </c>
    </row>
    <row r="1381" spans="2:6" x14ac:dyDescent="0.25">
      <c r="B1381" s="272"/>
      <c r="C1381" s="273"/>
      <c r="D1381" s="268"/>
      <c r="E1381" s="271"/>
      <c r="F1381" s="259">
        <f t="shared" si="65"/>
        <v>0</v>
      </c>
    </row>
    <row r="1382" spans="2:6" x14ac:dyDescent="0.25">
      <c r="B1382" s="272"/>
      <c r="C1382" s="273"/>
      <c r="D1382" s="268"/>
      <c r="E1382" s="271"/>
      <c r="F1382" s="259">
        <f t="shared" si="65"/>
        <v>0</v>
      </c>
    </row>
    <row r="1383" spans="2:6" x14ac:dyDescent="0.25">
      <c r="B1383" s="272"/>
      <c r="C1383" s="273"/>
      <c r="D1383" s="268"/>
      <c r="E1383" s="271"/>
      <c r="F1383" s="259">
        <f t="shared" si="65"/>
        <v>0</v>
      </c>
    </row>
    <row r="1384" spans="2:6" x14ac:dyDescent="0.25">
      <c r="B1384" s="272"/>
      <c r="C1384" s="273"/>
      <c r="D1384" s="268"/>
      <c r="E1384" s="271"/>
      <c r="F1384" s="259">
        <f t="shared" si="65"/>
        <v>0</v>
      </c>
    </row>
    <row r="1385" spans="2:6" x14ac:dyDescent="0.25">
      <c r="B1385" s="272"/>
      <c r="C1385" s="273"/>
      <c r="D1385" s="268"/>
      <c r="E1385" s="271"/>
      <c r="F1385" s="259">
        <f t="shared" si="65"/>
        <v>0</v>
      </c>
    </row>
    <row r="1386" spans="2:6" ht="15.75" thickBot="1" x14ac:dyDescent="0.3">
      <c r="B1386" s="611" t="s">
        <v>289</v>
      </c>
      <c r="C1386" s="612"/>
      <c r="D1386" s="612"/>
      <c r="E1386" s="613"/>
      <c r="F1386" s="274">
        <f>SUM(F1374:F1385)</f>
        <v>0</v>
      </c>
    </row>
    <row r="1387" spans="2:6" x14ac:dyDescent="0.25">
      <c r="B1387" s="594" t="s">
        <v>290</v>
      </c>
      <c r="C1387" s="595"/>
      <c r="D1387" s="595"/>
      <c r="E1387" s="595"/>
      <c r="F1387" s="596"/>
    </row>
    <row r="1388" spans="2:6" x14ac:dyDescent="0.25">
      <c r="B1388" s="272" t="s">
        <v>883</v>
      </c>
      <c r="C1388" s="273" t="s">
        <v>117</v>
      </c>
      <c r="D1388" s="275">
        <f>D1351*(SUBANALISIS!C65+SUBANALISIS!C66+SUBANALISIS!C67/25)</f>
        <v>8.8095000000000007E-2</v>
      </c>
      <c r="E1388" s="276">
        <v>15000</v>
      </c>
      <c r="F1388" s="259">
        <f>D1388*E1388</f>
        <v>1321.4250000000002</v>
      </c>
    </row>
    <row r="1389" spans="2:6" x14ac:dyDescent="0.25">
      <c r="B1389" s="277"/>
      <c r="C1389" s="278"/>
      <c r="D1389" s="279"/>
      <c r="E1389" s="280"/>
      <c r="F1389" s="259">
        <f>D1389*E1389</f>
        <v>0</v>
      </c>
    </row>
    <row r="1390" spans="2:6" x14ac:dyDescent="0.25">
      <c r="B1390" s="277"/>
      <c r="C1390" s="278"/>
      <c r="D1390" s="279"/>
      <c r="E1390" s="280"/>
      <c r="F1390" s="259">
        <f>D1390*E1390</f>
        <v>0</v>
      </c>
    </row>
    <row r="1391" spans="2:6" ht="15.75" thickBot="1" x14ac:dyDescent="0.3">
      <c r="B1391" s="611" t="s">
        <v>291</v>
      </c>
      <c r="C1391" s="612"/>
      <c r="D1391" s="612"/>
      <c r="E1391" s="613"/>
      <c r="F1391" s="285">
        <f>SUM(F1388:F1390)</f>
        <v>1321.4250000000002</v>
      </c>
    </row>
    <row r="1392" spans="2:6" ht="15.75" thickBot="1" x14ac:dyDescent="0.3">
      <c r="B1392" s="600" t="s">
        <v>282</v>
      </c>
      <c r="C1392" s="601"/>
      <c r="D1392" s="601"/>
      <c r="E1392" s="601"/>
      <c r="F1392" s="286">
        <f>ROUND(F1363+F1369+F1372+F1386+F1391,0)</f>
        <v>49794</v>
      </c>
    </row>
    <row r="1393" spans="2:6" ht="15.75" thickBot="1" x14ac:dyDescent="0.3"/>
    <row r="1394" spans="2:6" ht="15.75" thickBot="1" x14ac:dyDescent="0.3">
      <c r="B1394" s="602" t="s">
        <v>276</v>
      </c>
      <c r="C1394" s="603"/>
      <c r="D1394" s="603"/>
      <c r="E1394" s="603"/>
      <c r="F1394" s="604"/>
    </row>
    <row r="1395" spans="2:6" ht="15.75" thickBot="1" x14ac:dyDescent="0.3">
      <c r="B1395" s="605" t="s">
        <v>104</v>
      </c>
      <c r="C1395" s="606"/>
      <c r="D1395" s="607"/>
      <c r="E1395" s="282" t="s">
        <v>105</v>
      </c>
      <c r="F1395" s="283" t="s">
        <v>103</v>
      </c>
    </row>
    <row r="1396" spans="2:6" ht="63.6" customHeight="1" thickBot="1" x14ac:dyDescent="0.3">
      <c r="B1396" s="608" t="str">
        <f>'PRESUPUESTO CALLE 58 SUR'!B42</f>
        <v>Colocación de concreto de 21 Mpa para PILOTES Ø= 40cm. HASTA 3.0 m. de profundidad. Incluye suministro y el transporte del concreto, mano de obra, vibrado, protección y curado, para estructuras de acuerdo con las diferentes dimensiones establecidas en los planos y diseños. No incluye refuerzo.</v>
      </c>
      <c r="C1396" s="609"/>
      <c r="D1396" s="610"/>
      <c r="E1396" s="449" t="str">
        <f>'PRESUPUESTO CALLE 58 SUR'!C42</f>
        <v>m</v>
      </c>
      <c r="F1396" s="448">
        <f>'PRESUPUESTO CALLE 58 SUR'!A42</f>
        <v>8.1999999999999993</v>
      </c>
    </row>
    <row r="1397" spans="2:6" ht="15.75" thickBot="1" x14ac:dyDescent="0.3">
      <c r="B1397" s="250" t="s">
        <v>8</v>
      </c>
      <c r="C1397" s="251" t="s">
        <v>9</v>
      </c>
      <c r="D1397" s="252" t="s">
        <v>10</v>
      </c>
      <c r="E1397" s="253" t="s">
        <v>283</v>
      </c>
      <c r="F1397" s="254" t="s">
        <v>284</v>
      </c>
    </row>
    <row r="1398" spans="2:6" x14ac:dyDescent="0.25">
      <c r="B1398" s="594" t="s">
        <v>285</v>
      </c>
      <c r="C1398" s="595"/>
      <c r="D1398" s="595"/>
      <c r="E1398" s="595"/>
      <c r="F1398" s="596"/>
    </row>
    <row r="1399" spans="2:6" x14ac:dyDescent="0.25">
      <c r="B1399" s="255" t="str">
        <f>SUBANALISIS!A78</f>
        <v>Concr.en obra 3000 psi 3/4"</v>
      </c>
      <c r="C1399" s="256" t="s">
        <v>117</v>
      </c>
      <c r="D1399" s="257">
        <f>PI()*0.2^2*1*1.05</f>
        <v>0.13194689145077132</v>
      </c>
      <c r="E1399" s="258">
        <f>SUBANALISIS!F78</f>
        <v>630810.91779999994</v>
      </c>
      <c r="F1399" s="259">
        <f t="shared" ref="F1399:F1410" si="66">D1399*E1399</f>
        <v>83233.539696918015</v>
      </c>
    </row>
    <row r="1400" spans="2:6" x14ac:dyDescent="0.25">
      <c r="B1400" s="260"/>
      <c r="C1400" s="256"/>
      <c r="D1400" s="257"/>
      <c r="E1400" s="258"/>
      <c r="F1400" s="259">
        <f t="shared" si="66"/>
        <v>0</v>
      </c>
    </row>
    <row r="1401" spans="2:6" x14ac:dyDescent="0.25">
      <c r="B1401" s="261"/>
      <c r="C1401" s="256"/>
      <c r="D1401" s="257"/>
      <c r="E1401" s="258"/>
      <c r="F1401" s="259">
        <f t="shared" si="66"/>
        <v>0</v>
      </c>
    </row>
    <row r="1402" spans="2:6" x14ac:dyDescent="0.25">
      <c r="B1402" s="261"/>
      <c r="C1402" s="256"/>
      <c r="D1402" s="257"/>
      <c r="E1402" s="258"/>
      <c r="F1402" s="259">
        <f t="shared" si="66"/>
        <v>0</v>
      </c>
    </row>
    <row r="1403" spans="2:6" x14ac:dyDescent="0.25">
      <c r="B1403" s="261"/>
      <c r="C1403" s="256"/>
      <c r="D1403" s="257"/>
      <c r="E1403" s="258"/>
      <c r="F1403" s="259">
        <f t="shared" si="66"/>
        <v>0</v>
      </c>
    </row>
    <row r="1404" spans="2:6" x14ac:dyDescent="0.25">
      <c r="B1404" s="261"/>
      <c r="C1404" s="256"/>
      <c r="D1404" s="257"/>
      <c r="E1404" s="258"/>
      <c r="F1404" s="259">
        <f t="shared" si="66"/>
        <v>0</v>
      </c>
    </row>
    <row r="1405" spans="2:6" x14ac:dyDescent="0.25">
      <c r="B1405" s="261"/>
      <c r="C1405" s="256"/>
      <c r="D1405" s="257"/>
      <c r="E1405" s="258"/>
      <c r="F1405" s="259">
        <f t="shared" si="66"/>
        <v>0</v>
      </c>
    </row>
    <row r="1406" spans="2:6" x14ac:dyDescent="0.25">
      <c r="B1406" s="261"/>
      <c r="C1406" s="256"/>
      <c r="D1406" s="257"/>
      <c r="E1406" s="258"/>
      <c r="F1406" s="259">
        <f t="shared" si="66"/>
        <v>0</v>
      </c>
    </row>
    <row r="1407" spans="2:6" x14ac:dyDescent="0.25">
      <c r="B1407" s="261"/>
      <c r="C1407" s="256"/>
      <c r="D1407" s="257"/>
      <c r="E1407" s="258"/>
      <c r="F1407" s="259">
        <f t="shared" si="66"/>
        <v>0</v>
      </c>
    </row>
    <row r="1408" spans="2:6" x14ac:dyDescent="0.25">
      <c r="B1408" s="261"/>
      <c r="C1408" s="256"/>
      <c r="D1408" s="257"/>
      <c r="E1408" s="258"/>
      <c r="F1408" s="259">
        <f t="shared" si="66"/>
        <v>0</v>
      </c>
    </row>
    <row r="1409" spans="2:6" x14ac:dyDescent="0.25">
      <c r="B1409" s="261"/>
      <c r="C1409" s="256"/>
      <c r="D1409" s="257"/>
      <c r="E1409" s="258"/>
      <c r="F1409" s="259">
        <f t="shared" si="66"/>
        <v>0</v>
      </c>
    </row>
    <row r="1410" spans="2:6" x14ac:dyDescent="0.25">
      <c r="B1410" s="262"/>
      <c r="C1410" s="263"/>
      <c r="D1410" s="264"/>
      <c r="E1410" s="265"/>
      <c r="F1410" s="259">
        <f t="shared" si="66"/>
        <v>0</v>
      </c>
    </row>
    <row r="1411" spans="2:6" ht="15.75" thickBot="1" x14ac:dyDescent="0.3">
      <c r="B1411" s="611" t="s">
        <v>286</v>
      </c>
      <c r="C1411" s="612"/>
      <c r="D1411" s="612"/>
      <c r="E1411" s="613"/>
      <c r="F1411" s="284">
        <f>SUM(F1399:F1410)</f>
        <v>83233.539696918015</v>
      </c>
    </row>
    <row r="1412" spans="2:6" x14ac:dyDescent="0.25">
      <c r="B1412" s="594" t="s">
        <v>277</v>
      </c>
      <c r="C1412" s="595"/>
      <c r="D1412" s="595"/>
      <c r="E1412" s="595"/>
      <c r="F1412" s="596"/>
    </row>
    <row r="1413" spans="2:6" x14ac:dyDescent="0.25">
      <c r="B1413" s="266" t="str">
        <f>CUADRILLAS!A87</f>
        <v>Cuadrilla labores varias (1of + 2ay)</v>
      </c>
      <c r="C1413" s="267" t="s">
        <v>110</v>
      </c>
      <c r="D1413" s="268">
        <v>0.112</v>
      </c>
      <c r="E1413" s="269">
        <f>CUADRILLAS!B87</f>
        <v>278637</v>
      </c>
      <c r="F1413" s="270">
        <f>D1413*E1413</f>
        <v>31207.344000000001</v>
      </c>
    </row>
    <row r="1414" spans="2:6" x14ac:dyDescent="0.25">
      <c r="B1414" s="266"/>
      <c r="C1414" s="267"/>
      <c r="D1414" s="268"/>
      <c r="E1414" s="269"/>
      <c r="F1414" s="270">
        <f>D1414*E1414</f>
        <v>0</v>
      </c>
    </row>
    <row r="1415" spans="2:6" x14ac:dyDescent="0.25">
      <c r="B1415" s="266"/>
      <c r="C1415" s="267"/>
      <c r="D1415" s="268"/>
      <c r="E1415" s="271"/>
      <c r="F1415" s="270">
        <f>D1415*E1415</f>
        <v>0</v>
      </c>
    </row>
    <row r="1416" spans="2:6" x14ac:dyDescent="0.25">
      <c r="B1416" s="272"/>
      <c r="C1416" s="273"/>
      <c r="D1416" s="268"/>
      <c r="E1416" s="271"/>
      <c r="F1416" s="270">
        <f>D1416*E1416</f>
        <v>0</v>
      </c>
    </row>
    <row r="1417" spans="2:6" ht="15.75" thickBot="1" x14ac:dyDescent="0.3">
      <c r="B1417" s="611" t="s">
        <v>287</v>
      </c>
      <c r="C1417" s="612"/>
      <c r="D1417" s="612"/>
      <c r="E1417" s="613"/>
      <c r="F1417" s="274">
        <f>SUM(F1413:F1416)</f>
        <v>31207.344000000001</v>
      </c>
    </row>
    <row r="1418" spans="2:6" x14ac:dyDescent="0.25">
      <c r="B1418" s="594" t="s">
        <v>278</v>
      </c>
      <c r="C1418" s="595"/>
      <c r="D1418" s="595"/>
      <c r="E1418" s="595"/>
      <c r="F1418" s="596"/>
    </row>
    <row r="1419" spans="2:6" x14ac:dyDescent="0.25">
      <c r="B1419" s="272" t="s">
        <v>279</v>
      </c>
      <c r="C1419" s="273" t="s">
        <v>280</v>
      </c>
      <c r="D1419" s="268">
        <v>0.05</v>
      </c>
      <c r="E1419" s="271">
        <f>F1417</f>
        <v>31207.344000000001</v>
      </c>
      <c r="F1419" s="270">
        <f>D1419*E1419</f>
        <v>1560.3672000000001</v>
      </c>
    </row>
    <row r="1420" spans="2:6" ht="15.75" thickBot="1" x14ac:dyDescent="0.3">
      <c r="B1420" s="611" t="s">
        <v>288</v>
      </c>
      <c r="C1420" s="612"/>
      <c r="D1420" s="612"/>
      <c r="E1420" s="613"/>
      <c r="F1420" s="274">
        <f>SUM(F1419)</f>
        <v>1560.3672000000001</v>
      </c>
    </row>
    <row r="1421" spans="2:6" x14ac:dyDescent="0.25">
      <c r="B1421" s="594" t="s">
        <v>281</v>
      </c>
      <c r="C1421" s="595"/>
      <c r="D1421" s="595"/>
      <c r="E1421" s="595"/>
      <c r="F1421" s="596"/>
    </row>
    <row r="1422" spans="2:6" x14ac:dyDescent="0.25">
      <c r="B1422" s="272" t="str">
        <f>INSUMOS!B215</f>
        <v xml:space="preserve">Motobomba Eléctrica Sumergible 2" </v>
      </c>
      <c r="C1422" s="273" t="s">
        <v>110</v>
      </c>
      <c r="D1422" s="268">
        <v>0.112</v>
      </c>
      <c r="E1422" s="271">
        <f>INSUMOS!D215</f>
        <v>30345</v>
      </c>
      <c r="F1422" s="259">
        <f t="shared" ref="F1422:F1433" si="67">D1422*E1422</f>
        <v>3398.64</v>
      </c>
    </row>
    <row r="1423" spans="2:6" ht="22.5" x14ac:dyDescent="0.25">
      <c r="B1423" s="272" t="str">
        <f>INSUMOS!B217</f>
        <v>Manguera de succión con granada flexible 2" (26m) + transporte.</v>
      </c>
      <c r="C1423" s="273" t="s">
        <v>110</v>
      </c>
      <c r="D1423" s="268">
        <f>+D1422</f>
        <v>0.112</v>
      </c>
      <c r="E1423" s="271">
        <f>INSUMOS!D217</f>
        <v>19637</v>
      </c>
      <c r="F1423" s="259">
        <f t="shared" si="67"/>
        <v>2199.3440000000001</v>
      </c>
    </row>
    <row r="1424" spans="2:6" x14ac:dyDescent="0.25">
      <c r="B1424" s="272" t="str">
        <f>INSUMOS!B218</f>
        <v xml:space="preserve">Extensión eléctrica encauchetada (50m) </v>
      </c>
      <c r="C1424" s="273" t="s">
        <v>110</v>
      </c>
      <c r="D1424" s="268">
        <f>+D1422</f>
        <v>0.112</v>
      </c>
      <c r="E1424" s="271">
        <f>INSUMOS!D218</f>
        <v>12500</v>
      </c>
      <c r="F1424" s="259">
        <f t="shared" si="67"/>
        <v>1400</v>
      </c>
    </row>
    <row r="1425" spans="2:6" x14ac:dyDescent="0.25">
      <c r="B1425" s="272" t="str">
        <f>INSUMOS!B230</f>
        <v>Vibrador eléctrico de aguja a 110 V</v>
      </c>
      <c r="C1425" s="273" t="s">
        <v>110</v>
      </c>
      <c r="D1425" s="268">
        <f>+D1422</f>
        <v>0.112</v>
      </c>
      <c r="E1425" s="271">
        <f>INSUMOS!D230</f>
        <v>48433</v>
      </c>
      <c r="F1425" s="259">
        <f t="shared" si="67"/>
        <v>5424.4960000000001</v>
      </c>
    </row>
    <row r="1426" spans="2:6" x14ac:dyDescent="0.25">
      <c r="B1426" s="272"/>
      <c r="C1426" s="273"/>
      <c r="D1426" s="268"/>
      <c r="E1426" s="271"/>
      <c r="F1426" s="259">
        <f t="shared" si="67"/>
        <v>0</v>
      </c>
    </row>
    <row r="1427" spans="2:6" x14ac:dyDescent="0.25">
      <c r="B1427" s="272"/>
      <c r="C1427" s="273"/>
      <c r="D1427" s="268"/>
      <c r="E1427" s="271"/>
      <c r="F1427" s="259">
        <f t="shared" si="67"/>
        <v>0</v>
      </c>
    </row>
    <row r="1428" spans="2:6" x14ac:dyDescent="0.25">
      <c r="B1428" s="272"/>
      <c r="C1428" s="273"/>
      <c r="D1428" s="268"/>
      <c r="E1428" s="271"/>
      <c r="F1428" s="259">
        <f t="shared" si="67"/>
        <v>0</v>
      </c>
    </row>
    <row r="1429" spans="2:6" x14ac:dyDescent="0.25">
      <c r="B1429" s="272"/>
      <c r="C1429" s="273"/>
      <c r="D1429" s="268"/>
      <c r="E1429" s="271"/>
      <c r="F1429" s="259">
        <f t="shared" si="67"/>
        <v>0</v>
      </c>
    </row>
    <row r="1430" spans="2:6" x14ac:dyDescent="0.25">
      <c r="B1430" s="272"/>
      <c r="C1430" s="273"/>
      <c r="D1430" s="268"/>
      <c r="E1430" s="271"/>
      <c r="F1430" s="259">
        <f t="shared" si="67"/>
        <v>0</v>
      </c>
    </row>
    <row r="1431" spans="2:6" x14ac:dyDescent="0.25">
      <c r="B1431" s="272"/>
      <c r="C1431" s="273"/>
      <c r="D1431" s="268"/>
      <c r="E1431" s="271"/>
      <c r="F1431" s="259">
        <f t="shared" si="67"/>
        <v>0</v>
      </c>
    </row>
    <row r="1432" spans="2:6" x14ac:dyDescent="0.25">
      <c r="B1432" s="272"/>
      <c r="C1432" s="273"/>
      <c r="D1432" s="268"/>
      <c r="E1432" s="271"/>
      <c r="F1432" s="259">
        <f t="shared" si="67"/>
        <v>0</v>
      </c>
    </row>
    <row r="1433" spans="2:6" x14ac:dyDescent="0.25">
      <c r="B1433" s="272"/>
      <c r="C1433" s="273"/>
      <c r="D1433" s="268"/>
      <c r="E1433" s="271"/>
      <c r="F1433" s="259">
        <f t="shared" si="67"/>
        <v>0</v>
      </c>
    </row>
    <row r="1434" spans="2:6" ht="15.75" thickBot="1" x14ac:dyDescent="0.3">
      <c r="B1434" s="611" t="s">
        <v>289</v>
      </c>
      <c r="C1434" s="612"/>
      <c r="D1434" s="612"/>
      <c r="E1434" s="613"/>
      <c r="F1434" s="274">
        <f>SUM(F1422:F1433)</f>
        <v>12422.48</v>
      </c>
    </row>
    <row r="1435" spans="2:6" x14ac:dyDescent="0.25">
      <c r="B1435" s="594" t="s">
        <v>290</v>
      </c>
      <c r="C1435" s="595"/>
      <c r="D1435" s="595"/>
      <c r="E1435" s="595"/>
      <c r="F1435" s="596"/>
    </row>
    <row r="1436" spans="2:6" x14ac:dyDescent="0.25">
      <c r="B1436" s="272" t="s">
        <v>903</v>
      </c>
      <c r="C1436" s="273" t="s">
        <v>117</v>
      </c>
      <c r="D1436" s="275">
        <f>D1399*(SUBANALISIS!C79+SUBANALISIS!C80+SUBANALISIS!C81/25)</f>
        <v>0.22826812220983442</v>
      </c>
      <c r="E1436" s="276">
        <v>15000</v>
      </c>
      <c r="F1436" s="259">
        <f>D1436*E1436</f>
        <v>3424.0218331475162</v>
      </c>
    </row>
    <row r="1437" spans="2:6" x14ac:dyDescent="0.25">
      <c r="B1437" s="277"/>
      <c r="C1437" s="278"/>
      <c r="D1437" s="279"/>
      <c r="E1437" s="280"/>
      <c r="F1437" s="259">
        <f>D1437*E1437</f>
        <v>0</v>
      </c>
    </row>
    <row r="1438" spans="2:6" x14ac:dyDescent="0.25">
      <c r="B1438" s="277"/>
      <c r="C1438" s="278"/>
      <c r="D1438" s="279"/>
      <c r="E1438" s="280"/>
      <c r="F1438" s="259">
        <f>D1438*E1438</f>
        <v>0</v>
      </c>
    </row>
    <row r="1439" spans="2:6" ht="15.75" thickBot="1" x14ac:dyDescent="0.3">
      <c r="B1439" s="611" t="s">
        <v>291</v>
      </c>
      <c r="C1439" s="612"/>
      <c r="D1439" s="612"/>
      <c r="E1439" s="613"/>
      <c r="F1439" s="285">
        <f>SUM(F1436:F1438)</f>
        <v>3424.0218331475162</v>
      </c>
    </row>
    <row r="1440" spans="2:6" ht="15.75" thickBot="1" x14ac:dyDescent="0.3">
      <c r="B1440" s="600" t="s">
        <v>282</v>
      </c>
      <c r="C1440" s="601"/>
      <c r="D1440" s="601"/>
      <c r="E1440" s="601"/>
      <c r="F1440" s="286">
        <f>ROUND(F1411+F1417+F1420+F1434+F1439,0)</f>
        <v>131848</v>
      </c>
    </row>
    <row r="1441" spans="2:6" ht="15.75" thickBot="1" x14ac:dyDescent="0.3"/>
    <row r="1442" spans="2:6" ht="15.75" thickBot="1" x14ac:dyDescent="0.3">
      <c r="B1442" s="602" t="s">
        <v>276</v>
      </c>
      <c r="C1442" s="603"/>
      <c r="D1442" s="603"/>
      <c r="E1442" s="603"/>
      <c r="F1442" s="604"/>
    </row>
    <row r="1443" spans="2:6" ht="15.75" thickBot="1" x14ac:dyDescent="0.3">
      <c r="B1443" s="605" t="s">
        <v>104</v>
      </c>
      <c r="C1443" s="606"/>
      <c r="D1443" s="607"/>
      <c r="E1443" s="282" t="s">
        <v>105</v>
      </c>
      <c r="F1443" s="283" t="s">
        <v>103</v>
      </c>
    </row>
    <row r="1444" spans="2:6" ht="67.150000000000006" customHeight="1" thickBot="1" x14ac:dyDescent="0.3">
      <c r="B1444" s="608" t="str">
        <f>'PRESUPUESTO CALLE 58 SUR'!B43</f>
        <v>Construcción de ZAPATA, en concreto de 21 MPa., de diferentes medidas, Impermeabilizado con Plastocrete DM de Sika o equivalente. Incluye suministro, transporte y colocación del concreto, formaleta, vibrado, protección para estructuras, armado y desarmado de toda la obra falsa necesaria para la correcta construcción, según diseño. El acero de refuerzo se pagará en su respectivo ítem. Incluye SOBREACARREO DE MATERIALES</v>
      </c>
      <c r="C1444" s="609"/>
      <c r="D1444" s="610"/>
      <c r="E1444" s="449" t="str">
        <f>'PRESUPUESTO CALLE 58 SUR'!C43</f>
        <v>m3</v>
      </c>
      <c r="F1444" s="448">
        <f>'PRESUPUESTO CALLE 58 SUR'!A43</f>
        <v>8.3000000000000007</v>
      </c>
    </row>
    <row r="1445" spans="2:6" ht="15.75" thickBot="1" x14ac:dyDescent="0.3">
      <c r="B1445" s="250" t="s">
        <v>8</v>
      </c>
      <c r="C1445" s="251" t="s">
        <v>9</v>
      </c>
      <c r="D1445" s="252" t="s">
        <v>10</v>
      </c>
      <c r="E1445" s="253" t="s">
        <v>283</v>
      </c>
      <c r="F1445" s="254" t="s">
        <v>284</v>
      </c>
    </row>
    <row r="1446" spans="2:6" x14ac:dyDescent="0.25">
      <c r="B1446" s="594" t="s">
        <v>285</v>
      </c>
      <c r="C1446" s="595"/>
      <c r="D1446" s="595"/>
      <c r="E1446" s="595"/>
      <c r="F1446" s="596"/>
    </row>
    <row r="1447" spans="2:6" x14ac:dyDescent="0.25">
      <c r="B1447" s="255" t="str">
        <f>SUBANALISIS!A78</f>
        <v>Concr.en obra 3000 psi 3/4"</v>
      </c>
      <c r="C1447" s="256" t="s">
        <v>117</v>
      </c>
      <c r="D1447" s="257">
        <v>1.05</v>
      </c>
      <c r="E1447" s="258">
        <f>SUBANALISIS!F78</f>
        <v>630810.91779999994</v>
      </c>
      <c r="F1447" s="259">
        <f t="shared" ref="F1447:F1458" si="68">D1447*E1447</f>
        <v>662351.46369</v>
      </c>
    </row>
    <row r="1448" spans="2:6" ht="22.5" x14ac:dyDescent="0.25">
      <c r="B1448" s="260" t="str">
        <f>INSUMOS!B248</f>
        <v>Tabla madera común de 2.5 cm x 20cm x 2.80m. Incluye transporte.</v>
      </c>
      <c r="C1448" s="256" t="s">
        <v>17</v>
      </c>
      <c r="D1448" s="257">
        <v>1.5</v>
      </c>
      <c r="E1448" s="258">
        <f>INSUMOS!D248</f>
        <v>17255</v>
      </c>
      <c r="F1448" s="259">
        <f t="shared" si="68"/>
        <v>25882.5</v>
      </c>
    </row>
    <row r="1449" spans="2:6" ht="22.5" x14ac:dyDescent="0.25">
      <c r="B1449" s="261" t="str">
        <f>INSUMOS!B202</f>
        <v>Larguero madera comun 4 cmx8cmx2.80 m. Incluye transporte</v>
      </c>
      <c r="C1449" s="256" t="s">
        <v>17</v>
      </c>
      <c r="D1449" s="257">
        <v>3</v>
      </c>
      <c r="E1449" s="258">
        <f>INSUMOS!D202</f>
        <v>20135</v>
      </c>
      <c r="F1449" s="259">
        <f t="shared" si="68"/>
        <v>60405</v>
      </c>
    </row>
    <row r="1450" spans="2:6" x14ac:dyDescent="0.25">
      <c r="B1450" s="261" t="str">
        <f>INSUMOS!B246</f>
        <v>Media telera 45X135</v>
      </c>
      <c r="C1450" s="256" t="s">
        <v>17</v>
      </c>
      <c r="D1450" s="257">
        <v>1</v>
      </c>
      <c r="E1450" s="258">
        <f>INSUMOS!D246</f>
        <v>21420</v>
      </c>
      <c r="F1450" s="259">
        <f t="shared" si="68"/>
        <v>21420</v>
      </c>
    </row>
    <row r="1451" spans="2:6" x14ac:dyDescent="0.25">
      <c r="B1451" s="261" t="str">
        <f>INSUMOS!B205</f>
        <v>Clavo común x CAJA por 500 gr</v>
      </c>
      <c r="C1451" s="256" t="s">
        <v>17</v>
      </c>
      <c r="D1451" s="257">
        <v>1</v>
      </c>
      <c r="E1451" s="258">
        <f>INSUMOS!E205</f>
        <v>5000</v>
      </c>
      <c r="F1451" s="259">
        <f t="shared" si="68"/>
        <v>5000</v>
      </c>
    </row>
    <row r="1452" spans="2:6" x14ac:dyDescent="0.25">
      <c r="B1452" s="261" t="str">
        <f>INSUMOS!B208</f>
        <v>Alambre recocido C 18</v>
      </c>
      <c r="C1452" s="256" t="s">
        <v>122</v>
      </c>
      <c r="D1452" s="257">
        <v>1</v>
      </c>
      <c r="E1452" s="258">
        <f>INSUMOS!D208</f>
        <v>8687</v>
      </c>
      <c r="F1452" s="259">
        <f t="shared" si="68"/>
        <v>8687</v>
      </c>
    </row>
    <row r="1453" spans="2:6" ht="67.5" x14ac:dyDescent="0.25">
      <c r="B1453" s="260" t="str">
        <f>INSUMOS!B214</f>
        <v>Separol o equivalente (Desmoldante para evitar adherencia de concretos a formaletas.Presentación 15Kg. Rendimiento metal :45g/m2 madera:55g/m2 (15 kg)). para metal puro, para madera diluir hasta 5 partes de agua segun porosidad de la madera.</v>
      </c>
      <c r="C1453" s="256" t="s">
        <v>17</v>
      </c>
      <c r="D1453" s="257">
        <f>0.5*2*55/15000</f>
        <v>3.6666666666666666E-3</v>
      </c>
      <c r="E1453" s="258">
        <f>INSUMOS!D214</f>
        <v>550778</v>
      </c>
      <c r="F1453" s="259">
        <f t="shared" si="68"/>
        <v>2019.5193333333334</v>
      </c>
    </row>
    <row r="1454" spans="2:6" ht="22.5" x14ac:dyDescent="0.25">
      <c r="B1454" s="261" t="str">
        <f>INSUMOS!B272</f>
        <v>Curador Antisol blanco para morteros y concretos. X 20 kg. Rendimiento 200 gr X m2.</v>
      </c>
      <c r="C1454" s="256" t="s">
        <v>17</v>
      </c>
      <c r="D1454" s="257">
        <f>(2.65+0.5)/1.35*200/20000</f>
        <v>2.3333333333333331E-2</v>
      </c>
      <c r="E1454" s="258">
        <f>INSUMOS!D272</f>
        <v>266261</v>
      </c>
      <c r="F1454" s="259">
        <f t="shared" si="68"/>
        <v>6212.7566666666662</v>
      </c>
    </row>
    <row r="1455" spans="2:6" x14ac:dyDescent="0.25">
      <c r="B1455" s="261"/>
      <c r="C1455" s="256"/>
      <c r="D1455" s="257"/>
      <c r="E1455" s="258"/>
      <c r="F1455" s="259">
        <f t="shared" si="68"/>
        <v>0</v>
      </c>
    </row>
    <row r="1456" spans="2:6" x14ac:dyDescent="0.25">
      <c r="B1456" s="261"/>
      <c r="C1456" s="256"/>
      <c r="D1456" s="257"/>
      <c r="E1456" s="258"/>
      <c r="F1456" s="259">
        <f t="shared" si="68"/>
        <v>0</v>
      </c>
    </row>
    <row r="1457" spans="2:6" x14ac:dyDescent="0.25">
      <c r="B1457" s="261"/>
      <c r="C1457" s="256"/>
      <c r="D1457" s="257"/>
      <c r="E1457" s="258"/>
      <c r="F1457" s="259">
        <f t="shared" si="68"/>
        <v>0</v>
      </c>
    </row>
    <row r="1458" spans="2:6" x14ac:dyDescent="0.25">
      <c r="B1458" s="262"/>
      <c r="C1458" s="263"/>
      <c r="D1458" s="264"/>
      <c r="E1458" s="265"/>
      <c r="F1458" s="259">
        <f t="shared" si="68"/>
        <v>0</v>
      </c>
    </row>
    <row r="1459" spans="2:6" ht="15.75" thickBot="1" x14ac:dyDescent="0.3">
      <c r="B1459" s="611" t="s">
        <v>286</v>
      </c>
      <c r="C1459" s="612"/>
      <c r="D1459" s="612"/>
      <c r="E1459" s="613"/>
      <c r="F1459" s="284">
        <f>SUM(F1447:F1458)</f>
        <v>791978.23969000007</v>
      </c>
    </row>
    <row r="1460" spans="2:6" x14ac:dyDescent="0.25">
      <c r="B1460" s="594" t="s">
        <v>277</v>
      </c>
      <c r="C1460" s="595"/>
      <c r="D1460" s="595"/>
      <c r="E1460" s="595"/>
      <c r="F1460" s="596"/>
    </row>
    <row r="1461" spans="2:6" x14ac:dyDescent="0.25">
      <c r="B1461" s="266" t="str">
        <f>CUADRILLAS!A92</f>
        <v>Cuad. Concreto (1of + 3ay)</v>
      </c>
      <c r="C1461" s="267" t="s">
        <v>110</v>
      </c>
      <c r="D1461" s="268">
        <v>0.6</v>
      </c>
      <c r="E1461" s="269">
        <f>CUADRILLAS!B92</f>
        <v>349423</v>
      </c>
      <c r="F1461" s="270">
        <f>D1461*E1461</f>
        <v>209653.8</v>
      </c>
    </row>
    <row r="1462" spans="2:6" x14ac:dyDescent="0.25">
      <c r="B1462" s="536" t="str">
        <f>CUADRILLAS!A80</f>
        <v>1Ay Raso</v>
      </c>
      <c r="C1462" s="537" t="s">
        <v>110</v>
      </c>
      <c r="D1462" s="528">
        <v>0.2</v>
      </c>
      <c r="E1462" s="538">
        <f>CUADRILLAS!B80</f>
        <v>70786</v>
      </c>
      <c r="F1462" s="539">
        <f>D1462*E1462</f>
        <v>14157.2</v>
      </c>
    </row>
    <row r="1463" spans="2:6" x14ac:dyDescent="0.25">
      <c r="B1463" s="266"/>
      <c r="C1463" s="267"/>
      <c r="D1463" s="268"/>
      <c r="E1463" s="271"/>
      <c r="F1463" s="270">
        <f>D1463*E1463</f>
        <v>0</v>
      </c>
    </row>
    <row r="1464" spans="2:6" x14ac:dyDescent="0.25">
      <c r="B1464" s="272"/>
      <c r="C1464" s="273"/>
      <c r="D1464" s="268"/>
      <c r="E1464" s="271"/>
      <c r="F1464" s="270">
        <f>D1464*E1464</f>
        <v>0</v>
      </c>
    </row>
    <row r="1465" spans="2:6" ht="15.75" thickBot="1" x14ac:dyDescent="0.3">
      <c r="B1465" s="611" t="s">
        <v>287</v>
      </c>
      <c r="C1465" s="612"/>
      <c r="D1465" s="612"/>
      <c r="E1465" s="613"/>
      <c r="F1465" s="274">
        <f>SUM(F1461:F1464)</f>
        <v>223811</v>
      </c>
    </row>
    <row r="1466" spans="2:6" x14ac:dyDescent="0.25">
      <c r="B1466" s="594" t="s">
        <v>278</v>
      </c>
      <c r="C1466" s="595"/>
      <c r="D1466" s="595"/>
      <c r="E1466" s="595"/>
      <c r="F1466" s="596"/>
    </row>
    <row r="1467" spans="2:6" x14ac:dyDescent="0.25">
      <c r="B1467" s="272" t="s">
        <v>279</v>
      </c>
      <c r="C1467" s="273" t="s">
        <v>280</v>
      </c>
      <c r="D1467" s="268">
        <v>0.05</v>
      </c>
      <c r="E1467" s="271">
        <f>F1465</f>
        <v>223811</v>
      </c>
      <c r="F1467" s="270">
        <f>D1467*E1467</f>
        <v>11190.550000000001</v>
      </c>
    </row>
    <row r="1468" spans="2:6" ht="15.75" thickBot="1" x14ac:dyDescent="0.3">
      <c r="B1468" s="611" t="s">
        <v>288</v>
      </c>
      <c r="C1468" s="612"/>
      <c r="D1468" s="612"/>
      <c r="E1468" s="613"/>
      <c r="F1468" s="274">
        <f>SUM(F1467)</f>
        <v>11190.550000000001</v>
      </c>
    </row>
    <row r="1469" spans="2:6" x14ac:dyDescent="0.25">
      <c r="B1469" s="594" t="s">
        <v>281</v>
      </c>
      <c r="C1469" s="595"/>
      <c r="D1469" s="595"/>
      <c r="E1469" s="595"/>
      <c r="F1469" s="596"/>
    </row>
    <row r="1470" spans="2:6" x14ac:dyDescent="0.25">
      <c r="B1470" s="272" t="str">
        <f>INSUMOS!B240</f>
        <v>Taco Metalico Enano</v>
      </c>
      <c r="C1470" s="273" t="s">
        <v>110</v>
      </c>
      <c r="D1470" s="268"/>
      <c r="E1470" s="271">
        <f>INSUMOS!D240</f>
        <v>381</v>
      </c>
      <c r="F1470" s="259">
        <f t="shared" ref="F1470:F1481" si="69">D1470*E1470</f>
        <v>0</v>
      </c>
    </row>
    <row r="1471" spans="2:6" x14ac:dyDescent="0.25">
      <c r="B1471" s="272" t="str">
        <f>INSUMOS!B239</f>
        <v>Cercha Metálica 3 m alquiler + transporte</v>
      </c>
      <c r="C1471" s="273" t="s">
        <v>110</v>
      </c>
      <c r="D1471" s="268"/>
      <c r="E1471" s="271">
        <f>INSUMOS!D239</f>
        <v>535.5</v>
      </c>
      <c r="F1471" s="259">
        <f t="shared" si="69"/>
        <v>0</v>
      </c>
    </row>
    <row r="1472" spans="2:6" x14ac:dyDescent="0.25">
      <c r="B1472" s="534" t="str">
        <f>INSUMOS!B223</f>
        <v>Sierra circular manual + disco</v>
      </c>
      <c r="C1472" s="527" t="s">
        <v>110</v>
      </c>
      <c r="D1472" s="528">
        <v>0</v>
      </c>
      <c r="E1472" s="535">
        <f>INSUMOS!D223</f>
        <v>35000</v>
      </c>
      <c r="F1472" s="529">
        <f t="shared" si="69"/>
        <v>0</v>
      </c>
    </row>
    <row r="1473" spans="2:6" x14ac:dyDescent="0.25">
      <c r="B1473" s="272" t="str">
        <f>INSUMOS!B218</f>
        <v xml:space="preserve">Extensión eléctrica encauchetada (50m) </v>
      </c>
      <c r="C1473" s="273" t="s">
        <v>110</v>
      </c>
      <c r="D1473" s="268">
        <v>0.5</v>
      </c>
      <c r="E1473" s="271">
        <f>INSUMOS!F218</f>
        <v>9163</v>
      </c>
      <c r="F1473" s="259">
        <f t="shared" si="69"/>
        <v>4581.5</v>
      </c>
    </row>
    <row r="1474" spans="2:6" x14ac:dyDescent="0.25">
      <c r="B1474" s="272" t="str">
        <f>INSUMOS!B230</f>
        <v>Vibrador eléctrico de aguja a 110 V</v>
      </c>
      <c r="C1474" s="273" t="s">
        <v>110</v>
      </c>
      <c r="D1474" s="268">
        <v>0.3</v>
      </c>
      <c r="E1474" s="271">
        <f>INSUMOS!D230</f>
        <v>48433</v>
      </c>
      <c r="F1474" s="259">
        <f t="shared" si="69"/>
        <v>14529.9</v>
      </c>
    </row>
    <row r="1475" spans="2:6" x14ac:dyDescent="0.25">
      <c r="B1475" s="272" t="str">
        <f>INSUMOS!B324</f>
        <v>Fumigadora manual</v>
      </c>
      <c r="C1475" s="273" t="s">
        <v>110</v>
      </c>
      <c r="D1475" s="268">
        <v>0</v>
      </c>
      <c r="E1475" s="271">
        <f>INSUMOS!D324</f>
        <v>2498</v>
      </c>
      <c r="F1475" s="259">
        <f t="shared" si="69"/>
        <v>0</v>
      </c>
    </row>
    <row r="1476" spans="2:6" x14ac:dyDescent="0.25">
      <c r="B1476" s="272"/>
      <c r="C1476" s="273"/>
      <c r="D1476" s="268"/>
      <c r="E1476" s="271"/>
      <c r="F1476" s="259">
        <f t="shared" si="69"/>
        <v>0</v>
      </c>
    </row>
    <row r="1477" spans="2:6" x14ac:dyDescent="0.25">
      <c r="B1477" s="272"/>
      <c r="C1477" s="273"/>
      <c r="D1477" s="268"/>
      <c r="E1477" s="271"/>
      <c r="F1477" s="259">
        <f t="shared" si="69"/>
        <v>0</v>
      </c>
    </row>
    <row r="1478" spans="2:6" x14ac:dyDescent="0.25">
      <c r="B1478" s="272"/>
      <c r="C1478" s="273"/>
      <c r="D1478" s="268"/>
      <c r="E1478" s="271"/>
      <c r="F1478" s="259">
        <f t="shared" si="69"/>
        <v>0</v>
      </c>
    </row>
    <row r="1479" spans="2:6" x14ac:dyDescent="0.25">
      <c r="B1479" s="272"/>
      <c r="C1479" s="273"/>
      <c r="D1479" s="268"/>
      <c r="E1479" s="271"/>
      <c r="F1479" s="259">
        <f t="shared" si="69"/>
        <v>0</v>
      </c>
    </row>
    <row r="1480" spans="2:6" x14ac:dyDescent="0.25">
      <c r="B1480" s="272"/>
      <c r="C1480" s="273"/>
      <c r="D1480" s="268"/>
      <c r="E1480" s="271"/>
      <c r="F1480" s="259">
        <f t="shared" si="69"/>
        <v>0</v>
      </c>
    </row>
    <row r="1481" spans="2:6" x14ac:dyDescent="0.25">
      <c r="B1481" s="272"/>
      <c r="C1481" s="273"/>
      <c r="D1481" s="268"/>
      <c r="E1481" s="271"/>
      <c r="F1481" s="259">
        <f t="shared" si="69"/>
        <v>0</v>
      </c>
    </row>
    <row r="1482" spans="2:6" ht="15.75" thickBot="1" x14ac:dyDescent="0.3">
      <c r="B1482" s="611" t="s">
        <v>289</v>
      </c>
      <c r="C1482" s="612"/>
      <c r="D1482" s="612"/>
      <c r="E1482" s="613"/>
      <c r="F1482" s="274">
        <f>SUM(F1470:F1481)</f>
        <v>19111.400000000001</v>
      </c>
    </row>
    <row r="1483" spans="2:6" x14ac:dyDescent="0.25">
      <c r="B1483" s="594" t="s">
        <v>290</v>
      </c>
      <c r="C1483" s="595"/>
      <c r="D1483" s="595"/>
      <c r="E1483" s="595"/>
      <c r="F1483" s="596"/>
    </row>
    <row r="1484" spans="2:6" x14ac:dyDescent="0.25">
      <c r="B1484" s="272" t="s">
        <v>883</v>
      </c>
      <c r="C1484" s="273" t="s">
        <v>117</v>
      </c>
      <c r="D1484" s="275">
        <f>+D1447*1.8</f>
        <v>1.8900000000000001</v>
      </c>
      <c r="E1484" s="276">
        <v>15000</v>
      </c>
      <c r="F1484" s="259">
        <f>D1484*E1484</f>
        <v>28350.000000000004</v>
      </c>
    </row>
    <row r="1485" spans="2:6" x14ac:dyDescent="0.25">
      <c r="B1485" s="277" t="s">
        <v>904</v>
      </c>
      <c r="C1485" s="278" t="s">
        <v>49</v>
      </c>
      <c r="D1485" s="279">
        <v>0</v>
      </c>
      <c r="E1485" s="280">
        <v>10000</v>
      </c>
      <c r="F1485" s="259">
        <f>D1485*E1485</f>
        <v>0</v>
      </c>
    </row>
    <row r="1486" spans="2:6" x14ac:dyDescent="0.25">
      <c r="B1486" s="277"/>
      <c r="C1486" s="278"/>
      <c r="D1486" s="279"/>
      <c r="E1486" s="280"/>
      <c r="F1486" s="259">
        <f>D1486*E1486</f>
        <v>0</v>
      </c>
    </row>
    <row r="1487" spans="2:6" ht="15.75" thickBot="1" x14ac:dyDescent="0.3">
      <c r="B1487" s="611" t="s">
        <v>291</v>
      </c>
      <c r="C1487" s="612"/>
      <c r="D1487" s="612"/>
      <c r="E1487" s="613"/>
      <c r="F1487" s="285">
        <f>SUM(F1484:F1486)</f>
        <v>28350.000000000004</v>
      </c>
    </row>
    <row r="1488" spans="2:6" ht="15.75" thickBot="1" x14ac:dyDescent="0.3">
      <c r="B1488" s="600" t="s">
        <v>282</v>
      </c>
      <c r="C1488" s="601"/>
      <c r="D1488" s="601"/>
      <c r="E1488" s="601"/>
      <c r="F1488" s="499">
        <f>ROUND(F1459+F1465+F1468+F1482+F1487,0)</f>
        <v>1074441</v>
      </c>
    </row>
    <row r="1489" spans="2:6" ht="15.75" thickBot="1" x14ac:dyDescent="0.3"/>
    <row r="1490" spans="2:6" ht="15.75" thickBot="1" x14ac:dyDescent="0.3">
      <c r="B1490" s="602" t="s">
        <v>276</v>
      </c>
      <c r="C1490" s="603"/>
      <c r="D1490" s="603"/>
      <c r="E1490" s="603"/>
      <c r="F1490" s="604"/>
    </row>
    <row r="1491" spans="2:6" ht="15.75" thickBot="1" x14ac:dyDescent="0.3">
      <c r="B1491" s="605" t="s">
        <v>104</v>
      </c>
      <c r="C1491" s="606"/>
      <c r="D1491" s="607"/>
      <c r="E1491" s="282" t="s">
        <v>105</v>
      </c>
      <c r="F1491" s="283" t="s">
        <v>103</v>
      </c>
    </row>
    <row r="1492" spans="2:6" ht="102" customHeight="1" thickBot="1" x14ac:dyDescent="0.3">
      <c r="B1492" s="608" t="str">
        <f>'PRESUPUESTO CALLE 58 SUR'!B44</f>
        <v>Construcción de MURO DE CONTENCIÓN en concreto de 21Mpa. a la vista, con un ESPESOR DE 0,35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v>
      </c>
      <c r="C1492" s="609"/>
      <c r="D1492" s="610"/>
      <c r="E1492" s="449" t="str">
        <f>'PRESUPUESTO CALLE 58 SUR'!C44</f>
        <v>m2</v>
      </c>
      <c r="F1492" s="448">
        <f>'PRESUPUESTO CALLE 58 SUR'!A44</f>
        <v>8.4</v>
      </c>
    </row>
    <row r="1493" spans="2:6" ht="15.75" thickBot="1" x14ac:dyDescent="0.3">
      <c r="B1493" s="250" t="s">
        <v>8</v>
      </c>
      <c r="C1493" s="251" t="s">
        <v>9</v>
      </c>
      <c r="D1493" s="252" t="s">
        <v>10</v>
      </c>
      <c r="E1493" s="253" t="s">
        <v>283</v>
      </c>
      <c r="F1493" s="254" t="s">
        <v>284</v>
      </c>
    </row>
    <row r="1494" spans="2:6" x14ac:dyDescent="0.25">
      <c r="B1494" s="594" t="s">
        <v>285</v>
      </c>
      <c r="C1494" s="595"/>
      <c r="D1494" s="595"/>
      <c r="E1494" s="595"/>
      <c r="F1494" s="596"/>
    </row>
    <row r="1495" spans="2:6" x14ac:dyDescent="0.25">
      <c r="B1495" s="255" t="str">
        <f>SUBANALISIS!A78</f>
        <v>Concr.en obra 3000 psi 3/4"</v>
      </c>
      <c r="C1495" s="256" t="s">
        <v>117</v>
      </c>
      <c r="D1495" s="257">
        <f>0.35*1.05</f>
        <v>0.36749999999999999</v>
      </c>
      <c r="E1495" s="258">
        <f>SUBANALISIS!F78</f>
        <v>630810.91779999994</v>
      </c>
      <c r="F1495" s="259">
        <f t="shared" ref="F1495:F1504" si="70">D1495*E1495</f>
        <v>231823.01229149997</v>
      </c>
    </row>
    <row r="1496" spans="2:6" ht="45" x14ac:dyDescent="0.25">
      <c r="B1496" s="260" t="str">
        <f>INSUMOS!B263</f>
        <v>Sika Plastocrete DM Impermeabilizante para concreto. Presentación: 20kg rendimiento: 1% del peso del cemento ó 250 gr / bulto de cemento de 50 kg. + transp.</v>
      </c>
      <c r="C1496" s="256" t="s">
        <v>122</v>
      </c>
      <c r="D1496" s="257">
        <f>250*D1495*SUBANALISIS!C81/1000*1.05</f>
        <v>0.77175000000000005</v>
      </c>
      <c r="E1496" s="258">
        <f>INSUMOS!D263</f>
        <v>23934.55</v>
      </c>
      <c r="F1496" s="259">
        <f t="shared" si="70"/>
        <v>18471.4889625</v>
      </c>
    </row>
    <row r="1497" spans="2:6" ht="22.5" x14ac:dyDescent="0.25">
      <c r="B1497" s="260" t="str">
        <f>INSUMOS!B200</f>
        <v>Formaleta Madera (Fenolica similar a supert). (18 mm 183x2.44)+transporte</v>
      </c>
      <c r="C1497" s="256" t="s">
        <v>17</v>
      </c>
      <c r="D1497" s="257">
        <f>1*2/(1.83*2.44)*1.1/3</f>
        <v>0.16423303174176596</v>
      </c>
      <c r="E1497" s="258">
        <f>INSUMOS!D200</f>
        <v>264900</v>
      </c>
      <c r="F1497" s="259">
        <f t="shared" si="70"/>
        <v>43505.330108393799</v>
      </c>
    </row>
    <row r="1498" spans="2:6" ht="22.5" x14ac:dyDescent="0.25">
      <c r="B1498" s="260" t="str">
        <f>INSUMOS!$B$202</f>
        <v>Larguero madera comun 4 cmx8cmx2.80 m. Incluye transporte</v>
      </c>
      <c r="C1498" s="256" t="s">
        <v>17</v>
      </c>
      <c r="D1498" s="257">
        <f>((7/2.8/3)*2+0.4*3)*1.1</f>
        <v>3.1533333333333342</v>
      </c>
      <c r="E1498" s="258">
        <f>INSUMOS!$D$202</f>
        <v>20135</v>
      </c>
      <c r="F1498" s="259">
        <f t="shared" si="70"/>
        <v>63492.366666666683</v>
      </c>
    </row>
    <row r="1499" spans="2:6" ht="22.5" x14ac:dyDescent="0.25">
      <c r="B1499" s="260" t="str">
        <f>INSUMOS!$B$248</f>
        <v>Tabla madera común de 2.5 cm x 20cm x 2.80m. Incluye transporte.</v>
      </c>
      <c r="C1499" s="256" t="s">
        <v>17</v>
      </c>
      <c r="D1499" s="257">
        <v>0.2</v>
      </c>
      <c r="E1499" s="258">
        <f>INSUMOS!$D$248</f>
        <v>17255</v>
      </c>
      <c r="F1499" s="259">
        <f t="shared" si="70"/>
        <v>3451</v>
      </c>
    </row>
    <row r="1500" spans="2:6" ht="67.5" x14ac:dyDescent="0.25">
      <c r="B1500" s="260" t="str">
        <f>INSUMOS!$B$214</f>
        <v>Separol o equivalente (Desmoldante para evitar adherencia de concretos a formaletas.Presentación 15Kg. Rendimiento metal :45g/m2 madera:55g/m2 (15 kg)). para metal puro, para madera diluir hasta 5 partes de agua segun porosidad de la madera.</v>
      </c>
      <c r="C1500" s="256" t="s">
        <v>17</v>
      </c>
      <c r="D1500" s="257">
        <f>2.02*0.00366666666666667</f>
        <v>7.4066666666666734E-3</v>
      </c>
      <c r="E1500" s="258">
        <f>INSUMOS!$D$214</f>
        <v>550778</v>
      </c>
      <c r="F1500" s="259">
        <f t="shared" si="70"/>
        <v>4079.4290533333369</v>
      </c>
    </row>
    <row r="1501" spans="2:6" x14ac:dyDescent="0.25">
      <c r="B1501" s="261" t="str">
        <f>INSUMOS!B208</f>
        <v>Alambre recocido C 18</v>
      </c>
      <c r="C1501" s="256" t="s">
        <v>122</v>
      </c>
      <c r="D1501" s="257">
        <f>3.5*0.35</f>
        <v>1.2249999999999999</v>
      </c>
      <c r="E1501" s="258">
        <f>INSUMOS!D208</f>
        <v>8687</v>
      </c>
      <c r="F1501" s="259">
        <f t="shared" si="70"/>
        <v>10641.574999999999</v>
      </c>
    </row>
    <row r="1502" spans="2:6" x14ac:dyDescent="0.25">
      <c r="B1502" s="261" t="str">
        <f>INSUMOS!B205</f>
        <v>Clavo común x CAJA por 500 gr</v>
      </c>
      <c r="C1502" s="256" t="s">
        <v>576</v>
      </c>
      <c r="D1502" s="257">
        <f>1*0.35</f>
        <v>0.35</v>
      </c>
      <c r="E1502" s="258">
        <f>INSUMOS!E205</f>
        <v>5000</v>
      </c>
      <c r="F1502" s="259">
        <f t="shared" si="70"/>
        <v>1750</v>
      </c>
    </row>
    <row r="1503" spans="2:6" ht="22.5" x14ac:dyDescent="0.25">
      <c r="B1503" s="261" t="str">
        <f>INSUMOS!B201</f>
        <v>Moldura en madera 1/4 bocel de L=3.00 m. Chingale</v>
      </c>
      <c r="C1503" s="256" t="s">
        <v>111</v>
      </c>
      <c r="D1503" s="257">
        <v>2</v>
      </c>
      <c r="E1503" s="258">
        <f>INSUMOS!D201</f>
        <v>1450</v>
      </c>
      <c r="F1503" s="259">
        <f t="shared" si="70"/>
        <v>2900</v>
      </c>
    </row>
    <row r="1504" spans="2:6" ht="22.5" x14ac:dyDescent="0.25">
      <c r="B1504" s="261" t="str">
        <f>INSUMOS!B272</f>
        <v>Curador Antisol blanco para morteros y concretos. X 20 kg. Rendimiento 200 gr X m2.</v>
      </c>
      <c r="C1504" s="256" t="s">
        <v>17</v>
      </c>
      <c r="D1504" s="257">
        <f>200*2.2/20000</f>
        <v>2.2000000000000002E-2</v>
      </c>
      <c r="E1504" s="258">
        <f>INSUMOS!D272</f>
        <v>266261</v>
      </c>
      <c r="F1504" s="259">
        <f t="shared" si="70"/>
        <v>5857.7420000000002</v>
      </c>
    </row>
    <row r="1505" spans="2:6" ht="15.75" thickBot="1" x14ac:dyDescent="0.3">
      <c r="B1505" s="611" t="s">
        <v>286</v>
      </c>
      <c r="C1505" s="612"/>
      <c r="D1505" s="612"/>
      <c r="E1505" s="613"/>
      <c r="F1505" s="284">
        <f>SUM(F1495:F1504)</f>
        <v>385971.94408239389</v>
      </c>
    </row>
    <row r="1506" spans="2:6" x14ac:dyDescent="0.25">
      <c r="B1506" s="594" t="s">
        <v>277</v>
      </c>
      <c r="C1506" s="595"/>
      <c r="D1506" s="595"/>
      <c r="E1506" s="595"/>
      <c r="F1506" s="596"/>
    </row>
    <row r="1507" spans="2:6" x14ac:dyDescent="0.25">
      <c r="B1507" s="266" t="str">
        <f>CUADRILLAS!A92</f>
        <v>Cuad. Concreto (1of + 3ay)</v>
      </c>
      <c r="C1507" s="267" t="s">
        <v>110</v>
      </c>
      <c r="D1507" s="268">
        <v>0.32</v>
      </c>
      <c r="E1507" s="269">
        <f>CUADRILLAS!B92</f>
        <v>349423</v>
      </c>
      <c r="F1507" s="270">
        <f>D1507*E1507</f>
        <v>111815.36</v>
      </c>
    </row>
    <row r="1508" spans="2:6" x14ac:dyDescent="0.25">
      <c r="B1508" s="266" t="str">
        <f>CUADRILLAS!A80</f>
        <v>1Ay Raso</v>
      </c>
      <c r="C1508" s="267" t="s">
        <v>110</v>
      </c>
      <c r="D1508" s="268">
        <v>0.05</v>
      </c>
      <c r="E1508" s="269">
        <f>CUADRILLAS!B80</f>
        <v>70786</v>
      </c>
      <c r="F1508" s="270">
        <f>D1508*E1508</f>
        <v>3539.3</v>
      </c>
    </row>
    <row r="1509" spans="2:6" x14ac:dyDescent="0.25">
      <c r="B1509" s="272"/>
      <c r="C1509" s="273"/>
      <c r="D1509" s="268"/>
      <c r="E1509" s="271"/>
      <c r="F1509" s="270">
        <f>D1509*E1509</f>
        <v>0</v>
      </c>
    </row>
    <row r="1510" spans="2:6" ht="15.75" thickBot="1" x14ac:dyDescent="0.3">
      <c r="B1510" s="611" t="s">
        <v>287</v>
      </c>
      <c r="C1510" s="612"/>
      <c r="D1510" s="612"/>
      <c r="E1510" s="613"/>
      <c r="F1510" s="274">
        <f>SUM(F1507:F1509)</f>
        <v>115354.66</v>
      </c>
    </row>
    <row r="1511" spans="2:6" x14ac:dyDescent="0.25">
      <c r="B1511" s="594" t="s">
        <v>278</v>
      </c>
      <c r="C1511" s="595"/>
      <c r="D1511" s="595"/>
      <c r="E1511" s="595"/>
      <c r="F1511" s="596"/>
    </row>
    <row r="1512" spans="2:6" x14ac:dyDescent="0.25">
      <c r="B1512" s="272" t="s">
        <v>279</v>
      </c>
      <c r="C1512" s="273" t="s">
        <v>280</v>
      </c>
      <c r="D1512" s="268">
        <v>0.05</v>
      </c>
      <c r="E1512" s="271">
        <f>F1510</f>
        <v>115354.66</v>
      </c>
      <c r="F1512" s="270">
        <f>D1512*E1512</f>
        <v>5767.7330000000002</v>
      </c>
    </row>
    <row r="1513" spans="2:6" ht="15.75" thickBot="1" x14ac:dyDescent="0.3">
      <c r="B1513" s="611" t="s">
        <v>288</v>
      </c>
      <c r="C1513" s="612"/>
      <c r="D1513" s="612"/>
      <c r="E1513" s="613"/>
      <c r="F1513" s="274">
        <f>SUM(F1512)</f>
        <v>5767.7330000000002</v>
      </c>
    </row>
    <row r="1514" spans="2:6" x14ac:dyDescent="0.25">
      <c r="B1514" s="594" t="s">
        <v>281</v>
      </c>
      <c r="C1514" s="595"/>
      <c r="D1514" s="595"/>
      <c r="E1514" s="595"/>
      <c r="F1514" s="596"/>
    </row>
    <row r="1515" spans="2:6" x14ac:dyDescent="0.25">
      <c r="B1515" s="272" t="str">
        <f>INSUMOS!B198</f>
        <v>Manguera Flexible PF 1/2"</v>
      </c>
      <c r="C1515" s="273" t="s">
        <v>111</v>
      </c>
      <c r="D1515" s="458">
        <f>3*0.35</f>
        <v>1.0499999999999998</v>
      </c>
      <c r="E1515" s="271">
        <f>INSUMOS!D198</f>
        <v>3350</v>
      </c>
      <c r="F1515" s="259">
        <f t="shared" ref="F1515:F1525" si="71">D1515*E1515</f>
        <v>3517.4999999999995</v>
      </c>
    </row>
    <row r="1516" spans="2:6" x14ac:dyDescent="0.25">
      <c r="B1516" s="272" t="str">
        <f>INSUMOS!B230</f>
        <v>Vibrador eléctrico de aguja a 110 V</v>
      </c>
      <c r="C1516" s="273" t="s">
        <v>110</v>
      </c>
      <c r="D1516" s="458">
        <v>0.2</v>
      </c>
      <c r="E1516" s="271">
        <f>INSUMOS!D230</f>
        <v>48433</v>
      </c>
      <c r="F1516" s="259">
        <f t="shared" si="71"/>
        <v>9686.6</v>
      </c>
    </row>
    <row r="1517" spans="2:6" x14ac:dyDescent="0.25">
      <c r="B1517" s="272" t="str">
        <f>INSUMOS!B240</f>
        <v>Taco Metalico Enano</v>
      </c>
      <c r="C1517" s="273" t="s">
        <v>110</v>
      </c>
      <c r="D1517" s="458">
        <v>20</v>
      </c>
      <c r="E1517" s="271">
        <f>INSUMOS!D240</f>
        <v>381</v>
      </c>
      <c r="F1517" s="259">
        <f t="shared" si="71"/>
        <v>7620</v>
      </c>
    </row>
    <row r="1518" spans="2:6" x14ac:dyDescent="0.25">
      <c r="B1518" s="272" t="str">
        <f>INSUMOS!B241</f>
        <v>Taco Metalico Ext. 1,50 a 2,60 mt</v>
      </c>
      <c r="C1518" s="273" t="s">
        <v>110</v>
      </c>
      <c r="D1518" s="458">
        <v>5</v>
      </c>
      <c r="E1518" s="271">
        <f>INSUMOS!D241</f>
        <v>416.5</v>
      </c>
      <c r="F1518" s="259">
        <f t="shared" si="71"/>
        <v>2082.5</v>
      </c>
    </row>
    <row r="1519" spans="2:6" x14ac:dyDescent="0.25">
      <c r="B1519" s="272" t="str">
        <f>INSUMOS!B239</f>
        <v>Cercha Metálica 3 m alquiler + transporte</v>
      </c>
      <c r="C1519" s="273" t="s">
        <v>110</v>
      </c>
      <c r="D1519" s="458">
        <v>7</v>
      </c>
      <c r="E1519" s="271">
        <f>INSUMOS!D239</f>
        <v>535.5</v>
      </c>
      <c r="F1519" s="259">
        <f t="shared" si="71"/>
        <v>3748.5</v>
      </c>
    </row>
    <row r="1520" spans="2:6" x14ac:dyDescent="0.25">
      <c r="B1520" s="272" t="str">
        <f>INSUMOS!B317</f>
        <v>Gato Tensor</v>
      </c>
      <c r="C1520" s="273" t="s">
        <v>110</v>
      </c>
      <c r="D1520" s="458">
        <v>1</v>
      </c>
      <c r="E1520" s="271">
        <f>INSUMOS!D317</f>
        <v>1785</v>
      </c>
      <c r="F1520" s="259">
        <f t="shared" si="71"/>
        <v>1785</v>
      </c>
    </row>
    <row r="1521" spans="2:6" x14ac:dyDescent="0.25">
      <c r="B1521" s="272" t="str">
        <f>INSUMOS!B316</f>
        <v>Chapeta tensora 3/8</v>
      </c>
      <c r="C1521" s="273" t="s">
        <v>110</v>
      </c>
      <c r="D1521" s="458">
        <v>40</v>
      </c>
      <c r="E1521" s="271">
        <f>INSUMOS!D316</f>
        <v>442.79999999999995</v>
      </c>
      <c r="F1521" s="259">
        <f t="shared" si="71"/>
        <v>17712</v>
      </c>
    </row>
    <row r="1522" spans="2:6" x14ac:dyDescent="0.25">
      <c r="B1522" s="272" t="str">
        <f>INSUMOS!B315</f>
        <v>Corbata 250 mm</v>
      </c>
      <c r="C1522" s="273" t="s">
        <v>110</v>
      </c>
      <c r="D1522" s="458">
        <v>20</v>
      </c>
      <c r="E1522" s="271">
        <f>INSUMOS!D315</f>
        <v>428.4</v>
      </c>
      <c r="F1522" s="259">
        <f t="shared" si="71"/>
        <v>8568</v>
      </c>
    </row>
    <row r="1523" spans="2:6" x14ac:dyDescent="0.25">
      <c r="B1523" s="272" t="str">
        <f>INSUMOS!B218</f>
        <v xml:space="preserve">Extensión eléctrica encauchetada (50m) </v>
      </c>
      <c r="C1523" s="273" t="s">
        <v>110</v>
      </c>
      <c r="D1523" s="268">
        <v>0.4</v>
      </c>
      <c r="E1523" s="271">
        <f>INSUMOS!F218</f>
        <v>9163</v>
      </c>
      <c r="F1523" s="259">
        <f t="shared" si="71"/>
        <v>3665.2000000000003</v>
      </c>
    </row>
    <row r="1524" spans="2:6" x14ac:dyDescent="0.25">
      <c r="B1524" s="272" t="str">
        <f>INSUMOS!B223</f>
        <v>Sierra circular manual + disco</v>
      </c>
      <c r="C1524" s="273" t="s">
        <v>110</v>
      </c>
      <c r="D1524" s="268">
        <v>0.2</v>
      </c>
      <c r="E1524" s="271">
        <f>INSUMOS!D223</f>
        <v>35000</v>
      </c>
      <c r="F1524" s="259">
        <f t="shared" si="71"/>
        <v>7000</v>
      </c>
    </row>
    <row r="1525" spans="2:6" x14ac:dyDescent="0.25">
      <c r="B1525" s="272" t="str">
        <f>INSUMOS!B324</f>
        <v>Fumigadora manual</v>
      </c>
      <c r="C1525" s="273" t="s">
        <v>110</v>
      </c>
      <c r="D1525" s="268">
        <v>0.2</v>
      </c>
      <c r="E1525" s="271">
        <f>INSUMOS!D324</f>
        <v>2498</v>
      </c>
      <c r="F1525" s="259">
        <f t="shared" si="71"/>
        <v>499.6</v>
      </c>
    </row>
    <row r="1526" spans="2:6" ht="15.75" thickBot="1" x14ac:dyDescent="0.3">
      <c r="B1526" s="611" t="s">
        <v>289</v>
      </c>
      <c r="C1526" s="612"/>
      <c r="D1526" s="612"/>
      <c r="E1526" s="613"/>
      <c r="F1526" s="274">
        <f>SUM(F1515:F1525)</f>
        <v>65884.899999999994</v>
      </c>
    </row>
    <row r="1527" spans="2:6" x14ac:dyDescent="0.25">
      <c r="B1527" s="594" t="s">
        <v>290</v>
      </c>
      <c r="C1527" s="595"/>
      <c r="D1527" s="595"/>
      <c r="E1527" s="595"/>
      <c r="F1527" s="596"/>
    </row>
    <row r="1528" spans="2:6" x14ac:dyDescent="0.25">
      <c r="B1528" s="272" t="s">
        <v>883</v>
      </c>
      <c r="C1528" s="273" t="s">
        <v>117</v>
      </c>
      <c r="D1528" s="275">
        <f>D1495*1.8</f>
        <v>0.66149999999999998</v>
      </c>
      <c r="E1528" s="276">
        <v>15000</v>
      </c>
      <c r="F1528" s="259">
        <f>D1528*E1528</f>
        <v>9922.5</v>
      </c>
    </row>
    <row r="1529" spans="2:6" x14ac:dyDescent="0.25">
      <c r="B1529" s="530" t="s">
        <v>906</v>
      </c>
      <c r="C1529" s="531" t="s">
        <v>381</v>
      </c>
      <c r="D1529" s="532">
        <v>0</v>
      </c>
      <c r="E1529" s="533">
        <v>2000</v>
      </c>
      <c r="F1529" s="529">
        <f>D1529*E1529</f>
        <v>0</v>
      </c>
    </row>
    <row r="1530" spans="2:6" x14ac:dyDescent="0.25">
      <c r="B1530" s="277"/>
      <c r="C1530" s="278"/>
      <c r="D1530" s="279"/>
      <c r="E1530" s="280"/>
      <c r="F1530" s="259">
        <f>D1530*E1530</f>
        <v>0</v>
      </c>
    </row>
    <row r="1531" spans="2:6" ht="15.75" thickBot="1" x14ac:dyDescent="0.3">
      <c r="B1531" s="611" t="s">
        <v>291</v>
      </c>
      <c r="C1531" s="612"/>
      <c r="D1531" s="612"/>
      <c r="E1531" s="613"/>
      <c r="F1531" s="285">
        <f>SUM(F1528:F1530)</f>
        <v>9922.5</v>
      </c>
    </row>
    <row r="1532" spans="2:6" ht="15.75" thickBot="1" x14ac:dyDescent="0.3">
      <c r="B1532" s="600" t="s">
        <v>282</v>
      </c>
      <c r="C1532" s="601"/>
      <c r="D1532" s="601"/>
      <c r="E1532" s="601"/>
      <c r="F1532" s="499">
        <f>ROUND(F1505+F1510+F1513+F1526+F1531,0)</f>
        <v>582902</v>
      </c>
    </row>
    <row r="1533" spans="2:6" ht="15.75" thickBot="1" x14ac:dyDescent="0.3"/>
    <row r="1534" spans="2:6" ht="15.75" thickBot="1" x14ac:dyDescent="0.3">
      <c r="B1534" s="602" t="s">
        <v>276</v>
      </c>
      <c r="C1534" s="603"/>
      <c r="D1534" s="603"/>
      <c r="E1534" s="603"/>
      <c r="F1534" s="604"/>
    </row>
    <row r="1535" spans="2:6" ht="15.75" thickBot="1" x14ac:dyDescent="0.3">
      <c r="B1535" s="605" t="s">
        <v>104</v>
      </c>
      <c r="C1535" s="606"/>
      <c r="D1535" s="607"/>
      <c r="E1535" s="282" t="s">
        <v>105</v>
      </c>
      <c r="F1535" s="283" t="s">
        <v>103</v>
      </c>
    </row>
    <row r="1536" spans="2:6" ht="102" customHeight="1" thickBot="1" x14ac:dyDescent="0.3">
      <c r="B1536" s="608" t="str">
        <f>'PRESUPUESTO CALLE 58 SUR'!B45</f>
        <v>Construcción de MURO DE CONTENCIÓN en concreto de 21Mpa. a la vista, con un ESPESOR DE 0,20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v>
      </c>
      <c r="C1536" s="609"/>
      <c r="D1536" s="610"/>
      <c r="E1536" s="449" t="str">
        <f>'PRESUPUESTO CALLE 58 SUR'!C45</f>
        <v>m2</v>
      </c>
      <c r="F1536" s="448">
        <f>'PRESUPUESTO CALLE 58 SUR'!A45</f>
        <v>8.5</v>
      </c>
    </row>
    <row r="1537" spans="2:6" ht="15.75" thickBot="1" x14ac:dyDescent="0.3">
      <c r="B1537" s="250" t="s">
        <v>8</v>
      </c>
      <c r="C1537" s="251" t="s">
        <v>9</v>
      </c>
      <c r="D1537" s="252" t="s">
        <v>10</v>
      </c>
      <c r="E1537" s="253" t="s">
        <v>283</v>
      </c>
      <c r="F1537" s="254" t="s">
        <v>284</v>
      </c>
    </row>
    <row r="1538" spans="2:6" x14ac:dyDescent="0.25">
      <c r="B1538" s="594" t="s">
        <v>285</v>
      </c>
      <c r="C1538" s="595"/>
      <c r="D1538" s="595"/>
      <c r="E1538" s="595"/>
      <c r="F1538" s="596"/>
    </row>
    <row r="1539" spans="2:6" ht="13.9" customHeight="1" x14ac:dyDescent="0.25">
      <c r="B1539" s="255" t="str">
        <f t="shared" ref="B1539:C1548" si="72">B1495</f>
        <v>Concr.en obra 3000 psi 3/4"</v>
      </c>
      <c r="C1539" s="454" t="str">
        <f t="shared" si="72"/>
        <v>m3</v>
      </c>
      <c r="D1539" s="257">
        <f>0.2*1.05</f>
        <v>0.21000000000000002</v>
      </c>
      <c r="E1539" s="258">
        <f t="shared" ref="E1539:E1548" si="73">E1495</f>
        <v>630810.91779999994</v>
      </c>
      <c r="F1539" s="259">
        <f t="shared" ref="F1539:F1548" si="74">D1539*E1539</f>
        <v>132470.29273799999</v>
      </c>
    </row>
    <row r="1540" spans="2:6" ht="45" x14ac:dyDescent="0.25">
      <c r="B1540" s="459" t="str">
        <f t="shared" si="72"/>
        <v>Sika Plastocrete DM Impermeabilizante para concreto. Presentación: 20kg rendimiento: 1% del peso del cemento ó 250 gr / bulto de cemento de 50 kg. + transp.</v>
      </c>
      <c r="C1540" s="454" t="str">
        <f t="shared" si="72"/>
        <v>kg</v>
      </c>
      <c r="D1540" s="257">
        <f>250*D1539*8/1000*1.05</f>
        <v>0.44100000000000006</v>
      </c>
      <c r="E1540" s="500">
        <f t="shared" si="73"/>
        <v>23934.55</v>
      </c>
      <c r="F1540" s="259">
        <f t="shared" si="74"/>
        <v>10555.136550000001</v>
      </c>
    </row>
    <row r="1541" spans="2:6" ht="22.5" x14ac:dyDescent="0.25">
      <c r="B1541" s="255" t="str">
        <f t="shared" si="72"/>
        <v>Formaleta Madera (Fenolica similar a supert). (18 mm 183x2.44)+transporte</v>
      </c>
      <c r="C1541" s="454" t="str">
        <f t="shared" si="72"/>
        <v>un</v>
      </c>
      <c r="D1541" s="257">
        <f t="shared" ref="D1541:D1547" si="75">D1497</f>
        <v>0.16423303174176596</v>
      </c>
      <c r="E1541" s="258">
        <f t="shared" si="73"/>
        <v>264900</v>
      </c>
      <c r="F1541" s="259">
        <f t="shared" si="74"/>
        <v>43505.330108393799</v>
      </c>
    </row>
    <row r="1542" spans="2:6" ht="22.5" x14ac:dyDescent="0.25">
      <c r="B1542" s="255" t="str">
        <f t="shared" si="72"/>
        <v>Larguero madera comun 4 cmx8cmx2.80 m. Incluye transporte</v>
      </c>
      <c r="C1542" s="454" t="str">
        <f t="shared" si="72"/>
        <v>un</v>
      </c>
      <c r="D1542" s="257">
        <f t="shared" si="75"/>
        <v>3.1533333333333342</v>
      </c>
      <c r="E1542" s="258">
        <f t="shared" si="73"/>
        <v>20135</v>
      </c>
      <c r="F1542" s="259">
        <f t="shared" si="74"/>
        <v>63492.366666666683</v>
      </c>
    </row>
    <row r="1543" spans="2:6" ht="22.5" x14ac:dyDescent="0.25">
      <c r="B1543" s="255" t="str">
        <f t="shared" si="72"/>
        <v>Tabla madera común de 2.5 cm x 20cm x 2.80m. Incluye transporte.</v>
      </c>
      <c r="C1543" s="454" t="str">
        <f t="shared" si="72"/>
        <v>un</v>
      </c>
      <c r="D1543" s="257">
        <f t="shared" si="75"/>
        <v>0.2</v>
      </c>
      <c r="E1543" s="258">
        <f t="shared" si="73"/>
        <v>17255</v>
      </c>
      <c r="F1543" s="259">
        <f t="shared" si="74"/>
        <v>3451</v>
      </c>
    </row>
    <row r="1544" spans="2:6" ht="67.5" x14ac:dyDescent="0.25">
      <c r="B1544" s="255" t="str">
        <f t="shared" si="72"/>
        <v>Separol o equivalente (Desmoldante para evitar adherencia de concretos a formaletas.Presentación 15Kg. Rendimiento metal :45g/m2 madera:55g/m2 (15 kg)). para metal puro, para madera diluir hasta 5 partes de agua segun porosidad de la madera.</v>
      </c>
      <c r="C1544" s="454" t="str">
        <f t="shared" si="72"/>
        <v>un</v>
      </c>
      <c r="D1544" s="257">
        <f t="shared" si="75"/>
        <v>7.4066666666666734E-3</v>
      </c>
      <c r="E1544" s="258">
        <f t="shared" si="73"/>
        <v>550778</v>
      </c>
      <c r="F1544" s="259">
        <f t="shared" si="74"/>
        <v>4079.4290533333369</v>
      </c>
    </row>
    <row r="1545" spans="2:6" x14ac:dyDescent="0.25">
      <c r="B1545" s="255" t="str">
        <f t="shared" si="72"/>
        <v>Alambre recocido C 18</v>
      </c>
      <c r="C1545" s="454" t="str">
        <f t="shared" si="72"/>
        <v>kg</v>
      </c>
      <c r="D1545" s="257">
        <f t="shared" si="75"/>
        <v>1.2249999999999999</v>
      </c>
      <c r="E1545" s="258">
        <f t="shared" si="73"/>
        <v>8687</v>
      </c>
      <c r="F1545" s="259">
        <f t="shared" si="74"/>
        <v>10641.574999999999</v>
      </c>
    </row>
    <row r="1546" spans="2:6" ht="13.9" customHeight="1" x14ac:dyDescent="0.25">
      <c r="B1546" s="255" t="str">
        <f t="shared" si="72"/>
        <v>Clavo común x CAJA por 500 gr</v>
      </c>
      <c r="C1546" s="454" t="str">
        <f t="shared" si="72"/>
        <v>lb</v>
      </c>
      <c r="D1546" s="257">
        <f t="shared" si="75"/>
        <v>0.35</v>
      </c>
      <c r="E1546" s="258">
        <f t="shared" si="73"/>
        <v>5000</v>
      </c>
      <c r="F1546" s="259">
        <f t="shared" si="74"/>
        <v>1750</v>
      </c>
    </row>
    <row r="1547" spans="2:6" ht="13.9" customHeight="1" x14ac:dyDescent="0.25">
      <c r="B1547" s="255" t="str">
        <f t="shared" si="72"/>
        <v>Moldura en madera 1/4 bocel de L=3.00 m. Chingale</v>
      </c>
      <c r="C1547" s="454" t="str">
        <f t="shared" si="72"/>
        <v>m</v>
      </c>
      <c r="D1547" s="257">
        <f t="shared" si="75"/>
        <v>2</v>
      </c>
      <c r="E1547" s="258">
        <f t="shared" si="73"/>
        <v>1450</v>
      </c>
      <c r="F1547" s="259">
        <f t="shared" si="74"/>
        <v>2900</v>
      </c>
    </row>
    <row r="1548" spans="2:6" ht="22.5" x14ac:dyDescent="0.25">
      <c r="B1548" s="255" t="str">
        <f t="shared" si="72"/>
        <v>Curador Antisol blanco para morteros y concretos. X 20 kg. Rendimiento 200 gr X m2.</v>
      </c>
      <c r="C1548" s="454" t="str">
        <f t="shared" si="72"/>
        <v>un</v>
      </c>
      <c r="D1548" s="257">
        <f>200*2.2/20000</f>
        <v>2.2000000000000002E-2</v>
      </c>
      <c r="E1548" s="258">
        <f t="shared" si="73"/>
        <v>266261</v>
      </c>
      <c r="F1548" s="259">
        <f t="shared" si="74"/>
        <v>5857.7420000000002</v>
      </c>
    </row>
    <row r="1549" spans="2:6" ht="15.75" thickBot="1" x14ac:dyDescent="0.3">
      <c r="B1549" s="611" t="s">
        <v>286</v>
      </c>
      <c r="C1549" s="612"/>
      <c r="D1549" s="612"/>
      <c r="E1549" s="613"/>
      <c r="F1549" s="284">
        <f>SUM(F1539:F1548)</f>
        <v>278702.87211639382</v>
      </c>
    </row>
    <row r="1550" spans="2:6" x14ac:dyDescent="0.25">
      <c r="B1550" s="594" t="s">
        <v>277</v>
      </c>
      <c r="C1550" s="595"/>
      <c r="D1550" s="595"/>
      <c r="E1550" s="595"/>
      <c r="F1550" s="596"/>
    </row>
    <row r="1551" spans="2:6" x14ac:dyDescent="0.25">
      <c r="B1551" s="266" t="str">
        <f>CUADRILLAS!A92</f>
        <v>Cuad. Concreto (1of + 3ay)</v>
      </c>
      <c r="C1551" s="267" t="s">
        <v>110</v>
      </c>
      <c r="D1551" s="268">
        <v>0.25</v>
      </c>
      <c r="E1551" s="269">
        <f>CUADRILLAS!B92</f>
        <v>349423</v>
      </c>
      <c r="F1551" s="270">
        <f>D1551*E1551</f>
        <v>87355.75</v>
      </c>
    </row>
    <row r="1552" spans="2:6" x14ac:dyDescent="0.25">
      <c r="B1552" s="266" t="str">
        <f>CUADRILLAS!A80</f>
        <v>1Ay Raso</v>
      </c>
      <c r="C1552" s="267" t="s">
        <v>110</v>
      </c>
      <c r="D1552" s="268">
        <v>0.05</v>
      </c>
      <c r="E1552" s="269">
        <f>CUADRILLAS!B80</f>
        <v>70786</v>
      </c>
      <c r="F1552" s="270">
        <f>D1552*E1552</f>
        <v>3539.3</v>
      </c>
    </row>
    <row r="1553" spans="2:6" x14ac:dyDescent="0.25">
      <c r="B1553" s="266"/>
      <c r="C1553" s="267"/>
      <c r="D1553" s="268"/>
      <c r="E1553" s="271"/>
      <c r="F1553" s="270">
        <f>D1553*E1553</f>
        <v>0</v>
      </c>
    </row>
    <row r="1554" spans="2:6" ht="15.75" thickBot="1" x14ac:dyDescent="0.3">
      <c r="B1554" s="611" t="s">
        <v>287</v>
      </c>
      <c r="C1554" s="612"/>
      <c r="D1554" s="612"/>
      <c r="E1554" s="613"/>
      <c r="F1554" s="274">
        <f>SUM(F1551:F1553)</f>
        <v>90895.05</v>
      </c>
    </row>
    <row r="1555" spans="2:6" x14ac:dyDescent="0.25">
      <c r="B1555" s="594" t="s">
        <v>278</v>
      </c>
      <c r="C1555" s="595"/>
      <c r="D1555" s="595"/>
      <c r="E1555" s="595"/>
      <c r="F1555" s="596"/>
    </row>
    <row r="1556" spans="2:6" x14ac:dyDescent="0.25">
      <c r="B1556" s="272" t="s">
        <v>279</v>
      </c>
      <c r="C1556" s="273" t="s">
        <v>280</v>
      </c>
      <c r="D1556" s="268">
        <v>0.05</v>
      </c>
      <c r="E1556" s="271">
        <f>F1554</f>
        <v>90895.05</v>
      </c>
      <c r="F1556" s="270">
        <f>D1556*E1556</f>
        <v>4544.7525000000005</v>
      </c>
    </row>
    <row r="1557" spans="2:6" ht="15.75" thickBot="1" x14ac:dyDescent="0.3">
      <c r="B1557" s="611" t="s">
        <v>288</v>
      </c>
      <c r="C1557" s="612"/>
      <c r="D1557" s="612"/>
      <c r="E1557" s="613"/>
      <c r="F1557" s="274">
        <f>SUM(F1556)</f>
        <v>4544.7525000000005</v>
      </c>
    </row>
    <row r="1558" spans="2:6" x14ac:dyDescent="0.25">
      <c r="B1558" s="594" t="s">
        <v>281</v>
      </c>
      <c r="C1558" s="595"/>
      <c r="D1558" s="595"/>
      <c r="E1558" s="595"/>
      <c r="F1558" s="596"/>
    </row>
    <row r="1559" spans="2:6" x14ac:dyDescent="0.25">
      <c r="B1559" s="272" t="str">
        <f t="shared" ref="B1559:E1569" si="76">B1515</f>
        <v>Manguera Flexible PF 1/2"</v>
      </c>
      <c r="C1559" s="273" t="str">
        <f t="shared" si="76"/>
        <v>m</v>
      </c>
      <c r="D1559" s="268">
        <f>D1515+0.05</f>
        <v>1.0999999999999999</v>
      </c>
      <c r="E1559" s="271">
        <f t="shared" si="76"/>
        <v>3350</v>
      </c>
      <c r="F1559" s="259">
        <f t="shared" ref="F1559:F1570" si="77">D1559*E1559</f>
        <v>3684.9999999999995</v>
      </c>
    </row>
    <row r="1560" spans="2:6" x14ac:dyDescent="0.25">
      <c r="B1560" s="272" t="str">
        <f t="shared" si="76"/>
        <v>Vibrador eléctrico de aguja a 110 V</v>
      </c>
      <c r="C1560" s="273" t="str">
        <f t="shared" si="76"/>
        <v>día</v>
      </c>
      <c r="D1560" s="268">
        <f t="shared" ref="D1560:D1569" si="78">D1516+0.05</f>
        <v>0.25</v>
      </c>
      <c r="E1560" s="271">
        <f t="shared" si="76"/>
        <v>48433</v>
      </c>
      <c r="F1560" s="259">
        <f t="shared" si="77"/>
        <v>12108.25</v>
      </c>
    </row>
    <row r="1561" spans="2:6" x14ac:dyDescent="0.25">
      <c r="B1561" s="272" t="str">
        <f t="shared" si="76"/>
        <v>Taco Metalico Enano</v>
      </c>
      <c r="C1561" s="273" t="str">
        <f t="shared" si="76"/>
        <v>día</v>
      </c>
      <c r="D1561" s="268">
        <f t="shared" si="78"/>
        <v>20.05</v>
      </c>
      <c r="E1561" s="271">
        <f t="shared" si="76"/>
        <v>381</v>
      </c>
      <c r="F1561" s="259">
        <f t="shared" si="77"/>
        <v>7639.05</v>
      </c>
    </row>
    <row r="1562" spans="2:6" x14ac:dyDescent="0.25">
      <c r="B1562" s="272" t="str">
        <f t="shared" si="76"/>
        <v>Taco Metalico Ext. 1,50 a 2,60 mt</v>
      </c>
      <c r="C1562" s="273" t="str">
        <f t="shared" si="76"/>
        <v>día</v>
      </c>
      <c r="D1562" s="268">
        <f t="shared" si="78"/>
        <v>5.05</v>
      </c>
      <c r="E1562" s="271">
        <f t="shared" si="76"/>
        <v>416.5</v>
      </c>
      <c r="F1562" s="259">
        <f t="shared" si="77"/>
        <v>2103.3249999999998</v>
      </c>
    </row>
    <row r="1563" spans="2:6" x14ac:dyDescent="0.25">
      <c r="B1563" s="272" t="str">
        <f t="shared" si="76"/>
        <v>Cercha Metálica 3 m alquiler + transporte</v>
      </c>
      <c r="C1563" s="273" t="str">
        <f t="shared" si="76"/>
        <v>día</v>
      </c>
      <c r="D1563" s="268">
        <f t="shared" si="78"/>
        <v>7.05</v>
      </c>
      <c r="E1563" s="271">
        <f t="shared" si="76"/>
        <v>535.5</v>
      </c>
      <c r="F1563" s="259">
        <f t="shared" si="77"/>
        <v>3775.2750000000001</v>
      </c>
    </row>
    <row r="1564" spans="2:6" x14ac:dyDescent="0.25">
      <c r="B1564" s="272" t="str">
        <f t="shared" si="76"/>
        <v>Gato Tensor</v>
      </c>
      <c r="C1564" s="273" t="str">
        <f t="shared" si="76"/>
        <v>día</v>
      </c>
      <c r="D1564" s="268">
        <f t="shared" si="78"/>
        <v>1.05</v>
      </c>
      <c r="E1564" s="271">
        <f t="shared" si="76"/>
        <v>1785</v>
      </c>
      <c r="F1564" s="259">
        <f t="shared" si="77"/>
        <v>1874.25</v>
      </c>
    </row>
    <row r="1565" spans="2:6" x14ac:dyDescent="0.25">
      <c r="B1565" s="272" t="str">
        <f t="shared" si="76"/>
        <v>Chapeta tensora 3/8</v>
      </c>
      <c r="C1565" s="273" t="str">
        <f t="shared" si="76"/>
        <v>día</v>
      </c>
      <c r="D1565" s="268">
        <f t="shared" si="78"/>
        <v>40.049999999999997</v>
      </c>
      <c r="E1565" s="271">
        <f t="shared" si="76"/>
        <v>442.79999999999995</v>
      </c>
      <c r="F1565" s="259">
        <f t="shared" si="77"/>
        <v>17734.139999999996</v>
      </c>
    </row>
    <row r="1566" spans="2:6" x14ac:dyDescent="0.25">
      <c r="B1566" s="272" t="str">
        <f t="shared" si="76"/>
        <v>Corbata 250 mm</v>
      </c>
      <c r="C1566" s="273" t="str">
        <f t="shared" si="76"/>
        <v>día</v>
      </c>
      <c r="D1566" s="268">
        <f t="shared" si="78"/>
        <v>20.05</v>
      </c>
      <c r="E1566" s="271">
        <f t="shared" si="76"/>
        <v>428.4</v>
      </c>
      <c r="F1566" s="259">
        <f t="shared" si="77"/>
        <v>8589.42</v>
      </c>
    </row>
    <row r="1567" spans="2:6" x14ac:dyDescent="0.25">
      <c r="B1567" s="272" t="str">
        <f t="shared" si="76"/>
        <v xml:space="preserve">Extensión eléctrica encauchetada (50m) </v>
      </c>
      <c r="C1567" s="273" t="str">
        <f t="shared" si="76"/>
        <v>día</v>
      </c>
      <c r="D1567" s="268">
        <f t="shared" si="78"/>
        <v>0.45</v>
      </c>
      <c r="E1567" s="271">
        <f t="shared" si="76"/>
        <v>9163</v>
      </c>
      <c r="F1567" s="259">
        <f t="shared" si="77"/>
        <v>4123.3500000000004</v>
      </c>
    </row>
    <row r="1568" spans="2:6" x14ac:dyDescent="0.25">
      <c r="B1568" s="272" t="str">
        <f t="shared" si="76"/>
        <v>Sierra circular manual + disco</v>
      </c>
      <c r="C1568" s="273" t="str">
        <f t="shared" si="76"/>
        <v>día</v>
      </c>
      <c r="D1568" s="268">
        <f t="shared" si="78"/>
        <v>0.25</v>
      </c>
      <c r="E1568" s="271">
        <f t="shared" si="76"/>
        <v>35000</v>
      </c>
      <c r="F1568" s="259">
        <f t="shared" si="77"/>
        <v>8750</v>
      </c>
    </row>
    <row r="1569" spans="2:8" x14ac:dyDescent="0.25">
      <c r="B1569" s="272" t="str">
        <f t="shared" si="76"/>
        <v>Fumigadora manual</v>
      </c>
      <c r="C1569" s="273" t="str">
        <f t="shared" si="76"/>
        <v>día</v>
      </c>
      <c r="D1569" s="268">
        <f t="shared" si="78"/>
        <v>0.25</v>
      </c>
      <c r="E1569" s="271">
        <f t="shared" si="76"/>
        <v>2498</v>
      </c>
      <c r="F1569" s="259">
        <f t="shared" si="77"/>
        <v>624.5</v>
      </c>
    </row>
    <row r="1570" spans="2:8" x14ac:dyDescent="0.25">
      <c r="B1570" s="272"/>
      <c r="C1570" s="273"/>
      <c r="D1570" s="268"/>
      <c r="E1570" s="271"/>
      <c r="F1570" s="259">
        <f t="shared" si="77"/>
        <v>0</v>
      </c>
    </row>
    <row r="1571" spans="2:8" ht="15.75" thickBot="1" x14ac:dyDescent="0.3">
      <c r="B1571" s="611" t="s">
        <v>289</v>
      </c>
      <c r="C1571" s="612"/>
      <c r="D1571" s="612"/>
      <c r="E1571" s="613"/>
      <c r="F1571" s="274">
        <f>SUM(F1559:F1570)</f>
        <v>71006.559999999998</v>
      </c>
    </row>
    <row r="1572" spans="2:8" x14ac:dyDescent="0.25">
      <c r="B1572" s="594" t="s">
        <v>290</v>
      </c>
      <c r="C1572" s="595"/>
      <c r="D1572" s="595"/>
      <c r="E1572" s="595"/>
      <c r="F1572" s="596"/>
    </row>
    <row r="1573" spans="2:8" x14ac:dyDescent="0.25">
      <c r="B1573" s="272" t="s">
        <v>883</v>
      </c>
      <c r="C1573" s="273" t="s">
        <v>117</v>
      </c>
      <c r="D1573" s="275">
        <f>D1539*1.8</f>
        <v>0.37800000000000006</v>
      </c>
      <c r="E1573" s="276">
        <v>15000</v>
      </c>
      <c r="F1573" s="259">
        <f>D1573*E1573</f>
        <v>5670.0000000000009</v>
      </c>
    </row>
    <row r="1574" spans="2:8" x14ac:dyDescent="0.25">
      <c r="B1574" s="277" t="s">
        <v>906</v>
      </c>
      <c r="C1574" s="278" t="s">
        <v>49</v>
      </c>
      <c r="D1574" s="279">
        <v>0</v>
      </c>
      <c r="E1574" s="280">
        <v>2000</v>
      </c>
      <c r="F1574" s="259">
        <f>D1574*E1574</f>
        <v>0</v>
      </c>
    </row>
    <row r="1575" spans="2:8" x14ac:dyDescent="0.25">
      <c r="B1575" s="277"/>
      <c r="C1575" s="278"/>
      <c r="D1575" s="279"/>
      <c r="E1575" s="280"/>
      <c r="F1575" s="259">
        <f>D1575*E1575</f>
        <v>0</v>
      </c>
    </row>
    <row r="1576" spans="2:8" ht="15.75" thickBot="1" x14ac:dyDescent="0.3">
      <c r="B1576" s="611" t="s">
        <v>291</v>
      </c>
      <c r="C1576" s="612"/>
      <c r="D1576" s="612"/>
      <c r="E1576" s="613"/>
      <c r="F1576" s="285">
        <f>SUM(F1573:F1575)</f>
        <v>5670.0000000000009</v>
      </c>
    </row>
    <row r="1577" spans="2:8" ht="15.75" thickBot="1" x14ac:dyDescent="0.3">
      <c r="B1577" s="600" t="s">
        <v>282</v>
      </c>
      <c r="C1577" s="601"/>
      <c r="D1577" s="601"/>
      <c r="E1577" s="601"/>
      <c r="F1577" s="499">
        <f>ROUND(F1549+F1554+F1557+F1571+F1576,0)</f>
        <v>450819</v>
      </c>
      <c r="H1577" s="375"/>
    </row>
    <row r="1578" spans="2:8" ht="15.75" thickBot="1" x14ac:dyDescent="0.3"/>
    <row r="1579" spans="2:8" ht="15.75" thickBot="1" x14ac:dyDescent="0.3">
      <c r="B1579" s="602" t="s">
        <v>276</v>
      </c>
      <c r="C1579" s="603"/>
      <c r="D1579" s="603"/>
      <c r="E1579" s="603"/>
      <c r="F1579" s="604"/>
    </row>
    <row r="1580" spans="2:8" ht="15.75" thickBot="1" x14ac:dyDescent="0.3">
      <c r="B1580" s="605" t="s">
        <v>104</v>
      </c>
      <c r="C1580" s="606"/>
      <c r="D1580" s="607"/>
      <c r="E1580" s="282" t="s">
        <v>105</v>
      </c>
      <c r="F1580" s="283" t="s">
        <v>103</v>
      </c>
    </row>
    <row r="1581" spans="2:8" ht="100.15" customHeight="1" thickBot="1" x14ac:dyDescent="0.3">
      <c r="B1581" s="608" t="str">
        <f>'PRESUPUESTO CALLE 58 SUR'!B46</f>
        <v>Construcción de MURO DE CONTENCIÓN en concreto de 21Mpa.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 Incluye SOBREACARREO de materiales.</v>
      </c>
      <c r="C1581" s="609"/>
      <c r="D1581" s="610"/>
      <c r="E1581" s="449" t="str">
        <f>'PRESUPUESTO CALLE 58 SUR'!C46</f>
        <v>m2</v>
      </c>
      <c r="F1581" s="448">
        <f>'PRESUPUESTO CALLE 58 SUR'!A46</f>
        <v>8.6</v>
      </c>
    </row>
    <row r="1582" spans="2:8" ht="15.75" thickBot="1" x14ac:dyDescent="0.3">
      <c r="B1582" s="250" t="s">
        <v>8</v>
      </c>
      <c r="C1582" s="251" t="s">
        <v>9</v>
      </c>
      <c r="D1582" s="252" t="s">
        <v>10</v>
      </c>
      <c r="E1582" s="253" t="s">
        <v>283</v>
      </c>
      <c r="F1582" s="254" t="s">
        <v>284</v>
      </c>
    </row>
    <row r="1583" spans="2:8" x14ac:dyDescent="0.25">
      <c r="B1583" s="594" t="s">
        <v>285</v>
      </c>
      <c r="C1583" s="595"/>
      <c r="D1583" s="595"/>
      <c r="E1583" s="595"/>
      <c r="F1583" s="596"/>
    </row>
    <row r="1584" spans="2:8" x14ac:dyDescent="0.25">
      <c r="B1584" s="255" t="str">
        <f t="shared" ref="B1584:C1593" si="79">B1539</f>
        <v>Concr.en obra 3000 psi 3/4"</v>
      </c>
      <c r="C1584" s="454" t="str">
        <f t="shared" si="79"/>
        <v>m3</v>
      </c>
      <c r="D1584" s="257">
        <f>0.25*1.05</f>
        <v>0.26250000000000001</v>
      </c>
      <c r="E1584" s="258">
        <f t="shared" ref="E1584:E1593" si="80">E1539</f>
        <v>630810.91779999994</v>
      </c>
      <c r="F1584" s="259">
        <f t="shared" ref="F1584:F1593" si="81">D1584*E1584</f>
        <v>165587.8659225</v>
      </c>
    </row>
    <row r="1585" spans="2:6" ht="45" x14ac:dyDescent="0.25">
      <c r="B1585" s="459" t="str">
        <f t="shared" si="79"/>
        <v>Sika Plastocrete DM Impermeabilizante para concreto. Presentación: 20kg rendimiento: 1% del peso del cemento ó 250 gr / bulto de cemento de 50 kg. + transp.</v>
      </c>
      <c r="C1585" s="454" t="str">
        <f t="shared" si="79"/>
        <v>kg</v>
      </c>
      <c r="D1585" s="257">
        <f>250*D1584*8/1000*1.05</f>
        <v>0.55125000000000002</v>
      </c>
      <c r="E1585" s="258">
        <f t="shared" si="80"/>
        <v>23934.55</v>
      </c>
      <c r="F1585" s="259">
        <f t="shared" si="81"/>
        <v>13193.9206875</v>
      </c>
    </row>
    <row r="1586" spans="2:6" ht="22.5" x14ac:dyDescent="0.25">
      <c r="B1586" s="255" t="str">
        <f t="shared" si="79"/>
        <v>Formaleta Madera (Fenolica similar a supert). (18 mm 183x2.44)+transporte</v>
      </c>
      <c r="C1586" s="454" t="str">
        <f t="shared" si="79"/>
        <v>un</v>
      </c>
      <c r="D1586" s="257">
        <f t="shared" ref="D1586:D1592" si="82">D1541</f>
        <v>0.16423303174176596</v>
      </c>
      <c r="E1586" s="258">
        <f t="shared" si="80"/>
        <v>264900</v>
      </c>
      <c r="F1586" s="259">
        <f t="shared" si="81"/>
        <v>43505.330108393799</v>
      </c>
    </row>
    <row r="1587" spans="2:6" ht="22.5" x14ac:dyDescent="0.25">
      <c r="B1587" s="255" t="str">
        <f t="shared" si="79"/>
        <v>Larguero madera comun 4 cmx8cmx2.80 m. Incluye transporte</v>
      </c>
      <c r="C1587" s="454" t="str">
        <f t="shared" si="79"/>
        <v>un</v>
      </c>
      <c r="D1587" s="257">
        <f t="shared" si="82"/>
        <v>3.1533333333333342</v>
      </c>
      <c r="E1587" s="258">
        <f t="shared" si="80"/>
        <v>20135</v>
      </c>
      <c r="F1587" s="259">
        <f t="shared" si="81"/>
        <v>63492.366666666683</v>
      </c>
    </row>
    <row r="1588" spans="2:6" ht="22.5" x14ac:dyDescent="0.25">
      <c r="B1588" s="255" t="str">
        <f t="shared" si="79"/>
        <v>Tabla madera común de 2.5 cm x 20cm x 2.80m. Incluye transporte.</v>
      </c>
      <c r="C1588" s="454" t="str">
        <f t="shared" si="79"/>
        <v>un</v>
      </c>
      <c r="D1588" s="257">
        <f t="shared" si="82"/>
        <v>0.2</v>
      </c>
      <c r="E1588" s="258">
        <f t="shared" si="80"/>
        <v>17255</v>
      </c>
      <c r="F1588" s="259">
        <f t="shared" si="81"/>
        <v>3451</v>
      </c>
    </row>
    <row r="1589" spans="2:6" ht="67.5" x14ac:dyDescent="0.25">
      <c r="B1589" s="255" t="str">
        <f t="shared" si="79"/>
        <v>Separol o equivalente (Desmoldante para evitar adherencia de concretos a formaletas.Presentación 15Kg. Rendimiento metal :45g/m2 madera:55g/m2 (15 kg)). para metal puro, para madera diluir hasta 5 partes de agua segun porosidad de la madera.</v>
      </c>
      <c r="C1589" s="454" t="str">
        <f t="shared" si="79"/>
        <v>un</v>
      </c>
      <c r="D1589" s="257">
        <f t="shared" si="82"/>
        <v>7.4066666666666734E-3</v>
      </c>
      <c r="E1589" s="258">
        <f t="shared" si="80"/>
        <v>550778</v>
      </c>
      <c r="F1589" s="259">
        <f t="shared" si="81"/>
        <v>4079.4290533333369</v>
      </c>
    </row>
    <row r="1590" spans="2:6" x14ac:dyDescent="0.25">
      <c r="B1590" s="255" t="str">
        <f t="shared" si="79"/>
        <v>Alambre recocido C 18</v>
      </c>
      <c r="C1590" s="454" t="str">
        <f t="shared" si="79"/>
        <v>kg</v>
      </c>
      <c r="D1590" s="257">
        <f t="shared" si="82"/>
        <v>1.2249999999999999</v>
      </c>
      <c r="E1590" s="258">
        <f t="shared" si="80"/>
        <v>8687</v>
      </c>
      <c r="F1590" s="259">
        <f t="shared" si="81"/>
        <v>10641.574999999999</v>
      </c>
    </row>
    <row r="1591" spans="2:6" x14ac:dyDescent="0.25">
      <c r="B1591" s="255" t="str">
        <f t="shared" si="79"/>
        <v>Clavo común x CAJA por 500 gr</v>
      </c>
      <c r="C1591" s="454" t="str">
        <f t="shared" si="79"/>
        <v>lb</v>
      </c>
      <c r="D1591" s="257">
        <f t="shared" si="82"/>
        <v>0.35</v>
      </c>
      <c r="E1591" s="258">
        <f t="shared" si="80"/>
        <v>5000</v>
      </c>
      <c r="F1591" s="259">
        <f t="shared" si="81"/>
        <v>1750</v>
      </c>
    </row>
    <row r="1592" spans="2:6" ht="22.5" x14ac:dyDescent="0.25">
      <c r="B1592" s="255" t="str">
        <f t="shared" si="79"/>
        <v>Moldura en madera 1/4 bocel de L=3.00 m. Chingale</v>
      </c>
      <c r="C1592" s="454" t="str">
        <f t="shared" si="79"/>
        <v>m</v>
      </c>
      <c r="D1592" s="257">
        <f t="shared" si="82"/>
        <v>2</v>
      </c>
      <c r="E1592" s="258">
        <f t="shared" si="80"/>
        <v>1450</v>
      </c>
      <c r="F1592" s="259">
        <f t="shared" si="81"/>
        <v>2900</v>
      </c>
    </row>
    <row r="1593" spans="2:6" ht="22.5" x14ac:dyDescent="0.25">
      <c r="B1593" s="255" t="str">
        <f t="shared" si="79"/>
        <v>Curador Antisol blanco para morteros y concretos. X 20 kg. Rendimiento 200 gr X m2.</v>
      </c>
      <c r="C1593" s="454" t="str">
        <f t="shared" si="79"/>
        <v>un</v>
      </c>
      <c r="D1593" s="257">
        <f>200*2.2/20000</f>
        <v>2.2000000000000002E-2</v>
      </c>
      <c r="E1593" s="258">
        <f t="shared" si="80"/>
        <v>266261</v>
      </c>
      <c r="F1593" s="259">
        <f t="shared" si="81"/>
        <v>5857.7420000000002</v>
      </c>
    </row>
    <row r="1594" spans="2:6" ht="15.75" thickBot="1" x14ac:dyDescent="0.3">
      <c r="B1594" s="611" t="s">
        <v>286</v>
      </c>
      <c r="C1594" s="612"/>
      <c r="D1594" s="612"/>
      <c r="E1594" s="613"/>
      <c r="F1594" s="284">
        <f>SUM(F1584:F1593)</f>
        <v>314459.2294383939</v>
      </c>
    </row>
    <row r="1595" spans="2:6" x14ac:dyDescent="0.25">
      <c r="B1595" s="594" t="s">
        <v>277</v>
      </c>
      <c r="C1595" s="595"/>
      <c r="D1595" s="595"/>
      <c r="E1595" s="595"/>
      <c r="F1595" s="596"/>
    </row>
    <row r="1596" spans="2:6" x14ac:dyDescent="0.25">
      <c r="B1596" s="266" t="str">
        <f>CUADRILLAS!A92</f>
        <v>Cuad. Concreto (1of + 3ay)</v>
      </c>
      <c r="C1596" s="267" t="s">
        <v>110</v>
      </c>
      <c r="D1596" s="268">
        <v>0.3</v>
      </c>
      <c r="E1596" s="269">
        <f>CUADRILLAS!B92</f>
        <v>349423</v>
      </c>
      <c r="F1596" s="270">
        <f>D1596*E1596</f>
        <v>104826.9</v>
      </c>
    </row>
    <row r="1597" spans="2:6" x14ac:dyDescent="0.25">
      <c r="B1597" s="266" t="str">
        <f>CUADRILLAS!A80</f>
        <v>1Ay Raso</v>
      </c>
      <c r="C1597" s="267" t="s">
        <v>110</v>
      </c>
      <c r="D1597" s="268">
        <v>0.05</v>
      </c>
      <c r="E1597" s="269">
        <f>CUADRILLAS!B80</f>
        <v>70786</v>
      </c>
      <c r="F1597" s="270">
        <f>D1597*E1597</f>
        <v>3539.3</v>
      </c>
    </row>
    <row r="1598" spans="2:6" x14ac:dyDescent="0.25">
      <c r="B1598" s="272"/>
      <c r="C1598" s="273"/>
      <c r="D1598" s="268"/>
      <c r="E1598" s="271"/>
      <c r="F1598" s="270">
        <f>D1598*E1598</f>
        <v>0</v>
      </c>
    </row>
    <row r="1599" spans="2:6" ht="15.75" thickBot="1" x14ac:dyDescent="0.3">
      <c r="B1599" s="611" t="s">
        <v>287</v>
      </c>
      <c r="C1599" s="612"/>
      <c r="D1599" s="612"/>
      <c r="E1599" s="613"/>
      <c r="F1599" s="274">
        <f>SUM(F1596:F1598)</f>
        <v>108366.2</v>
      </c>
    </row>
    <row r="1600" spans="2:6" x14ac:dyDescent="0.25">
      <c r="B1600" s="594" t="s">
        <v>278</v>
      </c>
      <c r="C1600" s="595"/>
      <c r="D1600" s="595"/>
      <c r="E1600" s="595"/>
      <c r="F1600" s="596"/>
    </row>
    <row r="1601" spans="2:6" x14ac:dyDescent="0.25">
      <c r="B1601" s="272" t="s">
        <v>279</v>
      </c>
      <c r="C1601" s="273" t="s">
        <v>280</v>
      </c>
      <c r="D1601" s="268">
        <v>0.05</v>
      </c>
      <c r="E1601" s="271">
        <f>F1599</f>
        <v>108366.2</v>
      </c>
      <c r="F1601" s="270">
        <f>D1601*E1601</f>
        <v>5418.31</v>
      </c>
    </row>
    <row r="1602" spans="2:6" ht="15.75" thickBot="1" x14ac:dyDescent="0.3">
      <c r="B1602" s="611" t="s">
        <v>288</v>
      </c>
      <c r="C1602" s="612"/>
      <c r="D1602" s="612"/>
      <c r="E1602" s="613"/>
      <c r="F1602" s="274">
        <f>SUM(F1601)</f>
        <v>5418.31</v>
      </c>
    </row>
    <row r="1603" spans="2:6" x14ac:dyDescent="0.25">
      <c r="B1603" s="594" t="s">
        <v>281</v>
      </c>
      <c r="C1603" s="595"/>
      <c r="D1603" s="595"/>
      <c r="E1603" s="595"/>
      <c r="F1603" s="596"/>
    </row>
    <row r="1604" spans="2:6" x14ac:dyDescent="0.25">
      <c r="B1604" s="272" t="str">
        <f t="shared" ref="B1604:E1614" si="83">B1559</f>
        <v>Manguera Flexible PF 1/2"</v>
      </c>
      <c r="C1604" s="273" t="str">
        <f t="shared" si="83"/>
        <v>m</v>
      </c>
      <c r="D1604" s="268">
        <f>D1559-0.01</f>
        <v>1.0899999999999999</v>
      </c>
      <c r="E1604" s="271">
        <f t="shared" si="83"/>
        <v>3350</v>
      </c>
      <c r="F1604" s="259">
        <f t="shared" ref="F1604:F1615" si="84">D1604*E1604</f>
        <v>3651.4999999999995</v>
      </c>
    </row>
    <row r="1605" spans="2:6" x14ac:dyDescent="0.25">
      <c r="B1605" s="272" t="str">
        <f t="shared" si="83"/>
        <v>Vibrador eléctrico de aguja a 110 V</v>
      </c>
      <c r="C1605" s="273" t="str">
        <f t="shared" si="83"/>
        <v>día</v>
      </c>
      <c r="D1605" s="268">
        <f t="shared" ref="D1605:D1614" si="85">D1560-0.01</f>
        <v>0.24</v>
      </c>
      <c r="E1605" s="271">
        <f t="shared" si="83"/>
        <v>48433</v>
      </c>
      <c r="F1605" s="259">
        <f t="shared" si="84"/>
        <v>11623.92</v>
      </c>
    </row>
    <row r="1606" spans="2:6" x14ac:dyDescent="0.25">
      <c r="B1606" s="272" t="str">
        <f t="shared" si="83"/>
        <v>Taco Metalico Enano</v>
      </c>
      <c r="C1606" s="273" t="str">
        <f t="shared" si="83"/>
        <v>día</v>
      </c>
      <c r="D1606" s="268">
        <f t="shared" si="85"/>
        <v>20.04</v>
      </c>
      <c r="E1606" s="271">
        <f t="shared" si="83"/>
        <v>381</v>
      </c>
      <c r="F1606" s="259">
        <f t="shared" si="84"/>
        <v>7635.24</v>
      </c>
    </row>
    <row r="1607" spans="2:6" x14ac:dyDescent="0.25">
      <c r="B1607" s="272" t="str">
        <f t="shared" si="83"/>
        <v>Taco Metalico Ext. 1,50 a 2,60 mt</v>
      </c>
      <c r="C1607" s="273" t="str">
        <f t="shared" si="83"/>
        <v>día</v>
      </c>
      <c r="D1607" s="268">
        <f t="shared" si="85"/>
        <v>5.04</v>
      </c>
      <c r="E1607" s="271">
        <f t="shared" si="83"/>
        <v>416.5</v>
      </c>
      <c r="F1607" s="259">
        <f t="shared" si="84"/>
        <v>2099.16</v>
      </c>
    </row>
    <row r="1608" spans="2:6" x14ac:dyDescent="0.25">
      <c r="B1608" s="272" t="str">
        <f t="shared" si="83"/>
        <v>Cercha Metálica 3 m alquiler + transporte</v>
      </c>
      <c r="C1608" s="273" t="str">
        <f t="shared" si="83"/>
        <v>día</v>
      </c>
      <c r="D1608" s="268">
        <f t="shared" si="85"/>
        <v>7.04</v>
      </c>
      <c r="E1608" s="271">
        <f t="shared" si="83"/>
        <v>535.5</v>
      </c>
      <c r="F1608" s="259">
        <f t="shared" si="84"/>
        <v>3769.92</v>
      </c>
    </row>
    <row r="1609" spans="2:6" x14ac:dyDescent="0.25">
      <c r="B1609" s="272" t="str">
        <f t="shared" si="83"/>
        <v>Gato Tensor</v>
      </c>
      <c r="C1609" s="273" t="str">
        <f t="shared" si="83"/>
        <v>día</v>
      </c>
      <c r="D1609" s="268">
        <f t="shared" si="85"/>
        <v>1.04</v>
      </c>
      <c r="E1609" s="271">
        <f t="shared" si="83"/>
        <v>1785</v>
      </c>
      <c r="F1609" s="259">
        <f t="shared" si="84"/>
        <v>1856.4</v>
      </c>
    </row>
    <row r="1610" spans="2:6" x14ac:dyDescent="0.25">
      <c r="B1610" s="272" t="str">
        <f t="shared" si="83"/>
        <v>Chapeta tensora 3/8</v>
      </c>
      <c r="C1610" s="273" t="str">
        <f t="shared" si="83"/>
        <v>día</v>
      </c>
      <c r="D1610" s="268">
        <f t="shared" si="85"/>
        <v>40.04</v>
      </c>
      <c r="E1610" s="271">
        <f t="shared" si="83"/>
        <v>442.79999999999995</v>
      </c>
      <c r="F1610" s="259">
        <f t="shared" si="84"/>
        <v>17729.712</v>
      </c>
    </row>
    <row r="1611" spans="2:6" x14ac:dyDescent="0.25">
      <c r="B1611" s="272" t="str">
        <f t="shared" si="83"/>
        <v>Corbata 250 mm</v>
      </c>
      <c r="C1611" s="273" t="str">
        <f t="shared" si="83"/>
        <v>día</v>
      </c>
      <c r="D1611" s="268">
        <f t="shared" si="85"/>
        <v>20.04</v>
      </c>
      <c r="E1611" s="271">
        <f t="shared" si="83"/>
        <v>428.4</v>
      </c>
      <c r="F1611" s="259">
        <f t="shared" si="84"/>
        <v>8585.1359999999986</v>
      </c>
    </row>
    <row r="1612" spans="2:6" x14ac:dyDescent="0.25">
      <c r="B1612" s="272" t="str">
        <f t="shared" si="83"/>
        <v xml:space="preserve">Extensión eléctrica encauchetada (50m) </v>
      </c>
      <c r="C1612" s="273" t="str">
        <f t="shared" si="83"/>
        <v>día</v>
      </c>
      <c r="D1612" s="268">
        <f t="shared" si="85"/>
        <v>0.44</v>
      </c>
      <c r="E1612" s="271">
        <f t="shared" si="83"/>
        <v>9163</v>
      </c>
      <c r="F1612" s="259">
        <f t="shared" si="84"/>
        <v>4031.72</v>
      </c>
    </row>
    <row r="1613" spans="2:6" x14ac:dyDescent="0.25">
      <c r="B1613" s="272" t="str">
        <f t="shared" si="83"/>
        <v>Sierra circular manual + disco</v>
      </c>
      <c r="C1613" s="273" t="str">
        <f t="shared" si="83"/>
        <v>día</v>
      </c>
      <c r="D1613" s="268">
        <f t="shared" si="85"/>
        <v>0.24</v>
      </c>
      <c r="E1613" s="271">
        <f t="shared" si="83"/>
        <v>35000</v>
      </c>
      <c r="F1613" s="259">
        <f t="shared" si="84"/>
        <v>8400</v>
      </c>
    </row>
    <row r="1614" spans="2:6" x14ac:dyDescent="0.25">
      <c r="B1614" s="272" t="str">
        <f t="shared" si="83"/>
        <v>Fumigadora manual</v>
      </c>
      <c r="C1614" s="273" t="str">
        <f t="shared" si="83"/>
        <v>día</v>
      </c>
      <c r="D1614" s="268">
        <f t="shared" si="85"/>
        <v>0.24</v>
      </c>
      <c r="E1614" s="271">
        <f t="shared" si="83"/>
        <v>2498</v>
      </c>
      <c r="F1614" s="259">
        <f t="shared" si="84"/>
        <v>599.52</v>
      </c>
    </row>
    <row r="1615" spans="2:6" x14ac:dyDescent="0.25">
      <c r="B1615" s="272"/>
      <c r="C1615" s="273"/>
      <c r="D1615" s="268"/>
      <c r="E1615" s="271"/>
      <c r="F1615" s="259">
        <f t="shared" si="84"/>
        <v>0</v>
      </c>
    </row>
    <row r="1616" spans="2:6" ht="15.75" thickBot="1" x14ac:dyDescent="0.3">
      <c r="B1616" s="611" t="s">
        <v>289</v>
      </c>
      <c r="C1616" s="612"/>
      <c r="D1616" s="612"/>
      <c r="E1616" s="613"/>
      <c r="F1616" s="274">
        <f>SUM(F1604:F1615)</f>
        <v>69982.228000000003</v>
      </c>
    </row>
    <row r="1617" spans="2:6" x14ac:dyDescent="0.25">
      <c r="B1617" s="594" t="s">
        <v>290</v>
      </c>
      <c r="C1617" s="595"/>
      <c r="D1617" s="595"/>
      <c r="E1617" s="595"/>
      <c r="F1617" s="596"/>
    </row>
    <row r="1618" spans="2:6" x14ac:dyDescent="0.25">
      <c r="B1618" s="272" t="s">
        <v>883</v>
      </c>
      <c r="C1618" s="273" t="s">
        <v>117</v>
      </c>
      <c r="D1618" s="275">
        <f>D1584*1.8</f>
        <v>0.47250000000000003</v>
      </c>
      <c r="E1618" s="276">
        <v>15000</v>
      </c>
      <c r="F1618" s="259">
        <f>D1618*E1618</f>
        <v>7087.5000000000009</v>
      </c>
    </row>
    <row r="1619" spans="2:6" x14ac:dyDescent="0.25">
      <c r="B1619" s="277" t="s">
        <v>906</v>
      </c>
      <c r="C1619" s="278" t="s">
        <v>49</v>
      </c>
      <c r="D1619" s="279">
        <v>0</v>
      </c>
      <c r="E1619" s="280">
        <v>2000</v>
      </c>
      <c r="F1619" s="259">
        <f>D1619*E1619</f>
        <v>0</v>
      </c>
    </row>
    <row r="1620" spans="2:6" x14ac:dyDescent="0.25">
      <c r="B1620" s="277"/>
      <c r="C1620" s="278"/>
      <c r="D1620" s="279"/>
      <c r="E1620" s="280"/>
      <c r="F1620" s="259">
        <f>D1620*E1620</f>
        <v>0</v>
      </c>
    </row>
    <row r="1621" spans="2:6" ht="15.75" thickBot="1" x14ac:dyDescent="0.3">
      <c r="B1621" s="611" t="s">
        <v>291</v>
      </c>
      <c r="C1621" s="612"/>
      <c r="D1621" s="612"/>
      <c r="E1621" s="613"/>
      <c r="F1621" s="285">
        <f>SUM(F1618:F1620)</f>
        <v>7087.5000000000009</v>
      </c>
    </row>
    <row r="1622" spans="2:6" ht="15.75" thickBot="1" x14ac:dyDescent="0.3">
      <c r="B1622" s="600" t="s">
        <v>282</v>
      </c>
      <c r="C1622" s="601"/>
      <c r="D1622" s="601"/>
      <c r="E1622" s="601"/>
      <c r="F1622" s="286">
        <f>ROUND(F1594+F1599+F1602+F1616+F1621,0)</f>
        <v>505313</v>
      </c>
    </row>
    <row r="1623" spans="2:6" ht="15.75" thickBot="1" x14ac:dyDescent="0.3"/>
    <row r="1624" spans="2:6" ht="15.75" thickBot="1" x14ac:dyDescent="0.3">
      <c r="B1624" s="602" t="s">
        <v>276</v>
      </c>
      <c r="C1624" s="603"/>
      <c r="D1624" s="603"/>
      <c r="E1624" s="603"/>
      <c r="F1624" s="604"/>
    </row>
    <row r="1625" spans="2:6" ht="15.75" thickBot="1" x14ac:dyDescent="0.3">
      <c r="B1625" s="605" t="s">
        <v>104</v>
      </c>
      <c r="C1625" s="606"/>
      <c r="D1625" s="607"/>
      <c r="E1625" s="282" t="s">
        <v>105</v>
      </c>
      <c r="F1625" s="283" t="s">
        <v>103</v>
      </c>
    </row>
    <row r="1626" spans="2:6" ht="87.6" customHeight="1" thickBot="1" x14ac:dyDescent="0.3">
      <c r="B1626" s="608" t="str">
        <f>'PRESUPUESTO CALLE 58 SUR'!B47</f>
        <v>Construcción de LOSA DE FONDO MACIZA en concreto PREPARADO EN OBRA de 21 MPa., con un ESPESOR DE 30 cm. Impermeabilizada con Plastocrete DM de Sika o equivalente y adicionado con FIBRA TIPO Nikon.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v>
      </c>
      <c r="C1626" s="609"/>
      <c r="D1626" s="610"/>
      <c r="E1626" s="449" t="str">
        <f>'PRESUPUESTO CALLE 58 SUR'!C47</f>
        <v>m2</v>
      </c>
      <c r="F1626" s="448">
        <f>'PRESUPUESTO CALLE 58 SUR'!A47</f>
        <v>8.6999999999999993</v>
      </c>
    </row>
    <row r="1627" spans="2:6" ht="15.75" thickBot="1" x14ac:dyDescent="0.3">
      <c r="B1627" s="250" t="s">
        <v>8</v>
      </c>
      <c r="C1627" s="251" t="s">
        <v>9</v>
      </c>
      <c r="D1627" s="252" t="s">
        <v>10</v>
      </c>
      <c r="E1627" s="253" t="s">
        <v>283</v>
      </c>
      <c r="F1627" s="254" t="s">
        <v>284</v>
      </c>
    </row>
    <row r="1628" spans="2:6" x14ac:dyDescent="0.25">
      <c r="B1628" s="594" t="s">
        <v>285</v>
      </c>
      <c r="C1628" s="595"/>
      <c r="D1628" s="595"/>
      <c r="E1628" s="595"/>
      <c r="F1628" s="596"/>
    </row>
    <row r="1629" spans="2:6" x14ac:dyDescent="0.25">
      <c r="B1629" s="255" t="str">
        <f>SUBANALISIS!A78</f>
        <v>Concr.en obra 3000 psi 3/4"</v>
      </c>
      <c r="C1629" s="256" t="s">
        <v>117</v>
      </c>
      <c r="D1629" s="257">
        <v>1.05</v>
      </c>
      <c r="E1629" s="258">
        <f>SUBANALISIS!F78</f>
        <v>630810.91779999994</v>
      </c>
      <c r="F1629" s="259">
        <f t="shared" ref="F1629:F1640" si="86">D1629*E1629</f>
        <v>662351.46369</v>
      </c>
    </row>
    <row r="1630" spans="2:6" ht="45" x14ac:dyDescent="0.25">
      <c r="B1630" s="260" t="str">
        <f>INSUMOS!B263</f>
        <v>Sika Plastocrete DM Impermeabilizante para concreto. Presentación: 20kg rendimiento: 1% del peso del cemento ó 250 gr / bulto de cemento de 50 kg. + transp.</v>
      </c>
      <c r="C1630" s="256" t="s">
        <v>122</v>
      </c>
      <c r="D1630" s="257">
        <f>250/1000*8*D1629*1.05</f>
        <v>2.2050000000000001</v>
      </c>
      <c r="E1630" s="258">
        <f>INSUMOS!D263</f>
        <v>23934.55</v>
      </c>
      <c r="F1630" s="259">
        <f t="shared" si="86"/>
        <v>52775.68275</v>
      </c>
    </row>
    <row r="1631" spans="2:6" ht="33.75" x14ac:dyDescent="0.25">
      <c r="B1631" s="261" t="str">
        <f>INSUMOS!B269</f>
        <v>Fibra Sintética refuerzo concreto X 1.8 kg. Tipo NIKON. + TRANSPORTE, RENDIMIENTO DE 1.8 kg/m3</v>
      </c>
      <c r="C1631" s="256" t="s">
        <v>17</v>
      </c>
      <c r="D1631" s="257">
        <f>(1.8*D1629)/1.8</f>
        <v>1.05</v>
      </c>
      <c r="E1631" s="258">
        <f>INSUMOS!D269</f>
        <v>96900</v>
      </c>
      <c r="F1631" s="259">
        <f t="shared" si="86"/>
        <v>101745</v>
      </c>
    </row>
    <row r="1632" spans="2:6" ht="22.5" x14ac:dyDescent="0.25">
      <c r="B1632" s="261" t="str">
        <f>INSUMOS!B248</f>
        <v>Tabla madera común de 2.5 cm x 20cm x 2.80m. Incluye transporte.</v>
      </c>
      <c r="C1632" s="256" t="s">
        <v>17</v>
      </c>
      <c r="D1632" s="257">
        <f>((0.4*2/1.5)*(1/0.3)/(0.2*2.8))*1.1</f>
        <v>3.492063492063493</v>
      </c>
      <c r="E1632" s="258">
        <f>INSUMOS!D248</f>
        <v>17255</v>
      </c>
      <c r="F1632" s="259">
        <f t="shared" si="86"/>
        <v>60255.555555555569</v>
      </c>
    </row>
    <row r="1633" spans="2:6" ht="22.5" x14ac:dyDescent="0.25">
      <c r="B1633" s="261" t="str">
        <f>INSUMOS!B202</f>
        <v>Larguero madera comun 4 cmx8cmx2.80 m. Incluye transporte</v>
      </c>
      <c r="C1633" s="256" t="s">
        <v>17</v>
      </c>
      <c r="D1633" s="257">
        <f>(0.3*4+2)*(1/0.3)/2.8*1.1+0.5</f>
        <v>4.6904761904761916</v>
      </c>
      <c r="E1633" s="258">
        <f>INSUMOS!D202</f>
        <v>20135</v>
      </c>
      <c r="F1633" s="259">
        <f t="shared" si="86"/>
        <v>94442.738095238121</v>
      </c>
    </row>
    <row r="1634" spans="2:6" x14ac:dyDescent="0.25">
      <c r="B1634" s="261" t="str">
        <f>INSUMOS!B204</f>
        <v>Taco de madera de 3.0 m</v>
      </c>
      <c r="C1634" s="256" t="s">
        <v>17</v>
      </c>
      <c r="D1634" s="257">
        <v>0.65</v>
      </c>
      <c r="E1634" s="258">
        <f>INSUMOS!D204</f>
        <v>9482</v>
      </c>
      <c r="F1634" s="259">
        <f t="shared" si="86"/>
        <v>6163.3</v>
      </c>
    </row>
    <row r="1635" spans="2:6" ht="67.5" x14ac:dyDescent="0.25">
      <c r="B1635" s="260" t="str">
        <f>INSUMOS!B214</f>
        <v>Separol o equivalente (Desmoldante para evitar adherencia de concretos a formaletas.Presentación 15Kg. Rendimiento metal :45g/m2 madera:55g/m2 (15 kg)). para metal puro, para madera diluir hasta 5 partes de agua segun porosidad de la madera.</v>
      </c>
      <c r="C1635" s="256" t="s">
        <v>17</v>
      </c>
      <c r="D1635" s="257">
        <f>(2.222*0.3*2+1.5*0.3*2)*55*1.1/15000</f>
        <v>9.0072400000000014E-3</v>
      </c>
      <c r="E1635" s="258">
        <f>INSUMOS!D214</f>
        <v>550778</v>
      </c>
      <c r="F1635" s="259">
        <f t="shared" si="86"/>
        <v>4960.9896327200004</v>
      </c>
    </row>
    <row r="1636" spans="2:6" x14ac:dyDescent="0.25">
      <c r="B1636" s="261" t="str">
        <f>INSUMOS!B205</f>
        <v>Clavo común x CAJA por 500 gr</v>
      </c>
      <c r="C1636" s="256" t="s">
        <v>907</v>
      </c>
      <c r="D1636" s="257">
        <v>1</v>
      </c>
      <c r="E1636" s="258">
        <f>INSUMOS!E205</f>
        <v>5000</v>
      </c>
      <c r="F1636" s="259">
        <f t="shared" si="86"/>
        <v>5000</v>
      </c>
    </row>
    <row r="1637" spans="2:6" x14ac:dyDescent="0.25">
      <c r="B1637" s="261" t="str">
        <f>INSUMOS!B208</f>
        <v>Alambre recocido C 18</v>
      </c>
      <c r="C1637" s="256" t="s">
        <v>122</v>
      </c>
      <c r="D1637" s="257">
        <v>0.3</v>
      </c>
      <c r="E1637" s="258">
        <f>INSUMOS!D208</f>
        <v>8687</v>
      </c>
      <c r="F1637" s="259">
        <f t="shared" si="86"/>
        <v>2606.1</v>
      </c>
    </row>
    <row r="1638" spans="2:6" ht="22.5" x14ac:dyDescent="0.25">
      <c r="B1638" s="261" t="str">
        <f>INSUMOS!B272</f>
        <v>Curador Antisol blanco para morteros y concretos. X 20 kg. Rendimiento 200 gr X m2.</v>
      </c>
      <c r="C1638" s="256" t="s">
        <v>17</v>
      </c>
      <c r="D1638" s="257">
        <f>200*(2.22*1.5)/20000*1.1</f>
        <v>3.663000000000001E-2</v>
      </c>
      <c r="E1638" s="258">
        <f>INSUMOS!D272</f>
        <v>266261</v>
      </c>
      <c r="F1638" s="259">
        <f t="shared" si="86"/>
        <v>9753.1404300000031</v>
      </c>
    </row>
    <row r="1639" spans="2:6" x14ac:dyDescent="0.25">
      <c r="B1639" s="261"/>
      <c r="C1639" s="256"/>
      <c r="D1639" s="257"/>
      <c r="E1639" s="258"/>
      <c r="F1639" s="259">
        <f t="shared" si="86"/>
        <v>0</v>
      </c>
    </row>
    <row r="1640" spans="2:6" x14ac:dyDescent="0.25">
      <c r="B1640" s="262"/>
      <c r="C1640" s="263"/>
      <c r="D1640" s="264"/>
      <c r="E1640" s="265"/>
      <c r="F1640" s="259">
        <f t="shared" si="86"/>
        <v>0</v>
      </c>
    </row>
    <row r="1641" spans="2:6" ht="15.75" thickBot="1" x14ac:dyDescent="0.3">
      <c r="B1641" s="611" t="s">
        <v>286</v>
      </c>
      <c r="C1641" s="612"/>
      <c r="D1641" s="612"/>
      <c r="E1641" s="613"/>
      <c r="F1641" s="284">
        <f>SUM(F1629:F1640)</f>
        <v>1000053.9701535138</v>
      </c>
    </row>
    <row r="1642" spans="2:6" x14ac:dyDescent="0.25">
      <c r="B1642" s="594" t="s">
        <v>277</v>
      </c>
      <c r="C1642" s="595"/>
      <c r="D1642" s="595"/>
      <c r="E1642" s="595"/>
      <c r="F1642" s="596"/>
    </row>
    <row r="1643" spans="2:6" x14ac:dyDescent="0.25">
      <c r="B1643" s="266" t="str">
        <f>CUADRILLAS!A92</f>
        <v>Cuad. Concreto (1of + 3ay)</v>
      </c>
      <c r="C1643" s="267" t="s">
        <v>110</v>
      </c>
      <c r="D1643" s="268">
        <v>0.8</v>
      </c>
      <c r="E1643" s="269">
        <f>CUADRILLAS!B92</f>
        <v>349423</v>
      </c>
      <c r="F1643" s="270">
        <f>D1643*E1643</f>
        <v>279538.40000000002</v>
      </c>
    </row>
    <row r="1644" spans="2:6" x14ac:dyDescent="0.25">
      <c r="B1644" s="266" t="str">
        <f>CUADRILLAS!A80</f>
        <v>1Ay Raso</v>
      </c>
      <c r="C1644" s="267" t="s">
        <v>110</v>
      </c>
      <c r="D1644" s="268">
        <v>0.1</v>
      </c>
      <c r="E1644" s="269">
        <f>CUADRILLAS!B80</f>
        <v>70786</v>
      </c>
      <c r="F1644" s="270">
        <f>D1644*E1644</f>
        <v>7078.6</v>
      </c>
    </row>
    <row r="1645" spans="2:6" x14ac:dyDescent="0.25">
      <c r="B1645" s="266"/>
      <c r="C1645" s="267"/>
      <c r="D1645" s="268"/>
      <c r="E1645" s="271"/>
      <c r="F1645" s="270">
        <f>D1645*E1645</f>
        <v>0</v>
      </c>
    </row>
    <row r="1646" spans="2:6" x14ac:dyDescent="0.25">
      <c r="B1646" s="272"/>
      <c r="C1646" s="273"/>
      <c r="D1646" s="268"/>
      <c r="E1646" s="271"/>
      <c r="F1646" s="270">
        <f>D1646*E1646</f>
        <v>0</v>
      </c>
    </row>
    <row r="1647" spans="2:6" ht="15.75" thickBot="1" x14ac:dyDescent="0.3">
      <c r="B1647" s="611" t="s">
        <v>287</v>
      </c>
      <c r="C1647" s="612"/>
      <c r="D1647" s="612"/>
      <c r="E1647" s="613"/>
      <c r="F1647" s="274">
        <f>SUM(F1643:F1646)</f>
        <v>286617</v>
      </c>
    </row>
    <row r="1648" spans="2:6" x14ac:dyDescent="0.25">
      <c r="B1648" s="594" t="s">
        <v>278</v>
      </c>
      <c r="C1648" s="595"/>
      <c r="D1648" s="595"/>
      <c r="E1648" s="595"/>
      <c r="F1648" s="596"/>
    </row>
    <row r="1649" spans="2:6" x14ac:dyDescent="0.25">
      <c r="B1649" s="272" t="s">
        <v>279</v>
      </c>
      <c r="C1649" s="273" t="s">
        <v>280</v>
      </c>
      <c r="D1649" s="268">
        <v>0.05</v>
      </c>
      <c r="E1649" s="271">
        <f>F1647</f>
        <v>286617</v>
      </c>
      <c r="F1649" s="270">
        <f>D1649*E1649</f>
        <v>14330.85</v>
      </c>
    </row>
    <row r="1650" spans="2:6" ht="15.75" thickBot="1" x14ac:dyDescent="0.3">
      <c r="B1650" s="611" t="s">
        <v>288</v>
      </c>
      <c r="C1650" s="612"/>
      <c r="D1650" s="612"/>
      <c r="E1650" s="613"/>
      <c r="F1650" s="274">
        <f>SUM(F1649)</f>
        <v>14330.85</v>
      </c>
    </row>
    <row r="1651" spans="2:6" x14ac:dyDescent="0.25">
      <c r="B1651" s="594" t="s">
        <v>281</v>
      </c>
      <c r="C1651" s="595"/>
      <c r="D1651" s="595"/>
      <c r="E1651" s="595"/>
      <c r="F1651" s="596"/>
    </row>
    <row r="1652" spans="2:6" x14ac:dyDescent="0.25">
      <c r="B1652" s="272" t="str">
        <f>INSUMOS!B230</f>
        <v>Vibrador eléctrico de aguja a 110 V</v>
      </c>
      <c r="C1652" s="273" t="s">
        <v>110</v>
      </c>
      <c r="D1652" s="268">
        <v>1.5</v>
      </c>
      <c r="E1652" s="271">
        <f>INSUMOS!D230</f>
        <v>48433</v>
      </c>
      <c r="F1652" s="259">
        <f t="shared" ref="F1652:F1660" si="87">D1652*E1652</f>
        <v>72649.5</v>
      </c>
    </row>
    <row r="1653" spans="2:6" x14ac:dyDescent="0.25">
      <c r="B1653" s="272" t="str">
        <f>INSUMOS!B215</f>
        <v xml:space="preserve">Motobomba Eléctrica Sumergible 2" </v>
      </c>
      <c r="C1653" s="273" t="s">
        <v>110</v>
      </c>
      <c r="D1653" s="268">
        <v>1.5</v>
      </c>
      <c r="E1653" s="271">
        <f>INSUMOS!D215</f>
        <v>30345</v>
      </c>
      <c r="F1653" s="259">
        <f t="shared" si="87"/>
        <v>45517.5</v>
      </c>
    </row>
    <row r="1654" spans="2:6" ht="22.5" x14ac:dyDescent="0.25">
      <c r="B1654" s="272" t="str">
        <f>INSUMOS!B217</f>
        <v>Manguera de succión con granada flexible 2" (26m) + transporte.</v>
      </c>
      <c r="C1654" s="273" t="s">
        <v>110</v>
      </c>
      <c r="D1654" s="268">
        <v>1.5</v>
      </c>
      <c r="E1654" s="271">
        <f>INSUMOS!D217</f>
        <v>19637</v>
      </c>
      <c r="F1654" s="259">
        <f t="shared" si="87"/>
        <v>29455.5</v>
      </c>
    </row>
    <row r="1655" spans="2:6" x14ac:dyDescent="0.25">
      <c r="B1655" s="272" t="str">
        <f>INSUMOS!B218</f>
        <v xml:space="preserve">Extensión eléctrica encauchetada (50m) </v>
      </c>
      <c r="C1655" s="273" t="s">
        <v>110</v>
      </c>
      <c r="D1655" s="268">
        <v>1.5</v>
      </c>
      <c r="E1655" s="271">
        <f>INSUMOS!F218</f>
        <v>9163</v>
      </c>
      <c r="F1655" s="259">
        <f t="shared" si="87"/>
        <v>13744.5</v>
      </c>
    </row>
    <row r="1656" spans="2:6" x14ac:dyDescent="0.25">
      <c r="B1656" s="272" t="str">
        <f>INSUMOS!B324</f>
        <v>Fumigadora manual</v>
      </c>
      <c r="C1656" s="273" t="s">
        <v>110</v>
      </c>
      <c r="D1656" s="268">
        <v>1</v>
      </c>
      <c r="E1656" s="271">
        <f>INSUMOS!D324</f>
        <v>2498</v>
      </c>
      <c r="F1656" s="259">
        <f t="shared" si="87"/>
        <v>2498</v>
      </c>
    </row>
    <row r="1657" spans="2:6" x14ac:dyDescent="0.25">
      <c r="B1657" s="272"/>
      <c r="C1657" s="273"/>
      <c r="D1657" s="268"/>
      <c r="E1657" s="271"/>
      <c r="F1657" s="259">
        <f t="shared" si="87"/>
        <v>0</v>
      </c>
    </row>
    <row r="1658" spans="2:6" x14ac:dyDescent="0.25">
      <c r="B1658" s="272"/>
      <c r="C1658" s="273"/>
      <c r="D1658" s="268"/>
      <c r="E1658" s="271"/>
      <c r="F1658" s="259">
        <f t="shared" si="87"/>
        <v>0</v>
      </c>
    </row>
    <row r="1659" spans="2:6" x14ac:dyDescent="0.25">
      <c r="B1659" s="272"/>
      <c r="C1659" s="273"/>
      <c r="D1659" s="268"/>
      <c r="E1659" s="271"/>
      <c r="F1659" s="259">
        <f t="shared" si="87"/>
        <v>0</v>
      </c>
    </row>
    <row r="1660" spans="2:6" x14ac:dyDescent="0.25">
      <c r="B1660" s="272"/>
      <c r="C1660" s="273"/>
      <c r="D1660" s="268"/>
      <c r="E1660" s="271"/>
      <c r="F1660" s="259">
        <f t="shared" si="87"/>
        <v>0</v>
      </c>
    </row>
    <row r="1661" spans="2:6" ht="15.75" thickBot="1" x14ac:dyDescent="0.3">
      <c r="B1661" s="611" t="s">
        <v>289</v>
      </c>
      <c r="C1661" s="612"/>
      <c r="D1661" s="612"/>
      <c r="E1661" s="613"/>
      <c r="F1661" s="274">
        <f>SUM(F1652:F1660)</f>
        <v>163865</v>
      </c>
    </row>
    <row r="1662" spans="2:6" x14ac:dyDescent="0.25">
      <c r="B1662" s="594" t="s">
        <v>290</v>
      </c>
      <c r="C1662" s="595"/>
      <c r="D1662" s="595"/>
      <c r="E1662" s="595"/>
      <c r="F1662" s="596"/>
    </row>
    <row r="1663" spans="2:6" x14ac:dyDescent="0.25">
      <c r="B1663" s="272" t="s">
        <v>884</v>
      </c>
      <c r="C1663" s="273" t="s">
        <v>117</v>
      </c>
      <c r="D1663" s="275">
        <f>D1629*1.8</f>
        <v>1.8900000000000001</v>
      </c>
      <c r="E1663" s="276">
        <v>15000</v>
      </c>
      <c r="F1663" s="259">
        <f>D1663*E1663</f>
        <v>28350.000000000004</v>
      </c>
    </row>
    <row r="1664" spans="2:6" x14ac:dyDescent="0.25">
      <c r="B1664" s="277"/>
      <c r="C1664" s="278"/>
      <c r="D1664" s="279"/>
      <c r="E1664" s="280"/>
      <c r="F1664" s="259">
        <f>D1664*E1664</f>
        <v>0</v>
      </c>
    </row>
    <row r="1665" spans="2:8" x14ac:dyDescent="0.25">
      <c r="B1665" s="277"/>
      <c r="C1665" s="278"/>
      <c r="D1665" s="279"/>
      <c r="E1665" s="280"/>
      <c r="F1665" s="259">
        <f>D1665*E1665</f>
        <v>0</v>
      </c>
    </row>
    <row r="1666" spans="2:8" ht="15.75" thickBot="1" x14ac:dyDescent="0.3">
      <c r="B1666" s="611" t="s">
        <v>291</v>
      </c>
      <c r="C1666" s="612"/>
      <c r="D1666" s="612"/>
      <c r="E1666" s="613"/>
      <c r="F1666" s="285">
        <f>SUM(F1663:F1665)</f>
        <v>28350.000000000004</v>
      </c>
      <c r="H1666" s="502"/>
    </row>
    <row r="1667" spans="2:8" ht="15.75" thickBot="1" x14ac:dyDescent="0.3">
      <c r="B1667" s="600" t="s">
        <v>282</v>
      </c>
      <c r="C1667" s="601"/>
      <c r="D1667" s="601"/>
      <c r="E1667" s="601"/>
      <c r="F1667" s="286">
        <f>ROUND(F1641+F1647+F1650+F1661+F1666,0)</f>
        <v>1493217</v>
      </c>
      <c r="G1667" s="375">
        <f>+F1667*0.3</f>
        <v>447965.1</v>
      </c>
    </row>
    <row r="1668" spans="2:8" ht="15.75" thickBot="1" x14ac:dyDescent="0.3"/>
    <row r="1669" spans="2:8" ht="15.75" thickBot="1" x14ac:dyDescent="0.3">
      <c r="B1669" s="602" t="s">
        <v>276</v>
      </c>
      <c r="C1669" s="603"/>
      <c r="D1669" s="603"/>
      <c r="E1669" s="603"/>
      <c r="F1669" s="604"/>
    </row>
    <row r="1670" spans="2:8" ht="15.75" thickBot="1" x14ac:dyDescent="0.3">
      <c r="B1670" s="605" t="s">
        <v>104</v>
      </c>
      <c r="C1670" s="606"/>
      <c r="D1670" s="607"/>
      <c r="E1670" s="282" t="s">
        <v>105</v>
      </c>
      <c r="F1670" s="283" t="s">
        <v>103</v>
      </c>
    </row>
    <row r="1671" spans="2:8" ht="88.9" customHeight="1" thickBot="1" x14ac:dyDescent="0.3">
      <c r="B1671" s="608" t="str">
        <f>'PRESUPUESTO CALLE 58 SUR'!B48</f>
        <v>Construcción de MUROS LATERALES DE CANAL en concreto de 21 MPa., con un ESPESOR DE 25 cm, Impermeabilizado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v>
      </c>
      <c r="C1671" s="609"/>
      <c r="D1671" s="610"/>
      <c r="E1671" s="449" t="str">
        <f>'PRESUPUESTO CALLE 58 SUR'!C48</f>
        <v>m2</v>
      </c>
      <c r="F1671" s="448">
        <f>'PRESUPUESTO CALLE 58 SUR'!A48</f>
        <v>8.8000000000000007</v>
      </c>
    </row>
    <row r="1672" spans="2:8" ht="15.75" thickBot="1" x14ac:dyDescent="0.3">
      <c r="B1672" s="250" t="s">
        <v>8</v>
      </c>
      <c r="C1672" s="251" t="s">
        <v>9</v>
      </c>
      <c r="D1672" s="252" t="s">
        <v>10</v>
      </c>
      <c r="E1672" s="253" t="s">
        <v>283</v>
      </c>
      <c r="F1672" s="254" t="s">
        <v>284</v>
      </c>
    </row>
    <row r="1673" spans="2:8" x14ac:dyDescent="0.25">
      <c r="B1673" s="594" t="s">
        <v>285</v>
      </c>
      <c r="C1673" s="595"/>
      <c r="D1673" s="595"/>
      <c r="E1673" s="595"/>
      <c r="F1673" s="596"/>
    </row>
    <row r="1674" spans="2:8" x14ac:dyDescent="0.25">
      <c r="B1674" s="255" t="str">
        <f>SUBANALISIS!A78</f>
        <v>Concr.en obra 3000 psi 3/4"</v>
      </c>
      <c r="C1674" s="256" t="s">
        <v>117</v>
      </c>
      <c r="D1674" s="257">
        <f>0.25*1.05</f>
        <v>0.26250000000000001</v>
      </c>
      <c r="E1674" s="258">
        <f>SUBANALISIS!F78</f>
        <v>630810.91779999994</v>
      </c>
      <c r="F1674" s="259">
        <f t="shared" ref="F1674:F1684" si="88">D1674*E1674</f>
        <v>165587.8659225</v>
      </c>
    </row>
    <row r="1675" spans="2:8" ht="45" x14ac:dyDescent="0.25">
      <c r="B1675" s="260" t="str">
        <f>INSUMOS!B263</f>
        <v>Sika Plastocrete DM Impermeabilizante para concreto. Presentación: 20kg rendimiento: 1% del peso del cemento ó 250 gr / bulto de cemento de 50 kg. + transp.</v>
      </c>
      <c r="C1675" s="256" t="s">
        <v>17</v>
      </c>
      <c r="D1675" s="257">
        <f>0.25*8*D1674*1.1</f>
        <v>0.57750000000000012</v>
      </c>
      <c r="E1675" s="258">
        <f>INSUMOS!D263</f>
        <v>23934.55</v>
      </c>
      <c r="F1675" s="259">
        <f t="shared" si="88"/>
        <v>13822.202625000002</v>
      </c>
    </row>
    <row r="1676" spans="2:8" ht="33.75" x14ac:dyDescent="0.25">
      <c r="B1676" s="261" t="str">
        <f>INSUMOS!B269</f>
        <v>Fibra Sintética refuerzo concreto X 1.8 kg. Tipo NIKON. + TRANSPORTE, RENDIMIENTO DE 1.8 kg/m3</v>
      </c>
      <c r="C1676" s="256" t="s">
        <v>17</v>
      </c>
      <c r="D1676" s="257">
        <f>1.8*D1674/1.8*1.1</f>
        <v>0.28875000000000006</v>
      </c>
      <c r="E1676" s="258">
        <f>INSUMOS!D269</f>
        <v>96900</v>
      </c>
      <c r="F1676" s="259">
        <f t="shared" si="88"/>
        <v>27979.875000000007</v>
      </c>
    </row>
    <row r="1677" spans="2:8" ht="22.5" x14ac:dyDescent="0.25">
      <c r="B1677" s="261" t="str">
        <f>INSUMOS!B200</f>
        <v>Formaleta Madera (Fenolica similar a supert). (18 mm 183x2.44)+transporte</v>
      </c>
      <c r="C1677" s="256" t="s">
        <v>17</v>
      </c>
      <c r="D1677" s="257">
        <f>2/(1.83*2.44)/2*1.1</f>
        <v>0.24634954761264893</v>
      </c>
      <c r="E1677" s="258">
        <f>INSUMOS!D200</f>
        <v>264900</v>
      </c>
      <c r="F1677" s="259">
        <f t="shared" si="88"/>
        <v>65257.995162590705</v>
      </c>
    </row>
    <row r="1678" spans="2:8" ht="22.5" x14ac:dyDescent="0.25">
      <c r="B1678" s="255" t="str">
        <f t="shared" ref="B1678:C1680" si="89">B1542</f>
        <v>Larguero madera comun 4 cmx8cmx2.80 m. Incluye transporte</v>
      </c>
      <c r="C1678" s="454" t="str">
        <f t="shared" si="89"/>
        <v>un</v>
      </c>
      <c r="D1678" s="257">
        <v>4.0999999999999996</v>
      </c>
      <c r="E1678" s="258">
        <f>E1542</f>
        <v>20135</v>
      </c>
      <c r="F1678" s="259">
        <f t="shared" si="88"/>
        <v>82553.5</v>
      </c>
    </row>
    <row r="1679" spans="2:8" ht="22.5" x14ac:dyDescent="0.25">
      <c r="B1679" s="255" t="str">
        <f t="shared" si="89"/>
        <v>Tabla madera común de 2.5 cm x 20cm x 2.80m. Incluye transporte.</v>
      </c>
      <c r="C1679" s="454" t="str">
        <f t="shared" si="89"/>
        <v>un</v>
      </c>
      <c r="D1679" s="257">
        <v>0.2</v>
      </c>
      <c r="E1679" s="258">
        <f>E1543</f>
        <v>17255</v>
      </c>
      <c r="F1679" s="259">
        <f t="shared" si="88"/>
        <v>3451</v>
      </c>
    </row>
    <row r="1680" spans="2:8" ht="67.5" x14ac:dyDescent="0.25">
      <c r="B1680" s="459" t="str">
        <f t="shared" si="89"/>
        <v>Separol o equivalente (Desmoldante para evitar adherencia de concretos a formaletas.Presentación 15Kg. Rendimiento metal :45g/m2 madera:55g/m2 (15 kg)). para metal puro, para madera diluir hasta 5 partes de agua segun porosidad de la madera.</v>
      </c>
      <c r="C1680" s="454" t="str">
        <f t="shared" si="89"/>
        <v>un</v>
      </c>
      <c r="D1680" s="257">
        <f>2.2*55/15000*1.1</f>
        <v>8.8733333333333355E-3</v>
      </c>
      <c r="E1680" s="258">
        <f>E1544</f>
        <v>550778</v>
      </c>
      <c r="F1680" s="259">
        <f t="shared" si="88"/>
        <v>4887.2367866666682</v>
      </c>
    </row>
    <row r="1681" spans="2:6" x14ac:dyDescent="0.25">
      <c r="B1681" s="261" t="str">
        <f>INSUMOS!B208</f>
        <v>Alambre recocido C 18</v>
      </c>
      <c r="C1681" s="256" t="s">
        <v>122</v>
      </c>
      <c r="D1681" s="257">
        <v>0.3</v>
      </c>
      <c r="E1681" s="258">
        <f>INSUMOS!D208</f>
        <v>8687</v>
      </c>
      <c r="F1681" s="259">
        <f t="shared" si="88"/>
        <v>2606.1</v>
      </c>
    </row>
    <row r="1682" spans="2:6" x14ac:dyDescent="0.25">
      <c r="B1682" s="261" t="str">
        <f>INSUMOS!B205</f>
        <v>Clavo común x CAJA por 500 gr</v>
      </c>
      <c r="C1682" s="256" t="s">
        <v>907</v>
      </c>
      <c r="D1682" s="257">
        <v>0.5</v>
      </c>
      <c r="E1682" s="258">
        <f>INSUMOS!E205</f>
        <v>5000</v>
      </c>
      <c r="F1682" s="259">
        <f t="shared" si="88"/>
        <v>2500</v>
      </c>
    </row>
    <row r="1683" spans="2:6" ht="22.5" x14ac:dyDescent="0.25">
      <c r="B1683" s="261" t="str">
        <f>INSUMOS!B272</f>
        <v>Curador Antisol blanco para morteros y concretos. X 20 kg. Rendimiento 200 gr X m2.</v>
      </c>
      <c r="C1683" s="256" t="s">
        <v>17</v>
      </c>
      <c r="D1683" s="257">
        <f>200*2.2/20000*1.1</f>
        <v>2.4200000000000003E-2</v>
      </c>
      <c r="E1683" s="258">
        <f>INSUMOS!D272</f>
        <v>266261</v>
      </c>
      <c r="F1683" s="259">
        <f t="shared" si="88"/>
        <v>6443.5162000000009</v>
      </c>
    </row>
    <row r="1684" spans="2:6" x14ac:dyDescent="0.25">
      <c r="B1684" s="261"/>
      <c r="C1684" s="256"/>
      <c r="D1684" s="257"/>
      <c r="E1684" s="258"/>
      <c r="F1684" s="259">
        <f t="shared" si="88"/>
        <v>0</v>
      </c>
    </row>
    <row r="1685" spans="2:6" ht="15.75" thickBot="1" x14ac:dyDescent="0.3">
      <c r="B1685" s="611" t="s">
        <v>286</v>
      </c>
      <c r="C1685" s="612"/>
      <c r="D1685" s="612"/>
      <c r="E1685" s="613"/>
      <c r="F1685" s="284">
        <f>SUM(F1674:F1684)</f>
        <v>375089.29169675737</v>
      </c>
    </row>
    <row r="1686" spans="2:6" x14ac:dyDescent="0.25">
      <c r="B1686" s="594" t="s">
        <v>277</v>
      </c>
      <c r="C1686" s="595"/>
      <c r="D1686" s="595"/>
      <c r="E1686" s="595"/>
      <c r="F1686" s="596"/>
    </row>
    <row r="1687" spans="2:6" x14ac:dyDescent="0.25">
      <c r="B1687" s="266" t="str">
        <f>CUADRILLAS!A92</f>
        <v>Cuad. Concreto (1of + 3ay)</v>
      </c>
      <c r="C1687" s="267" t="s">
        <v>110</v>
      </c>
      <c r="D1687" s="268">
        <v>0.3</v>
      </c>
      <c r="E1687" s="269">
        <f>CUADRILLAS!B92</f>
        <v>349423</v>
      </c>
      <c r="F1687" s="270">
        <f>D1687*E1687</f>
        <v>104826.9</v>
      </c>
    </row>
    <row r="1688" spans="2:6" x14ac:dyDescent="0.25">
      <c r="B1688" s="266" t="str">
        <f>CUADRILLAS!A80</f>
        <v>1Ay Raso</v>
      </c>
      <c r="C1688" s="267" t="s">
        <v>110</v>
      </c>
      <c r="D1688" s="268">
        <v>0.05</v>
      </c>
      <c r="E1688" s="269">
        <f>CUADRILLAS!B80</f>
        <v>70786</v>
      </c>
      <c r="F1688" s="270">
        <f>D1688*E1688</f>
        <v>3539.3</v>
      </c>
    </row>
    <row r="1689" spans="2:6" x14ac:dyDescent="0.25">
      <c r="B1689" s="266"/>
      <c r="C1689" s="267"/>
      <c r="D1689" s="268"/>
      <c r="E1689" s="271"/>
      <c r="F1689" s="270">
        <f>D1689*E1689</f>
        <v>0</v>
      </c>
    </row>
    <row r="1690" spans="2:6" ht="15.75" thickBot="1" x14ac:dyDescent="0.3">
      <c r="B1690" s="611" t="s">
        <v>287</v>
      </c>
      <c r="C1690" s="612"/>
      <c r="D1690" s="612"/>
      <c r="E1690" s="613"/>
      <c r="F1690" s="274">
        <f>SUM(F1687:F1689)</f>
        <v>108366.2</v>
      </c>
    </row>
    <row r="1691" spans="2:6" x14ac:dyDescent="0.25">
      <c r="B1691" s="594" t="s">
        <v>278</v>
      </c>
      <c r="C1691" s="595"/>
      <c r="D1691" s="595"/>
      <c r="E1691" s="595"/>
      <c r="F1691" s="596"/>
    </row>
    <row r="1692" spans="2:6" x14ac:dyDescent="0.25">
      <c r="B1692" s="272" t="s">
        <v>279</v>
      </c>
      <c r="C1692" s="273" t="s">
        <v>280</v>
      </c>
      <c r="D1692" s="268">
        <v>0.05</v>
      </c>
      <c r="E1692" s="271">
        <f>F1690</f>
        <v>108366.2</v>
      </c>
      <c r="F1692" s="270">
        <f>D1692*E1692</f>
        <v>5418.31</v>
      </c>
    </row>
    <row r="1693" spans="2:6" ht="15.75" thickBot="1" x14ac:dyDescent="0.3">
      <c r="B1693" s="611" t="s">
        <v>288</v>
      </c>
      <c r="C1693" s="612"/>
      <c r="D1693" s="612"/>
      <c r="E1693" s="613"/>
      <c r="F1693" s="274">
        <f>SUM(F1692)</f>
        <v>5418.31</v>
      </c>
    </row>
    <row r="1694" spans="2:6" x14ac:dyDescent="0.25">
      <c r="B1694" s="594" t="s">
        <v>281</v>
      </c>
      <c r="C1694" s="595"/>
      <c r="D1694" s="595"/>
      <c r="E1694" s="595"/>
      <c r="F1694" s="596"/>
    </row>
    <row r="1695" spans="2:6" x14ac:dyDescent="0.25">
      <c r="B1695" s="272" t="str">
        <f>INSUMOS!B230</f>
        <v>Vibrador eléctrico de aguja a 110 V</v>
      </c>
      <c r="C1695" s="273" t="s">
        <v>110</v>
      </c>
      <c r="D1695" s="268">
        <v>0.2</v>
      </c>
      <c r="E1695" s="271">
        <f>INSUMOS!D230</f>
        <v>48433</v>
      </c>
      <c r="F1695" s="259">
        <f t="shared" ref="F1695:F1705" si="90">D1695*E1695</f>
        <v>9686.6</v>
      </c>
    </row>
    <row r="1696" spans="2:6" x14ac:dyDescent="0.25">
      <c r="B1696" s="272" t="str">
        <f>INSUMOS!B218</f>
        <v xml:space="preserve">Extensión eléctrica encauchetada (50m) </v>
      </c>
      <c r="C1696" s="273" t="s">
        <v>110</v>
      </c>
      <c r="D1696" s="268">
        <v>0.4</v>
      </c>
      <c r="E1696" s="271">
        <f>INSUMOS!F218</f>
        <v>9163</v>
      </c>
      <c r="F1696" s="259">
        <f t="shared" si="90"/>
        <v>3665.2000000000003</v>
      </c>
    </row>
    <row r="1697" spans="2:6" x14ac:dyDescent="0.25">
      <c r="B1697" s="272" t="str">
        <f>INSUMOS!B240</f>
        <v>Taco Metalico Enano</v>
      </c>
      <c r="C1697" s="273" t="s">
        <v>110</v>
      </c>
      <c r="D1697" s="268">
        <v>8</v>
      </c>
      <c r="E1697" s="271">
        <f>INSUMOS!D240</f>
        <v>381</v>
      </c>
      <c r="F1697" s="259">
        <f t="shared" si="90"/>
        <v>3048</v>
      </c>
    </row>
    <row r="1698" spans="2:6" x14ac:dyDescent="0.25">
      <c r="B1698" s="272" t="str">
        <f>INSUMOS!B241</f>
        <v>Taco Metalico Ext. 1,50 a 2,60 mt</v>
      </c>
      <c r="C1698" s="273" t="s">
        <v>110</v>
      </c>
      <c r="D1698" s="268">
        <v>8</v>
      </c>
      <c r="E1698" s="271">
        <f>INSUMOS!D241</f>
        <v>416.5</v>
      </c>
      <c r="F1698" s="259">
        <f t="shared" si="90"/>
        <v>3332</v>
      </c>
    </row>
    <row r="1699" spans="2:6" x14ac:dyDescent="0.25">
      <c r="B1699" s="272" t="str">
        <f>INSUMOS!B239</f>
        <v>Cercha Metálica 3 m alquiler + transporte</v>
      </c>
      <c r="C1699" s="273" t="s">
        <v>110</v>
      </c>
      <c r="D1699" s="268">
        <v>8</v>
      </c>
      <c r="E1699" s="271">
        <f>INSUMOS!D239</f>
        <v>535.5</v>
      </c>
      <c r="F1699" s="259">
        <f t="shared" si="90"/>
        <v>4284</v>
      </c>
    </row>
    <row r="1700" spans="2:6" x14ac:dyDescent="0.25">
      <c r="B1700" s="272" t="str">
        <f>INSUMOS!B315</f>
        <v>Corbata 250 mm</v>
      </c>
      <c r="C1700" s="273" t="s">
        <v>110</v>
      </c>
      <c r="D1700" s="268">
        <v>40</v>
      </c>
      <c r="E1700" s="271">
        <f>INSUMOS!D315</f>
        <v>428.4</v>
      </c>
      <c r="F1700" s="259">
        <f t="shared" si="90"/>
        <v>17136</v>
      </c>
    </row>
    <row r="1701" spans="2:6" x14ac:dyDescent="0.25">
      <c r="B1701" s="272" t="str">
        <f>INSUMOS!B316</f>
        <v>Chapeta tensora 3/8</v>
      </c>
      <c r="C1701" s="273" t="s">
        <v>110</v>
      </c>
      <c r="D1701" s="268">
        <v>20</v>
      </c>
      <c r="E1701" s="271">
        <f>INSUMOS!D316</f>
        <v>442.79999999999995</v>
      </c>
      <c r="F1701" s="259">
        <f t="shared" si="90"/>
        <v>8856</v>
      </c>
    </row>
    <row r="1702" spans="2:6" x14ac:dyDescent="0.25">
      <c r="B1702" s="272" t="str">
        <f>INSUMOS!B317</f>
        <v>Gato Tensor</v>
      </c>
      <c r="C1702" s="273" t="s">
        <v>110</v>
      </c>
      <c r="D1702" s="268">
        <v>1</v>
      </c>
      <c r="E1702" s="271">
        <f>INSUMOS!D317</f>
        <v>1785</v>
      </c>
      <c r="F1702" s="259">
        <f t="shared" si="90"/>
        <v>1785</v>
      </c>
    </row>
    <row r="1703" spans="2:6" x14ac:dyDescent="0.25">
      <c r="B1703" s="272" t="str">
        <f>INSUMOS!B223</f>
        <v>Sierra circular manual + disco</v>
      </c>
      <c r="C1703" s="273" t="s">
        <v>110</v>
      </c>
      <c r="D1703" s="268">
        <v>0.1</v>
      </c>
      <c r="E1703" s="271">
        <f>INSUMOS!D223</f>
        <v>35000</v>
      </c>
      <c r="F1703" s="259">
        <f t="shared" si="90"/>
        <v>3500</v>
      </c>
    </row>
    <row r="1704" spans="2:6" x14ac:dyDescent="0.25">
      <c r="B1704" s="272" t="str">
        <f>B1656</f>
        <v>Fumigadora manual</v>
      </c>
      <c r="C1704" s="273" t="s">
        <v>110</v>
      </c>
      <c r="D1704" s="268">
        <f>D1656</f>
        <v>1</v>
      </c>
      <c r="E1704" s="271">
        <f>E1656</f>
        <v>2498</v>
      </c>
      <c r="F1704" s="259">
        <f t="shared" si="90"/>
        <v>2498</v>
      </c>
    </row>
    <row r="1705" spans="2:6" x14ac:dyDescent="0.25">
      <c r="B1705" s="272"/>
      <c r="C1705" s="273"/>
      <c r="D1705" s="268"/>
      <c r="E1705" s="271"/>
      <c r="F1705" s="259">
        <f t="shared" si="90"/>
        <v>0</v>
      </c>
    </row>
    <row r="1706" spans="2:6" ht="15.75" thickBot="1" x14ac:dyDescent="0.3">
      <c r="B1706" s="611" t="s">
        <v>289</v>
      </c>
      <c r="C1706" s="612"/>
      <c r="D1706" s="612"/>
      <c r="E1706" s="613"/>
      <c r="F1706" s="274">
        <f>SUM(F1695:F1705)</f>
        <v>57790.8</v>
      </c>
    </row>
    <row r="1707" spans="2:6" x14ac:dyDescent="0.25">
      <c r="B1707" s="594" t="s">
        <v>290</v>
      </c>
      <c r="C1707" s="595"/>
      <c r="D1707" s="595"/>
      <c r="E1707" s="595"/>
      <c r="F1707" s="596"/>
    </row>
    <row r="1708" spans="2:6" x14ac:dyDescent="0.25">
      <c r="B1708" s="272" t="s">
        <v>884</v>
      </c>
      <c r="C1708" s="273" t="s">
        <v>117</v>
      </c>
      <c r="D1708" s="275">
        <f>D1674*1.8</f>
        <v>0.47250000000000003</v>
      </c>
      <c r="E1708" s="276">
        <v>15000</v>
      </c>
      <c r="F1708" s="259">
        <f>D1708*E1708</f>
        <v>7087.5000000000009</v>
      </c>
    </row>
    <row r="1709" spans="2:6" x14ac:dyDescent="0.25">
      <c r="B1709" s="277" t="s">
        <v>909</v>
      </c>
      <c r="C1709" s="278" t="s">
        <v>49</v>
      </c>
      <c r="D1709" s="279">
        <v>0</v>
      </c>
      <c r="E1709" s="280">
        <v>1000</v>
      </c>
      <c r="F1709" s="259">
        <f>D1709*E1709</f>
        <v>0</v>
      </c>
    </row>
    <row r="1710" spans="2:6" x14ac:dyDescent="0.25">
      <c r="B1710" s="277"/>
      <c r="C1710" s="278"/>
      <c r="D1710" s="279"/>
      <c r="E1710" s="280"/>
      <c r="F1710" s="259">
        <f>D1710*E1710</f>
        <v>0</v>
      </c>
    </row>
    <row r="1711" spans="2:6" ht="15.75" thickBot="1" x14ac:dyDescent="0.3">
      <c r="B1711" s="611" t="s">
        <v>291</v>
      </c>
      <c r="C1711" s="612"/>
      <c r="D1711" s="612"/>
      <c r="E1711" s="613"/>
      <c r="F1711" s="285">
        <f>SUM(F1708:F1710)</f>
        <v>7087.5000000000009</v>
      </c>
    </row>
    <row r="1712" spans="2:6" ht="15.75" thickBot="1" x14ac:dyDescent="0.3">
      <c r="B1712" s="600" t="s">
        <v>282</v>
      </c>
      <c r="C1712" s="601"/>
      <c r="D1712" s="601"/>
      <c r="E1712" s="601"/>
      <c r="F1712" s="286">
        <f>ROUND(F1685+F1690+F1693+F1706+F1711,0)</f>
        <v>553752</v>
      </c>
    </row>
    <row r="1713" spans="2:6" ht="15.75" thickBot="1" x14ac:dyDescent="0.3"/>
    <row r="1714" spans="2:6" ht="15.75" thickBot="1" x14ac:dyDescent="0.3">
      <c r="B1714" s="602" t="s">
        <v>276</v>
      </c>
      <c r="C1714" s="603"/>
      <c r="D1714" s="603"/>
      <c r="E1714" s="603"/>
      <c r="F1714" s="604"/>
    </row>
    <row r="1715" spans="2:6" ht="15.75" thickBot="1" x14ac:dyDescent="0.3">
      <c r="B1715" s="605" t="s">
        <v>104</v>
      </c>
      <c r="C1715" s="606"/>
      <c r="D1715" s="607"/>
      <c r="E1715" s="282" t="s">
        <v>105</v>
      </c>
      <c r="F1715" s="283" t="s">
        <v>103</v>
      </c>
    </row>
    <row r="1716" spans="2:6" ht="90" customHeight="1" thickBot="1" x14ac:dyDescent="0.3">
      <c r="B1716" s="608" t="str">
        <f>'PRESUPUESTO CALLE 58 SUR'!B49</f>
        <v>Construcción de LOSA MACIZA SUPERIOR PARA CANAL en concreto de 21MPa., con un ESPESOR DE 25 cm. Impermeabilizada con Plastocrete DM de Sika o equivalente y adicionado con FIBRA SINTÉTICA DE REFUERZO. Incluye suministro, transporte y colocación del concreto, formaleta, armado y desarmado de toda la obra falsa necesaria para la correcta construcción de la losa y todos los demás elementos necesarios para su correcto vaciado, según diseño. El acero de refuerzo se pagará en su respectivo ítem según diseño. INCLUYE MANEJO DE AGUAS.</v>
      </c>
      <c r="C1716" s="609"/>
      <c r="D1716" s="610"/>
      <c r="E1716" s="449" t="str">
        <f>'PRESUPUESTO CALLE 58 SUR'!C49</f>
        <v>m2</v>
      </c>
      <c r="F1716" s="448">
        <f>'PRESUPUESTO CALLE 58 SUR'!A49</f>
        <v>8.9</v>
      </c>
    </row>
    <row r="1717" spans="2:6" ht="15.75" thickBot="1" x14ac:dyDescent="0.3">
      <c r="B1717" s="250" t="s">
        <v>8</v>
      </c>
      <c r="C1717" s="251" t="s">
        <v>9</v>
      </c>
      <c r="D1717" s="252" t="s">
        <v>10</v>
      </c>
      <c r="E1717" s="253" t="s">
        <v>283</v>
      </c>
      <c r="F1717" s="254" t="s">
        <v>284</v>
      </c>
    </row>
    <row r="1718" spans="2:6" x14ac:dyDescent="0.25">
      <c r="B1718" s="594" t="s">
        <v>285</v>
      </c>
      <c r="C1718" s="595"/>
      <c r="D1718" s="595"/>
      <c r="E1718" s="595"/>
      <c r="F1718" s="596"/>
    </row>
    <row r="1719" spans="2:6" x14ac:dyDescent="0.25">
      <c r="B1719" s="255" t="str">
        <f>SUBANALISIS!A78</f>
        <v>Concr.en obra 3000 psi 3/4"</v>
      </c>
      <c r="C1719" s="256" t="s">
        <v>117</v>
      </c>
      <c r="D1719" s="257">
        <f>0.25*1.05</f>
        <v>0.26250000000000001</v>
      </c>
      <c r="E1719" s="258">
        <f>SUBANALISIS!F78</f>
        <v>630810.91779999994</v>
      </c>
      <c r="F1719" s="259">
        <f t="shared" ref="F1719:F1730" si="91">D1719*E1719</f>
        <v>165587.8659225</v>
      </c>
    </row>
    <row r="1720" spans="2:6" ht="45" x14ac:dyDescent="0.25">
      <c r="B1720" s="260" t="str">
        <f>INSUMOS!B263</f>
        <v>Sika Plastocrete DM Impermeabilizante para concreto. Presentación: 20kg rendimiento: 1% del peso del cemento ó 250 gr / bulto de cemento de 50 kg. + transp.</v>
      </c>
      <c r="C1720" s="256" t="s">
        <v>122</v>
      </c>
      <c r="D1720" s="257">
        <f>D1719*0.25*8*1.1</f>
        <v>0.57750000000000012</v>
      </c>
      <c r="E1720" s="258">
        <f>INSUMOS!D263</f>
        <v>23934.55</v>
      </c>
      <c r="F1720" s="259">
        <f t="shared" si="91"/>
        <v>13822.202625000002</v>
      </c>
    </row>
    <row r="1721" spans="2:6" ht="33.75" x14ac:dyDescent="0.25">
      <c r="B1721" s="261" t="str">
        <f>INSUMOS!B269</f>
        <v>Fibra Sintética refuerzo concreto X 1.8 kg. Tipo NIKON. + TRANSPORTE, RENDIMIENTO DE 1.8 kg/m3</v>
      </c>
      <c r="C1721" s="256" t="str">
        <f>C1675</f>
        <v>un</v>
      </c>
      <c r="D1721" s="257">
        <f>1.8*D1719*1.1</f>
        <v>0.51975000000000005</v>
      </c>
      <c r="E1721" s="258">
        <f>INSUMOS!D269</f>
        <v>96900</v>
      </c>
      <c r="F1721" s="259">
        <f t="shared" si="91"/>
        <v>50363.775000000001</v>
      </c>
    </row>
    <row r="1722" spans="2:6" ht="22.5" x14ac:dyDescent="0.25">
      <c r="B1722" s="261" t="str">
        <f>INSUMOS!B200</f>
        <v>Formaleta Madera (Fenolica similar a supert). (18 mm 183x2.44)+transporte</v>
      </c>
      <c r="C1722" s="256" t="s">
        <v>17</v>
      </c>
      <c r="D1722" s="257">
        <f>(1.2+0.3*2)/(1.84*2.44)*1.1/3</f>
        <v>0.14700641482537419</v>
      </c>
      <c r="E1722" s="258">
        <f>INSUMOS!D200</f>
        <v>264900</v>
      </c>
      <c r="F1722" s="259">
        <f t="shared" si="91"/>
        <v>38941.999287241619</v>
      </c>
    </row>
    <row r="1723" spans="2:6" ht="22.5" x14ac:dyDescent="0.25">
      <c r="B1723" s="261" t="str">
        <f>INSUMOS!B202</f>
        <v>Larguero madera comun 4 cmx8cmx2.80 m. Incluye transporte</v>
      </c>
      <c r="C1723" s="256" t="s">
        <v>17</v>
      </c>
      <c r="D1723" s="257">
        <f>(4+3)/2.8/3+1</f>
        <v>1.8333333333333335</v>
      </c>
      <c r="E1723" s="258">
        <f>INSUMOS!D202</f>
        <v>20135</v>
      </c>
      <c r="F1723" s="259">
        <f t="shared" si="91"/>
        <v>36914.166666666672</v>
      </c>
    </row>
    <row r="1724" spans="2:6" ht="67.5" x14ac:dyDescent="0.25">
      <c r="B1724" s="260" t="str">
        <f>INSUMOS!B214</f>
        <v>Separol o equivalente (Desmoldante para evitar adherencia de concretos a formaletas.Presentación 15Kg. Rendimiento metal :45g/m2 madera:55g/m2 (15 kg)). para metal puro, para madera diluir hasta 5 partes de agua segun porosidad de la madera.</v>
      </c>
      <c r="C1724" s="256" t="s">
        <v>17</v>
      </c>
      <c r="D1724" s="257">
        <f>(1*0.3*2+1*0.3*1)*55/15000*1.1</f>
        <v>3.63E-3</v>
      </c>
      <c r="E1724" s="258">
        <f>INSUMOS!D214</f>
        <v>550778</v>
      </c>
      <c r="F1724" s="259">
        <f t="shared" si="91"/>
        <v>1999.3241399999999</v>
      </c>
    </row>
    <row r="1725" spans="2:6" ht="22.5" x14ac:dyDescent="0.25">
      <c r="B1725" s="261" t="str">
        <f>INSUMOS!B272</f>
        <v>Curador Antisol blanco para morteros y concretos. X 20 kg. Rendimiento 200 gr X m2.</v>
      </c>
      <c r="C1725" s="256" t="s">
        <v>17</v>
      </c>
      <c r="D1725" s="257">
        <f>200*1/20000*1.1</f>
        <v>1.1000000000000001E-2</v>
      </c>
      <c r="E1725" s="258">
        <f>INSUMOS!D272</f>
        <v>266261</v>
      </c>
      <c r="F1725" s="259">
        <f t="shared" si="91"/>
        <v>2928.8710000000001</v>
      </c>
    </row>
    <row r="1726" spans="2:6" x14ac:dyDescent="0.25">
      <c r="B1726" s="261" t="str">
        <f>INSUMOS!B208</f>
        <v>Alambre recocido C 18</v>
      </c>
      <c r="C1726" s="256" t="s">
        <v>122</v>
      </c>
      <c r="D1726" s="257">
        <v>0.2</v>
      </c>
      <c r="E1726" s="258">
        <f>INSUMOS!D208</f>
        <v>8687</v>
      </c>
      <c r="F1726" s="259">
        <f t="shared" si="91"/>
        <v>1737.4</v>
      </c>
    </row>
    <row r="1727" spans="2:6" x14ac:dyDescent="0.25">
      <c r="B1727" s="261" t="str">
        <f>INSUMOS!B205</f>
        <v>Clavo común x CAJA por 500 gr</v>
      </c>
      <c r="C1727" s="256" t="s">
        <v>576</v>
      </c>
      <c r="D1727" s="257">
        <v>0.5</v>
      </c>
      <c r="E1727" s="258">
        <f>INSUMOS!E205</f>
        <v>5000</v>
      </c>
      <c r="F1727" s="259">
        <f t="shared" si="91"/>
        <v>2500</v>
      </c>
    </row>
    <row r="1728" spans="2:6" x14ac:dyDescent="0.25">
      <c r="B1728" s="261"/>
      <c r="C1728" s="256"/>
      <c r="D1728" s="257"/>
      <c r="E1728" s="258"/>
      <c r="F1728" s="259">
        <f t="shared" si="91"/>
        <v>0</v>
      </c>
    </row>
    <row r="1729" spans="2:6" x14ac:dyDescent="0.25">
      <c r="B1729" s="261"/>
      <c r="C1729" s="256"/>
      <c r="D1729" s="257"/>
      <c r="E1729" s="258"/>
      <c r="F1729" s="259">
        <f t="shared" si="91"/>
        <v>0</v>
      </c>
    </row>
    <row r="1730" spans="2:6" x14ac:dyDescent="0.25">
      <c r="B1730" s="262"/>
      <c r="C1730" s="263"/>
      <c r="D1730" s="264"/>
      <c r="E1730" s="265"/>
      <c r="F1730" s="259">
        <f t="shared" si="91"/>
        <v>0</v>
      </c>
    </row>
    <row r="1731" spans="2:6" ht="15.75" thickBot="1" x14ac:dyDescent="0.3">
      <c r="B1731" s="611" t="s">
        <v>286</v>
      </c>
      <c r="C1731" s="612"/>
      <c r="D1731" s="612"/>
      <c r="E1731" s="613"/>
      <c r="F1731" s="284">
        <f>SUM(F1719:F1730)</f>
        <v>314795.60464140831</v>
      </c>
    </row>
    <row r="1732" spans="2:6" x14ac:dyDescent="0.25">
      <c r="B1732" s="594" t="s">
        <v>277</v>
      </c>
      <c r="C1732" s="595"/>
      <c r="D1732" s="595"/>
      <c r="E1732" s="595"/>
      <c r="F1732" s="596"/>
    </row>
    <row r="1733" spans="2:6" x14ac:dyDescent="0.25">
      <c r="B1733" s="266" t="str">
        <f>CUADRILLAS!A92</f>
        <v>Cuad. Concreto (1of + 3ay)</v>
      </c>
      <c r="C1733" s="267" t="s">
        <v>110</v>
      </c>
      <c r="D1733" s="268">
        <v>0.3</v>
      </c>
      <c r="E1733" s="269">
        <f>CUADRILLAS!B92</f>
        <v>349423</v>
      </c>
      <c r="F1733" s="270">
        <f>D1733*E1733</f>
        <v>104826.9</v>
      </c>
    </row>
    <row r="1734" spans="2:6" x14ac:dyDescent="0.25">
      <c r="B1734" s="266" t="str">
        <f>CUADRILLAS!A80</f>
        <v>1Ay Raso</v>
      </c>
      <c r="C1734" s="267" t="s">
        <v>110</v>
      </c>
      <c r="D1734" s="268">
        <v>0.05</v>
      </c>
      <c r="E1734" s="269">
        <f>CUADRILLAS!B80</f>
        <v>70786</v>
      </c>
      <c r="F1734" s="270">
        <f>D1734*E1734</f>
        <v>3539.3</v>
      </c>
    </row>
    <row r="1735" spans="2:6" x14ac:dyDescent="0.25">
      <c r="B1735" s="266"/>
      <c r="C1735" s="267"/>
      <c r="D1735" s="268"/>
      <c r="E1735" s="271"/>
      <c r="F1735" s="270">
        <f>D1735*E1735</f>
        <v>0</v>
      </c>
    </row>
    <row r="1736" spans="2:6" x14ac:dyDescent="0.25">
      <c r="B1736" s="272"/>
      <c r="C1736" s="273"/>
      <c r="D1736" s="268"/>
      <c r="E1736" s="271"/>
      <c r="F1736" s="270">
        <f>D1736*E1736</f>
        <v>0</v>
      </c>
    </row>
    <row r="1737" spans="2:6" ht="15.75" thickBot="1" x14ac:dyDescent="0.3">
      <c r="B1737" s="611" t="s">
        <v>287</v>
      </c>
      <c r="C1737" s="612"/>
      <c r="D1737" s="612"/>
      <c r="E1737" s="613"/>
      <c r="F1737" s="274">
        <f>SUM(F1733:F1736)</f>
        <v>108366.2</v>
      </c>
    </row>
    <row r="1738" spans="2:6" x14ac:dyDescent="0.25">
      <c r="B1738" s="594" t="s">
        <v>278</v>
      </c>
      <c r="C1738" s="595"/>
      <c r="D1738" s="595"/>
      <c r="E1738" s="595"/>
      <c r="F1738" s="596"/>
    </row>
    <row r="1739" spans="2:6" x14ac:dyDescent="0.25">
      <c r="B1739" s="272" t="s">
        <v>279</v>
      </c>
      <c r="C1739" s="273" t="s">
        <v>280</v>
      </c>
      <c r="D1739" s="268">
        <v>0.05</v>
      </c>
      <c r="E1739" s="271">
        <f>F1737</f>
        <v>108366.2</v>
      </c>
      <c r="F1739" s="270">
        <f>D1739*E1739</f>
        <v>5418.31</v>
      </c>
    </row>
    <row r="1740" spans="2:6" ht="15.75" thickBot="1" x14ac:dyDescent="0.3">
      <c r="B1740" s="611" t="s">
        <v>288</v>
      </c>
      <c r="C1740" s="612"/>
      <c r="D1740" s="612"/>
      <c r="E1740" s="613"/>
      <c r="F1740" s="274">
        <f>SUM(F1739)</f>
        <v>5418.31</v>
      </c>
    </row>
    <row r="1741" spans="2:6" x14ac:dyDescent="0.25">
      <c r="B1741" s="594" t="s">
        <v>281</v>
      </c>
      <c r="C1741" s="595"/>
      <c r="D1741" s="595"/>
      <c r="E1741" s="595"/>
      <c r="F1741" s="596"/>
    </row>
    <row r="1742" spans="2:6" x14ac:dyDescent="0.25">
      <c r="B1742" s="272" t="str">
        <f>INSUMOS!B247</f>
        <v>Alquiler Telera 90x135 + transporte</v>
      </c>
      <c r="C1742" s="273" t="s">
        <v>741</v>
      </c>
      <c r="D1742" s="268">
        <v>18</v>
      </c>
      <c r="E1742" s="271">
        <f>INSUMOS!D247</f>
        <v>1200</v>
      </c>
      <c r="F1742" s="259">
        <f t="shared" ref="F1742:F1750" si="92">D1742*E1742</f>
        <v>21600</v>
      </c>
    </row>
    <row r="1743" spans="2:6" x14ac:dyDescent="0.25">
      <c r="B1743" s="272" t="str">
        <f>INSUMOS!B241</f>
        <v>Taco Metalico Ext. 1,50 a 2,60 mt</v>
      </c>
      <c r="C1743" s="273" t="s">
        <v>741</v>
      </c>
      <c r="D1743" s="268">
        <v>32</v>
      </c>
      <c r="E1743" s="271">
        <f>INSUMOS!D241</f>
        <v>416.5</v>
      </c>
      <c r="F1743" s="259">
        <f t="shared" si="92"/>
        <v>13328</v>
      </c>
    </row>
    <row r="1744" spans="2:6" x14ac:dyDescent="0.25">
      <c r="B1744" s="272" t="str">
        <f>INSUMOS!B230</f>
        <v>Vibrador eléctrico de aguja a 110 V</v>
      </c>
      <c r="C1744" s="273" t="s">
        <v>110</v>
      </c>
      <c r="D1744" s="268">
        <v>0.1</v>
      </c>
      <c r="E1744" s="271">
        <f>INSUMOS!D230</f>
        <v>48433</v>
      </c>
      <c r="F1744" s="259">
        <f t="shared" si="92"/>
        <v>4843.3</v>
      </c>
    </row>
    <row r="1745" spans="2:6" x14ac:dyDescent="0.25">
      <c r="B1745" s="272" t="str">
        <f>INSUMOS!B218</f>
        <v xml:space="preserve">Extensión eléctrica encauchetada (50m) </v>
      </c>
      <c r="C1745" s="273" t="s">
        <v>110</v>
      </c>
      <c r="D1745" s="268">
        <v>0.2</v>
      </c>
      <c r="E1745" s="271">
        <f>INSUMOS!F218</f>
        <v>9163</v>
      </c>
      <c r="F1745" s="259">
        <f t="shared" si="92"/>
        <v>1832.6000000000001</v>
      </c>
    </row>
    <row r="1746" spans="2:6" x14ac:dyDescent="0.25">
      <c r="B1746" s="272" t="str">
        <f>INSUMOS!B223</f>
        <v>Sierra circular manual + disco</v>
      </c>
      <c r="C1746" s="273" t="s">
        <v>110</v>
      </c>
      <c r="D1746" s="268">
        <v>0.1</v>
      </c>
      <c r="E1746" s="271">
        <f>INSUMOS!D223</f>
        <v>35000</v>
      </c>
      <c r="F1746" s="259">
        <f t="shared" si="92"/>
        <v>3500</v>
      </c>
    </row>
    <row r="1747" spans="2:6" x14ac:dyDescent="0.25">
      <c r="B1747" s="272" t="str">
        <f>INSUMOS!B324</f>
        <v>Fumigadora manual</v>
      </c>
      <c r="C1747" s="273" t="s">
        <v>110</v>
      </c>
      <c r="D1747" s="268">
        <v>0.2</v>
      </c>
      <c r="E1747" s="271">
        <f>INSUMOS!D324</f>
        <v>2498</v>
      </c>
      <c r="F1747" s="259">
        <f t="shared" si="92"/>
        <v>499.6</v>
      </c>
    </row>
    <row r="1748" spans="2:6" x14ac:dyDescent="0.25">
      <c r="B1748" s="272"/>
      <c r="C1748" s="273"/>
      <c r="D1748" s="268"/>
      <c r="E1748" s="271"/>
      <c r="F1748" s="259">
        <f t="shared" si="92"/>
        <v>0</v>
      </c>
    </row>
    <row r="1749" spans="2:6" x14ac:dyDescent="0.25">
      <c r="B1749" s="272"/>
      <c r="C1749" s="273"/>
      <c r="D1749" s="268"/>
      <c r="E1749" s="271"/>
      <c r="F1749" s="259">
        <f t="shared" si="92"/>
        <v>0</v>
      </c>
    </row>
    <row r="1750" spans="2:6" x14ac:dyDescent="0.25">
      <c r="B1750" s="272"/>
      <c r="C1750" s="273"/>
      <c r="D1750" s="268"/>
      <c r="E1750" s="271"/>
      <c r="F1750" s="259">
        <f t="shared" si="92"/>
        <v>0</v>
      </c>
    </row>
    <row r="1751" spans="2:6" ht="15.75" thickBot="1" x14ac:dyDescent="0.3">
      <c r="B1751" s="611" t="s">
        <v>289</v>
      </c>
      <c r="C1751" s="612"/>
      <c r="D1751" s="612"/>
      <c r="E1751" s="613"/>
      <c r="F1751" s="274">
        <f>SUM(F1742:F1750)</f>
        <v>45603.5</v>
      </c>
    </row>
    <row r="1752" spans="2:6" x14ac:dyDescent="0.25">
      <c r="B1752" s="594" t="s">
        <v>290</v>
      </c>
      <c r="C1752" s="595"/>
      <c r="D1752" s="595"/>
      <c r="E1752" s="595"/>
      <c r="F1752" s="596"/>
    </row>
    <row r="1753" spans="2:6" x14ac:dyDescent="0.25">
      <c r="B1753" s="272" t="s">
        <v>883</v>
      </c>
      <c r="C1753" s="273" t="s">
        <v>117</v>
      </c>
      <c r="D1753" s="275">
        <f>D1719*1.8</f>
        <v>0.47250000000000003</v>
      </c>
      <c r="E1753" s="276">
        <v>15000</v>
      </c>
      <c r="F1753" s="259">
        <f>D1753*E1753</f>
        <v>7087.5000000000009</v>
      </c>
    </row>
    <row r="1754" spans="2:6" x14ac:dyDescent="0.25">
      <c r="B1754" s="277"/>
      <c r="C1754" s="278"/>
      <c r="D1754" s="279"/>
      <c r="E1754" s="280"/>
      <c r="F1754" s="259">
        <f>D1754*E1754</f>
        <v>0</v>
      </c>
    </row>
    <row r="1755" spans="2:6" x14ac:dyDescent="0.25">
      <c r="B1755" s="277"/>
      <c r="C1755" s="278"/>
      <c r="D1755" s="279"/>
      <c r="E1755" s="280"/>
      <c r="F1755" s="259">
        <f>D1755*E1755</f>
        <v>0</v>
      </c>
    </row>
    <row r="1756" spans="2:6" ht="15.75" thickBot="1" x14ac:dyDescent="0.3">
      <c r="B1756" s="611" t="s">
        <v>291</v>
      </c>
      <c r="C1756" s="612"/>
      <c r="D1756" s="612"/>
      <c r="E1756" s="613"/>
      <c r="F1756" s="285">
        <f>SUM(F1753:F1755)</f>
        <v>7087.5000000000009</v>
      </c>
    </row>
    <row r="1757" spans="2:6" ht="15.75" thickBot="1" x14ac:dyDescent="0.3">
      <c r="B1757" s="600" t="s">
        <v>282</v>
      </c>
      <c r="C1757" s="601"/>
      <c r="D1757" s="601"/>
      <c r="E1757" s="601"/>
      <c r="F1757" s="286">
        <f>ROUND(F1731+F1737+F1740+F1751+F1756,0)</f>
        <v>481271</v>
      </c>
    </row>
    <row r="1758" spans="2:6" ht="15.75" thickBot="1" x14ac:dyDescent="0.3"/>
    <row r="1759" spans="2:6" ht="15.75" thickBot="1" x14ac:dyDescent="0.3">
      <c r="B1759" s="602" t="s">
        <v>276</v>
      </c>
      <c r="C1759" s="603"/>
      <c r="D1759" s="603"/>
      <c r="E1759" s="603"/>
      <c r="F1759" s="604"/>
    </row>
    <row r="1760" spans="2:6" ht="15.75" thickBot="1" x14ac:dyDescent="0.3">
      <c r="B1760" s="605" t="s">
        <v>104</v>
      </c>
      <c r="C1760" s="606"/>
      <c r="D1760" s="607"/>
      <c r="E1760" s="282" t="s">
        <v>105</v>
      </c>
      <c r="F1760" s="283" t="s">
        <v>103</v>
      </c>
    </row>
    <row r="1761" spans="2:6" ht="75.599999999999994" customHeight="1" thickBot="1" x14ac:dyDescent="0.3">
      <c r="B1761" s="608" t="str">
        <f>'PRESUPUESTO CALLE 58 SUR'!B50</f>
        <v>Construcción de MUROS INCLINADOS PARA ALETAS DE CANAL en concreto de 21 Mpa., con un ESPESOR DE 25 cm.,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v>
      </c>
      <c r="C1761" s="609"/>
      <c r="D1761" s="610"/>
      <c r="E1761" s="449" t="str">
        <f>'PRESUPUESTO CALLE 58 SUR'!C50</f>
        <v>m2</v>
      </c>
      <c r="F1761" s="249">
        <f>'PRESUPUESTO CALLE 58 SUR'!A50</f>
        <v>8.1</v>
      </c>
    </row>
    <row r="1762" spans="2:6" ht="15.75" thickBot="1" x14ac:dyDescent="0.3">
      <c r="B1762" s="250" t="s">
        <v>8</v>
      </c>
      <c r="C1762" s="251" t="s">
        <v>9</v>
      </c>
      <c r="D1762" s="252" t="s">
        <v>10</v>
      </c>
      <c r="E1762" s="253" t="s">
        <v>283</v>
      </c>
      <c r="F1762" s="254" t="s">
        <v>284</v>
      </c>
    </row>
    <row r="1763" spans="2:6" x14ac:dyDescent="0.25">
      <c r="B1763" s="594" t="s">
        <v>285</v>
      </c>
      <c r="C1763" s="595"/>
      <c r="D1763" s="595"/>
      <c r="E1763" s="595"/>
      <c r="F1763" s="596"/>
    </row>
    <row r="1764" spans="2:6" x14ac:dyDescent="0.25">
      <c r="B1764" s="255" t="str">
        <f t="shared" ref="B1764:E1773" si="93">B1674</f>
        <v>Concr.en obra 3000 psi 3/4"</v>
      </c>
      <c r="C1764" s="454" t="str">
        <f t="shared" si="93"/>
        <v>m3</v>
      </c>
      <c r="D1764" s="257">
        <f t="shared" si="93"/>
        <v>0.26250000000000001</v>
      </c>
      <c r="E1764" s="258">
        <f t="shared" si="93"/>
        <v>630810.91779999994</v>
      </c>
      <c r="F1764" s="259">
        <f t="shared" ref="F1764:F1774" si="94">D1764*E1764</f>
        <v>165587.8659225</v>
      </c>
    </row>
    <row r="1765" spans="2:6" ht="45" x14ac:dyDescent="0.25">
      <c r="B1765" s="459" t="str">
        <f t="shared" si="93"/>
        <v>Sika Plastocrete DM Impermeabilizante para concreto. Presentación: 20kg rendimiento: 1% del peso del cemento ó 250 gr / bulto de cemento de 50 kg. + transp.</v>
      </c>
      <c r="C1765" s="454" t="str">
        <f t="shared" si="93"/>
        <v>un</v>
      </c>
      <c r="D1765" s="257">
        <f>D1675</f>
        <v>0.57750000000000012</v>
      </c>
      <c r="E1765" s="258">
        <f t="shared" si="93"/>
        <v>23934.55</v>
      </c>
      <c r="F1765" s="259">
        <f t="shared" si="94"/>
        <v>13822.202625000002</v>
      </c>
    </row>
    <row r="1766" spans="2:6" ht="33.75" x14ac:dyDescent="0.25">
      <c r="B1766" s="255" t="str">
        <f t="shared" si="93"/>
        <v>Fibra Sintética refuerzo concreto X 1.8 kg. Tipo NIKON. + TRANSPORTE, RENDIMIENTO DE 1.8 kg/m3</v>
      </c>
      <c r="C1766" s="454" t="str">
        <f t="shared" si="93"/>
        <v>un</v>
      </c>
      <c r="D1766" s="257">
        <f t="shared" si="93"/>
        <v>0.28875000000000006</v>
      </c>
      <c r="E1766" s="258">
        <f t="shared" si="93"/>
        <v>96900</v>
      </c>
      <c r="F1766" s="259">
        <f t="shared" si="94"/>
        <v>27979.875000000007</v>
      </c>
    </row>
    <row r="1767" spans="2:6" ht="22.5" x14ac:dyDescent="0.25">
      <c r="B1767" s="255" t="str">
        <f t="shared" si="93"/>
        <v>Formaleta Madera (Fenolica similar a supert). (18 mm 183x2.44)+transporte</v>
      </c>
      <c r="C1767" s="454" t="str">
        <f t="shared" si="93"/>
        <v>un</v>
      </c>
      <c r="D1767" s="257">
        <f t="shared" si="93"/>
        <v>0.24634954761264893</v>
      </c>
      <c r="E1767" s="258">
        <f t="shared" si="93"/>
        <v>264900</v>
      </c>
      <c r="F1767" s="259">
        <f t="shared" si="94"/>
        <v>65257.995162590705</v>
      </c>
    </row>
    <row r="1768" spans="2:6" ht="22.5" x14ac:dyDescent="0.25">
      <c r="B1768" s="255" t="str">
        <f t="shared" si="93"/>
        <v>Larguero madera comun 4 cmx8cmx2.80 m. Incluye transporte</v>
      </c>
      <c r="C1768" s="454" t="str">
        <f t="shared" si="93"/>
        <v>un</v>
      </c>
      <c r="D1768" s="257">
        <f t="shared" si="93"/>
        <v>4.0999999999999996</v>
      </c>
      <c r="E1768" s="258">
        <f t="shared" si="93"/>
        <v>20135</v>
      </c>
      <c r="F1768" s="259">
        <f t="shared" si="94"/>
        <v>82553.5</v>
      </c>
    </row>
    <row r="1769" spans="2:6" ht="22.5" x14ac:dyDescent="0.25">
      <c r="B1769" s="255" t="str">
        <f t="shared" si="93"/>
        <v>Tabla madera común de 2.5 cm x 20cm x 2.80m. Incluye transporte.</v>
      </c>
      <c r="C1769" s="454" t="str">
        <f t="shared" si="93"/>
        <v>un</v>
      </c>
      <c r="D1769" s="257">
        <f t="shared" si="93"/>
        <v>0.2</v>
      </c>
      <c r="E1769" s="258">
        <f t="shared" si="93"/>
        <v>17255</v>
      </c>
      <c r="F1769" s="259">
        <f t="shared" si="94"/>
        <v>3451</v>
      </c>
    </row>
    <row r="1770" spans="2:6" ht="67.5" x14ac:dyDescent="0.25">
      <c r="B1770" s="459" t="str">
        <f t="shared" si="93"/>
        <v>Separol o equivalente (Desmoldante para evitar adherencia de concretos a formaletas.Presentación 15Kg. Rendimiento metal :45g/m2 madera:55g/m2 (15 kg)). para metal puro, para madera diluir hasta 5 partes de agua segun porosidad de la madera.</v>
      </c>
      <c r="C1770" s="454" t="str">
        <f t="shared" si="93"/>
        <v>un</v>
      </c>
      <c r="D1770" s="257">
        <f t="shared" si="93"/>
        <v>8.8733333333333355E-3</v>
      </c>
      <c r="E1770" s="258">
        <f t="shared" si="93"/>
        <v>550778</v>
      </c>
      <c r="F1770" s="259">
        <f t="shared" si="94"/>
        <v>4887.2367866666682</v>
      </c>
    </row>
    <row r="1771" spans="2:6" x14ac:dyDescent="0.25">
      <c r="B1771" s="255" t="str">
        <f t="shared" si="93"/>
        <v>Alambre recocido C 18</v>
      </c>
      <c r="C1771" s="454" t="str">
        <f t="shared" si="93"/>
        <v>kg</v>
      </c>
      <c r="D1771" s="257">
        <f t="shared" si="93"/>
        <v>0.3</v>
      </c>
      <c r="E1771" s="258">
        <f t="shared" si="93"/>
        <v>8687</v>
      </c>
      <c r="F1771" s="259">
        <f t="shared" si="94"/>
        <v>2606.1</v>
      </c>
    </row>
    <row r="1772" spans="2:6" x14ac:dyDescent="0.25">
      <c r="B1772" s="255" t="str">
        <f t="shared" si="93"/>
        <v>Clavo común x CAJA por 500 gr</v>
      </c>
      <c r="C1772" s="454" t="str">
        <f t="shared" si="93"/>
        <v>Lb</v>
      </c>
      <c r="D1772" s="257">
        <f t="shared" si="93"/>
        <v>0.5</v>
      </c>
      <c r="E1772" s="258">
        <f t="shared" si="93"/>
        <v>5000</v>
      </c>
      <c r="F1772" s="259">
        <f t="shared" si="94"/>
        <v>2500</v>
      </c>
    </row>
    <row r="1773" spans="2:6" ht="22.5" x14ac:dyDescent="0.25">
      <c r="B1773" s="255" t="str">
        <f t="shared" si="93"/>
        <v>Curador Antisol blanco para morteros y concretos. X 20 kg. Rendimiento 200 gr X m2.</v>
      </c>
      <c r="C1773" s="454" t="str">
        <f t="shared" si="93"/>
        <v>un</v>
      </c>
      <c r="D1773" s="257">
        <f t="shared" si="93"/>
        <v>2.4200000000000003E-2</v>
      </c>
      <c r="E1773" s="258">
        <f t="shared" si="93"/>
        <v>266261</v>
      </c>
      <c r="F1773" s="259">
        <f t="shared" si="94"/>
        <v>6443.5162000000009</v>
      </c>
    </row>
    <row r="1774" spans="2:6" x14ac:dyDescent="0.25">
      <c r="B1774" s="262"/>
      <c r="C1774" s="263"/>
      <c r="D1774" s="264"/>
      <c r="E1774" s="265"/>
      <c r="F1774" s="259">
        <f t="shared" si="94"/>
        <v>0</v>
      </c>
    </row>
    <row r="1775" spans="2:6" ht="15.75" thickBot="1" x14ac:dyDescent="0.3">
      <c r="B1775" s="611" t="s">
        <v>286</v>
      </c>
      <c r="C1775" s="612"/>
      <c r="D1775" s="612"/>
      <c r="E1775" s="613"/>
      <c r="F1775" s="284">
        <f>SUM(F1764:F1774)</f>
        <v>375089.29169675737</v>
      </c>
    </row>
    <row r="1776" spans="2:6" x14ac:dyDescent="0.25">
      <c r="B1776" s="594" t="s">
        <v>277</v>
      </c>
      <c r="C1776" s="595"/>
      <c r="D1776" s="595"/>
      <c r="E1776" s="595"/>
      <c r="F1776" s="596"/>
    </row>
    <row r="1777" spans="2:6" x14ac:dyDescent="0.25">
      <c r="B1777" s="460" t="s">
        <v>254</v>
      </c>
      <c r="C1777" s="461" t="s">
        <v>110</v>
      </c>
      <c r="D1777" s="268">
        <v>0.3</v>
      </c>
      <c r="E1777" s="269">
        <v>349423</v>
      </c>
      <c r="F1777" s="270">
        <f>D1777*E1777</f>
        <v>104826.9</v>
      </c>
    </row>
    <row r="1778" spans="2:6" x14ac:dyDescent="0.25">
      <c r="B1778" s="460" t="s">
        <v>246</v>
      </c>
      <c r="C1778" s="461" t="s">
        <v>110</v>
      </c>
      <c r="D1778" s="268">
        <v>0.05</v>
      </c>
      <c r="E1778" s="269">
        <v>70786</v>
      </c>
      <c r="F1778" s="270">
        <f>D1778*E1778</f>
        <v>3539.3</v>
      </c>
    </row>
    <row r="1779" spans="2:6" x14ac:dyDescent="0.25">
      <c r="B1779" s="266"/>
      <c r="C1779" s="267"/>
      <c r="D1779" s="268"/>
      <c r="E1779" s="271"/>
      <c r="F1779" s="270">
        <f>D1779*E1779</f>
        <v>0</v>
      </c>
    </row>
    <row r="1780" spans="2:6" ht="15.75" thickBot="1" x14ac:dyDescent="0.3">
      <c r="B1780" s="611" t="s">
        <v>287</v>
      </c>
      <c r="C1780" s="612"/>
      <c r="D1780" s="612"/>
      <c r="E1780" s="613"/>
      <c r="F1780" s="274">
        <f>SUM(F1777:F1779)</f>
        <v>108366.2</v>
      </c>
    </row>
    <row r="1781" spans="2:6" x14ac:dyDescent="0.25">
      <c r="B1781" s="594" t="s">
        <v>278</v>
      </c>
      <c r="C1781" s="595"/>
      <c r="D1781" s="595"/>
      <c r="E1781" s="595"/>
      <c r="F1781" s="596"/>
    </row>
    <row r="1782" spans="2:6" x14ac:dyDescent="0.25">
      <c r="B1782" s="272" t="s">
        <v>279</v>
      </c>
      <c r="C1782" s="273" t="s">
        <v>280</v>
      </c>
      <c r="D1782" s="268">
        <v>0.05</v>
      </c>
      <c r="E1782" s="271">
        <f>F1780</f>
        <v>108366.2</v>
      </c>
      <c r="F1782" s="270">
        <f>D1782*E1782</f>
        <v>5418.31</v>
      </c>
    </row>
    <row r="1783" spans="2:6" ht="15.75" thickBot="1" x14ac:dyDescent="0.3">
      <c r="B1783" s="611" t="s">
        <v>288</v>
      </c>
      <c r="C1783" s="612"/>
      <c r="D1783" s="612"/>
      <c r="E1783" s="613"/>
      <c r="F1783" s="274">
        <f>SUM(F1782)</f>
        <v>5418.31</v>
      </c>
    </row>
    <row r="1784" spans="2:6" x14ac:dyDescent="0.25">
      <c r="B1784" s="594" t="s">
        <v>281</v>
      </c>
      <c r="C1784" s="595"/>
      <c r="D1784" s="595"/>
      <c r="E1784" s="595"/>
      <c r="F1784" s="596"/>
    </row>
    <row r="1785" spans="2:6" x14ac:dyDescent="0.25">
      <c r="B1785" s="272" t="str">
        <f t="shared" ref="B1785:E1794" si="95">B1695</f>
        <v>Vibrador eléctrico de aguja a 110 V</v>
      </c>
      <c r="C1785" s="273" t="str">
        <f t="shared" si="95"/>
        <v>día</v>
      </c>
      <c r="D1785" s="268">
        <f t="shared" si="95"/>
        <v>0.2</v>
      </c>
      <c r="E1785" s="271">
        <f t="shared" si="95"/>
        <v>48433</v>
      </c>
      <c r="F1785" s="259">
        <f t="shared" ref="F1785:F1795" si="96">D1785*E1785</f>
        <v>9686.6</v>
      </c>
    </row>
    <row r="1786" spans="2:6" x14ac:dyDescent="0.25">
      <c r="B1786" s="272" t="str">
        <f t="shared" si="95"/>
        <v xml:space="preserve">Extensión eléctrica encauchetada (50m) </v>
      </c>
      <c r="C1786" s="273" t="str">
        <f t="shared" si="95"/>
        <v>día</v>
      </c>
      <c r="D1786" s="268">
        <f t="shared" si="95"/>
        <v>0.4</v>
      </c>
      <c r="E1786" s="271">
        <f t="shared" si="95"/>
        <v>9163</v>
      </c>
      <c r="F1786" s="259">
        <f t="shared" si="96"/>
        <v>3665.2000000000003</v>
      </c>
    </row>
    <row r="1787" spans="2:6" x14ac:dyDescent="0.25">
      <c r="B1787" s="272" t="str">
        <f t="shared" si="95"/>
        <v>Taco Metalico Enano</v>
      </c>
      <c r="C1787" s="273" t="str">
        <f t="shared" si="95"/>
        <v>día</v>
      </c>
      <c r="D1787" s="268">
        <f t="shared" si="95"/>
        <v>8</v>
      </c>
      <c r="E1787" s="271">
        <f t="shared" si="95"/>
        <v>381</v>
      </c>
      <c r="F1787" s="259">
        <f t="shared" si="96"/>
        <v>3048</v>
      </c>
    </row>
    <row r="1788" spans="2:6" x14ac:dyDescent="0.25">
      <c r="B1788" s="272" t="str">
        <f t="shared" si="95"/>
        <v>Taco Metalico Ext. 1,50 a 2,60 mt</v>
      </c>
      <c r="C1788" s="273" t="str">
        <f t="shared" si="95"/>
        <v>día</v>
      </c>
      <c r="D1788" s="268">
        <f t="shared" si="95"/>
        <v>8</v>
      </c>
      <c r="E1788" s="271">
        <f t="shared" si="95"/>
        <v>416.5</v>
      </c>
      <c r="F1788" s="259">
        <f t="shared" si="96"/>
        <v>3332</v>
      </c>
    </row>
    <row r="1789" spans="2:6" x14ac:dyDescent="0.25">
      <c r="B1789" s="272" t="str">
        <f t="shared" si="95"/>
        <v>Cercha Metálica 3 m alquiler + transporte</v>
      </c>
      <c r="C1789" s="273" t="str">
        <f t="shared" si="95"/>
        <v>día</v>
      </c>
      <c r="D1789" s="268">
        <f t="shared" si="95"/>
        <v>8</v>
      </c>
      <c r="E1789" s="271">
        <f t="shared" si="95"/>
        <v>535.5</v>
      </c>
      <c r="F1789" s="259">
        <f t="shared" si="96"/>
        <v>4284</v>
      </c>
    </row>
    <row r="1790" spans="2:6" x14ac:dyDescent="0.25">
      <c r="B1790" s="272" t="str">
        <f t="shared" si="95"/>
        <v>Corbata 250 mm</v>
      </c>
      <c r="C1790" s="273" t="str">
        <f t="shared" si="95"/>
        <v>día</v>
      </c>
      <c r="D1790" s="268">
        <f t="shared" si="95"/>
        <v>40</v>
      </c>
      <c r="E1790" s="271">
        <f t="shared" si="95"/>
        <v>428.4</v>
      </c>
      <c r="F1790" s="259">
        <f t="shared" si="96"/>
        <v>17136</v>
      </c>
    </row>
    <row r="1791" spans="2:6" x14ac:dyDescent="0.25">
      <c r="B1791" s="272" t="str">
        <f t="shared" si="95"/>
        <v>Chapeta tensora 3/8</v>
      </c>
      <c r="C1791" s="273" t="str">
        <f t="shared" si="95"/>
        <v>día</v>
      </c>
      <c r="D1791" s="268">
        <f t="shared" si="95"/>
        <v>20</v>
      </c>
      <c r="E1791" s="271">
        <f t="shared" si="95"/>
        <v>442.79999999999995</v>
      </c>
      <c r="F1791" s="259">
        <f t="shared" si="96"/>
        <v>8856</v>
      </c>
    </row>
    <row r="1792" spans="2:6" x14ac:dyDescent="0.25">
      <c r="B1792" s="272" t="str">
        <f t="shared" si="95"/>
        <v>Gato Tensor</v>
      </c>
      <c r="C1792" s="273" t="str">
        <f t="shared" si="95"/>
        <v>día</v>
      </c>
      <c r="D1792" s="268">
        <f t="shared" si="95"/>
        <v>1</v>
      </c>
      <c r="E1792" s="271">
        <f t="shared" si="95"/>
        <v>1785</v>
      </c>
      <c r="F1792" s="259">
        <f t="shared" si="96"/>
        <v>1785</v>
      </c>
    </row>
    <row r="1793" spans="2:6" x14ac:dyDescent="0.25">
      <c r="B1793" s="272" t="str">
        <f t="shared" si="95"/>
        <v>Sierra circular manual + disco</v>
      </c>
      <c r="C1793" s="273" t="str">
        <f t="shared" si="95"/>
        <v>día</v>
      </c>
      <c r="D1793" s="268">
        <f t="shared" si="95"/>
        <v>0.1</v>
      </c>
      <c r="E1793" s="271">
        <f t="shared" si="95"/>
        <v>35000</v>
      </c>
      <c r="F1793" s="259">
        <f t="shared" si="96"/>
        <v>3500</v>
      </c>
    </row>
    <row r="1794" spans="2:6" x14ac:dyDescent="0.25">
      <c r="B1794" s="272" t="str">
        <f t="shared" si="95"/>
        <v>Fumigadora manual</v>
      </c>
      <c r="C1794" s="273" t="str">
        <f t="shared" si="95"/>
        <v>día</v>
      </c>
      <c r="D1794" s="268">
        <f t="shared" si="95"/>
        <v>1</v>
      </c>
      <c r="E1794" s="271">
        <f t="shared" si="95"/>
        <v>2498</v>
      </c>
      <c r="F1794" s="259">
        <f t="shared" si="96"/>
        <v>2498</v>
      </c>
    </row>
    <row r="1795" spans="2:6" x14ac:dyDescent="0.25">
      <c r="B1795" s="272"/>
      <c r="C1795" s="273"/>
      <c r="D1795" s="268"/>
      <c r="E1795" s="271"/>
      <c r="F1795" s="259">
        <f t="shared" si="96"/>
        <v>0</v>
      </c>
    </row>
    <row r="1796" spans="2:6" ht="15.75" thickBot="1" x14ac:dyDescent="0.3">
      <c r="B1796" s="611" t="s">
        <v>289</v>
      </c>
      <c r="C1796" s="612"/>
      <c r="D1796" s="612"/>
      <c r="E1796" s="613"/>
      <c r="F1796" s="274">
        <f>SUM(F1785:F1795)</f>
        <v>57790.8</v>
      </c>
    </row>
    <row r="1797" spans="2:6" x14ac:dyDescent="0.25">
      <c r="B1797" s="594" t="s">
        <v>290</v>
      </c>
      <c r="C1797" s="595"/>
      <c r="D1797" s="595"/>
      <c r="E1797" s="595"/>
      <c r="F1797" s="596"/>
    </row>
    <row r="1798" spans="2:6" x14ac:dyDescent="0.25">
      <c r="B1798" s="462" t="s">
        <v>884</v>
      </c>
      <c r="C1798" s="463" t="s">
        <v>117</v>
      </c>
      <c r="D1798" s="275">
        <v>0.47250000000000003</v>
      </c>
      <c r="E1798" s="276">
        <v>15000</v>
      </c>
      <c r="F1798" s="259">
        <f>D1798*E1798</f>
        <v>7087.5000000000009</v>
      </c>
    </row>
    <row r="1799" spans="2:6" x14ac:dyDescent="0.25">
      <c r="B1799" s="464" t="s">
        <v>909</v>
      </c>
      <c r="C1799" s="465" t="s">
        <v>49</v>
      </c>
      <c r="D1799" s="279">
        <v>0</v>
      </c>
      <c r="E1799" s="280">
        <v>1000</v>
      </c>
      <c r="F1799" s="259">
        <f>D1799*E1799</f>
        <v>0</v>
      </c>
    </row>
    <row r="1800" spans="2:6" x14ac:dyDescent="0.25">
      <c r="B1800" s="277"/>
      <c r="C1800" s="278"/>
      <c r="D1800" s="279"/>
      <c r="E1800" s="280"/>
      <c r="F1800" s="259">
        <f>D1800*E1800</f>
        <v>0</v>
      </c>
    </row>
    <row r="1801" spans="2:6" ht="15.75" thickBot="1" x14ac:dyDescent="0.3">
      <c r="B1801" s="611" t="s">
        <v>291</v>
      </c>
      <c r="C1801" s="612"/>
      <c r="D1801" s="612"/>
      <c r="E1801" s="613"/>
      <c r="F1801" s="285">
        <f>SUM(F1798:F1800)</f>
        <v>7087.5000000000009</v>
      </c>
    </row>
    <row r="1802" spans="2:6" ht="15.75" thickBot="1" x14ac:dyDescent="0.3">
      <c r="B1802" s="600" t="s">
        <v>282</v>
      </c>
      <c r="C1802" s="601"/>
      <c r="D1802" s="601"/>
      <c r="E1802" s="601"/>
      <c r="F1802" s="286">
        <f>ROUND(F1775+F1780+F1783+F1796+F1801,0)</f>
        <v>553752</v>
      </c>
    </row>
    <row r="1803" spans="2:6" ht="15.75" thickBot="1" x14ac:dyDescent="0.3"/>
    <row r="1804" spans="2:6" ht="15.75" thickBot="1" x14ac:dyDescent="0.3">
      <c r="B1804" s="602" t="s">
        <v>276</v>
      </c>
      <c r="C1804" s="603"/>
      <c r="D1804" s="603"/>
      <c r="E1804" s="603"/>
      <c r="F1804" s="604"/>
    </row>
    <row r="1805" spans="2:6" ht="15.75" thickBot="1" x14ac:dyDescent="0.3">
      <c r="B1805" s="605" t="s">
        <v>104</v>
      </c>
      <c r="C1805" s="606"/>
      <c r="D1805" s="607"/>
      <c r="E1805" s="282" t="s">
        <v>105</v>
      </c>
      <c r="F1805" s="283" t="s">
        <v>103</v>
      </c>
    </row>
    <row r="1806" spans="2:6" ht="58.9" customHeight="1" thickBot="1" x14ac:dyDescent="0.3">
      <c r="B1806" s="608" t="str">
        <f>'PRESUPUESTO CALLE 58 SUR'!B51</f>
        <v>Construcción de descole en piedra y concreto de 21 Mpa, según detalle. Incluye formaleta. Espesor 30 cm.</v>
      </c>
      <c r="C1806" s="609"/>
      <c r="D1806" s="610"/>
      <c r="E1806" s="449" t="str">
        <f>'PRESUPUESTO CALLE 58 SUR'!C51</f>
        <v>m2</v>
      </c>
      <c r="F1806" s="249">
        <f>'PRESUPUESTO CALLE 58 SUR'!A51</f>
        <v>8.11</v>
      </c>
    </row>
    <row r="1807" spans="2:6" ht="15.75" thickBot="1" x14ac:dyDescent="0.3">
      <c r="B1807" s="250" t="s">
        <v>8</v>
      </c>
      <c r="C1807" s="251" t="s">
        <v>9</v>
      </c>
      <c r="D1807" s="252" t="s">
        <v>10</v>
      </c>
      <c r="E1807" s="253" t="s">
        <v>283</v>
      </c>
      <c r="F1807" s="254" t="s">
        <v>284</v>
      </c>
    </row>
    <row r="1808" spans="2:6" x14ac:dyDescent="0.25">
      <c r="B1808" s="594" t="s">
        <v>285</v>
      </c>
      <c r="C1808" s="595"/>
      <c r="D1808" s="595"/>
      <c r="E1808" s="595"/>
      <c r="F1808" s="596"/>
    </row>
    <row r="1809" spans="2:6" x14ac:dyDescent="0.25">
      <c r="B1809" s="255" t="str">
        <f>SUBANALISIS!A78</f>
        <v>Concr.en obra 3000 psi 3/4"</v>
      </c>
      <c r="C1809" s="256" t="s">
        <v>117</v>
      </c>
      <c r="D1809" s="257">
        <f>0.25*0.6*1.1</f>
        <v>0.16500000000000001</v>
      </c>
      <c r="E1809" s="258">
        <f>SUBANALISIS!F78</f>
        <v>630810.91779999994</v>
      </c>
      <c r="F1809" s="259">
        <f t="shared" ref="F1809:F1820" si="97">D1809*E1809</f>
        <v>104083.80143699999</v>
      </c>
    </row>
    <row r="1810" spans="2:6" x14ac:dyDescent="0.25">
      <c r="B1810" s="452" t="str">
        <f>SUBANALISIS!H12</f>
        <v>Piedra entresuelo-gaviones y/o ciclópeo</v>
      </c>
      <c r="C1810" s="256" t="s">
        <v>117</v>
      </c>
      <c r="D1810" s="257">
        <f>0.4*0.25*1.3</f>
        <v>0.13</v>
      </c>
      <c r="E1810" s="258">
        <f>SUBANALISIS!I12</f>
        <v>111848.63549999999</v>
      </c>
      <c r="F1810" s="259">
        <f t="shared" si="97"/>
        <v>14540.322614999999</v>
      </c>
    </row>
    <row r="1811" spans="2:6" ht="22.5" x14ac:dyDescent="0.25">
      <c r="B1811" s="261" t="str">
        <f>INSUMOS!B248</f>
        <v>Tabla madera común de 2.5 cm x 20cm x 2.80m. Incluye transporte.</v>
      </c>
      <c r="C1811" s="256" t="s">
        <v>17</v>
      </c>
      <c r="D1811" s="257">
        <v>1.2</v>
      </c>
      <c r="E1811" s="258">
        <f>INSUMOS!D248</f>
        <v>17255</v>
      </c>
      <c r="F1811" s="259">
        <f t="shared" si="97"/>
        <v>20706</v>
      </c>
    </row>
    <row r="1812" spans="2:6" ht="22.5" x14ac:dyDescent="0.25">
      <c r="B1812" s="261" t="str">
        <f>INSUMOS!B202</f>
        <v>Larguero madera comun 4 cmx8cmx2.80 m. Incluye transporte</v>
      </c>
      <c r="C1812" s="256" t="s">
        <v>17</v>
      </c>
      <c r="D1812" s="257">
        <v>2</v>
      </c>
      <c r="E1812" s="258">
        <f>INSUMOS!D202</f>
        <v>20135</v>
      </c>
      <c r="F1812" s="259">
        <f t="shared" si="97"/>
        <v>40270</v>
      </c>
    </row>
    <row r="1813" spans="2:6" x14ac:dyDescent="0.25">
      <c r="B1813" s="261" t="str">
        <f>INSUMOS!B204</f>
        <v>Taco de madera de 3.0 m</v>
      </c>
      <c r="C1813" s="256" t="s">
        <v>17</v>
      </c>
      <c r="D1813" s="257">
        <v>1</v>
      </c>
      <c r="E1813" s="258">
        <f>INSUMOS!D204</f>
        <v>9482</v>
      </c>
      <c r="F1813" s="259">
        <f t="shared" si="97"/>
        <v>9482</v>
      </c>
    </row>
    <row r="1814" spans="2:6" x14ac:dyDescent="0.25">
      <c r="B1814" s="261"/>
      <c r="C1814" s="256"/>
      <c r="D1814" s="257"/>
      <c r="E1814" s="258"/>
      <c r="F1814" s="259">
        <f t="shared" si="97"/>
        <v>0</v>
      </c>
    </row>
    <row r="1815" spans="2:6" x14ac:dyDescent="0.25">
      <c r="B1815" s="261"/>
      <c r="C1815" s="256"/>
      <c r="D1815" s="257"/>
      <c r="E1815" s="258"/>
      <c r="F1815" s="259">
        <f t="shared" si="97"/>
        <v>0</v>
      </c>
    </row>
    <row r="1816" spans="2:6" x14ac:dyDescent="0.25">
      <c r="B1816" s="261"/>
      <c r="C1816" s="256"/>
      <c r="D1816" s="257"/>
      <c r="E1816" s="258"/>
      <c r="F1816" s="259">
        <f t="shared" si="97"/>
        <v>0</v>
      </c>
    </row>
    <row r="1817" spans="2:6" x14ac:dyDescent="0.25">
      <c r="B1817" s="261"/>
      <c r="C1817" s="256"/>
      <c r="D1817" s="257"/>
      <c r="E1817" s="258"/>
      <c r="F1817" s="259">
        <f t="shared" si="97"/>
        <v>0</v>
      </c>
    </row>
    <row r="1818" spans="2:6" x14ac:dyDescent="0.25">
      <c r="B1818" s="261"/>
      <c r="C1818" s="256"/>
      <c r="D1818" s="257"/>
      <c r="E1818" s="258"/>
      <c r="F1818" s="259">
        <f t="shared" si="97"/>
        <v>0</v>
      </c>
    </row>
    <row r="1819" spans="2:6" x14ac:dyDescent="0.25">
      <c r="B1819" s="261"/>
      <c r="C1819" s="256"/>
      <c r="D1819" s="257"/>
      <c r="E1819" s="258"/>
      <c r="F1819" s="259">
        <f t="shared" si="97"/>
        <v>0</v>
      </c>
    </row>
    <row r="1820" spans="2:6" x14ac:dyDescent="0.25">
      <c r="B1820" s="262"/>
      <c r="C1820" s="263"/>
      <c r="D1820" s="264"/>
      <c r="E1820" s="265"/>
      <c r="F1820" s="259">
        <f t="shared" si="97"/>
        <v>0</v>
      </c>
    </row>
    <row r="1821" spans="2:6" ht="15.75" thickBot="1" x14ac:dyDescent="0.3">
      <c r="B1821" s="611" t="s">
        <v>286</v>
      </c>
      <c r="C1821" s="612"/>
      <c r="D1821" s="612"/>
      <c r="E1821" s="613"/>
      <c r="F1821" s="284">
        <f>SUM(F1809:F1820)</f>
        <v>189082.124052</v>
      </c>
    </row>
    <row r="1822" spans="2:6" x14ac:dyDescent="0.25">
      <c r="B1822" s="594" t="s">
        <v>277</v>
      </c>
      <c r="C1822" s="595"/>
      <c r="D1822" s="595"/>
      <c r="E1822" s="595"/>
      <c r="F1822" s="596"/>
    </row>
    <row r="1823" spans="2:6" x14ac:dyDescent="0.25">
      <c r="B1823" s="266" t="str">
        <f>CUADRILLAS!A92</f>
        <v>Cuad. Concreto (1of + 3ay)</v>
      </c>
      <c r="C1823" s="267" t="s">
        <v>110</v>
      </c>
      <c r="D1823" s="268">
        <v>0.25</v>
      </c>
      <c r="E1823" s="269">
        <f>CUADRILLAS!B92</f>
        <v>349423</v>
      </c>
      <c r="F1823" s="270">
        <f>D1823*E1823</f>
        <v>87355.75</v>
      </c>
    </row>
    <row r="1824" spans="2:6" x14ac:dyDescent="0.25">
      <c r="B1824" s="266" t="str">
        <f>CUADRILLAS!A80</f>
        <v>1Ay Raso</v>
      </c>
      <c r="C1824" s="267" t="s">
        <v>110</v>
      </c>
      <c r="D1824" s="268">
        <v>0</v>
      </c>
      <c r="E1824" s="269">
        <f>CUADRILLAS!B80</f>
        <v>70786</v>
      </c>
      <c r="F1824" s="270">
        <f>D1824*E1824</f>
        <v>0</v>
      </c>
    </row>
    <row r="1825" spans="2:6" x14ac:dyDescent="0.25">
      <c r="B1825" s="266"/>
      <c r="C1825" s="267"/>
      <c r="D1825" s="268"/>
      <c r="E1825" s="271"/>
      <c r="F1825" s="270">
        <f>D1825*E1825</f>
        <v>0</v>
      </c>
    </row>
    <row r="1826" spans="2:6" x14ac:dyDescent="0.25">
      <c r="B1826" s="272"/>
      <c r="C1826" s="273"/>
      <c r="D1826" s="268"/>
      <c r="E1826" s="271"/>
      <c r="F1826" s="270">
        <f>D1826*E1826</f>
        <v>0</v>
      </c>
    </row>
    <row r="1827" spans="2:6" ht="15.75" thickBot="1" x14ac:dyDescent="0.3">
      <c r="B1827" s="611" t="s">
        <v>287</v>
      </c>
      <c r="C1827" s="612"/>
      <c r="D1827" s="612"/>
      <c r="E1827" s="613"/>
      <c r="F1827" s="274">
        <f>SUM(F1823:F1826)</f>
        <v>87355.75</v>
      </c>
    </row>
    <row r="1828" spans="2:6" x14ac:dyDescent="0.25">
      <c r="B1828" s="594" t="s">
        <v>278</v>
      </c>
      <c r="C1828" s="595"/>
      <c r="D1828" s="595"/>
      <c r="E1828" s="595"/>
      <c r="F1828" s="596"/>
    </row>
    <row r="1829" spans="2:6" x14ac:dyDescent="0.25">
      <c r="B1829" s="272" t="s">
        <v>279</v>
      </c>
      <c r="C1829" s="273" t="s">
        <v>280</v>
      </c>
      <c r="D1829" s="268">
        <v>0.05</v>
      </c>
      <c r="E1829" s="271">
        <f>F1827</f>
        <v>87355.75</v>
      </c>
      <c r="F1829" s="270">
        <f>D1829*E1829</f>
        <v>4367.7875000000004</v>
      </c>
    </row>
    <row r="1830" spans="2:6" ht="15.75" thickBot="1" x14ac:dyDescent="0.3">
      <c r="B1830" s="611" t="s">
        <v>288</v>
      </c>
      <c r="C1830" s="612"/>
      <c r="D1830" s="612"/>
      <c r="E1830" s="613"/>
      <c r="F1830" s="274">
        <f>SUM(F1829)</f>
        <v>4367.7875000000004</v>
      </c>
    </row>
    <row r="1831" spans="2:6" x14ac:dyDescent="0.25">
      <c r="B1831" s="594" t="s">
        <v>281</v>
      </c>
      <c r="C1831" s="595"/>
      <c r="D1831" s="595"/>
      <c r="E1831" s="595"/>
      <c r="F1831" s="596"/>
    </row>
    <row r="1832" spans="2:6" x14ac:dyDescent="0.25">
      <c r="B1832" s="272"/>
      <c r="C1832" s="273"/>
      <c r="D1832" s="268"/>
      <c r="E1832" s="271"/>
      <c r="F1832" s="259">
        <f t="shared" ref="F1832:F1843" si="98">D1832*E1832</f>
        <v>0</v>
      </c>
    </row>
    <row r="1833" spans="2:6" x14ac:dyDescent="0.25">
      <c r="B1833" s="272"/>
      <c r="C1833" s="273"/>
      <c r="D1833" s="268"/>
      <c r="E1833" s="271"/>
      <c r="F1833" s="259">
        <f t="shared" si="98"/>
        <v>0</v>
      </c>
    </row>
    <row r="1834" spans="2:6" x14ac:dyDescent="0.25">
      <c r="B1834" s="272"/>
      <c r="C1834" s="273"/>
      <c r="D1834" s="268"/>
      <c r="E1834" s="271"/>
      <c r="F1834" s="259">
        <f t="shared" si="98"/>
        <v>0</v>
      </c>
    </row>
    <row r="1835" spans="2:6" x14ac:dyDescent="0.25">
      <c r="B1835" s="272"/>
      <c r="C1835" s="273"/>
      <c r="D1835" s="268"/>
      <c r="E1835" s="271"/>
      <c r="F1835" s="259">
        <f t="shared" si="98"/>
        <v>0</v>
      </c>
    </row>
    <row r="1836" spans="2:6" x14ac:dyDescent="0.25">
      <c r="B1836" s="272"/>
      <c r="C1836" s="273"/>
      <c r="D1836" s="268"/>
      <c r="E1836" s="271"/>
      <c r="F1836" s="259">
        <f t="shared" si="98"/>
        <v>0</v>
      </c>
    </row>
    <row r="1837" spans="2:6" x14ac:dyDescent="0.25">
      <c r="B1837" s="272"/>
      <c r="C1837" s="273"/>
      <c r="D1837" s="268"/>
      <c r="E1837" s="271"/>
      <c r="F1837" s="259">
        <f t="shared" si="98"/>
        <v>0</v>
      </c>
    </row>
    <row r="1838" spans="2:6" x14ac:dyDescent="0.25">
      <c r="B1838" s="272"/>
      <c r="C1838" s="273"/>
      <c r="D1838" s="268"/>
      <c r="E1838" s="271"/>
      <c r="F1838" s="259">
        <f t="shared" si="98"/>
        <v>0</v>
      </c>
    </row>
    <row r="1839" spans="2:6" x14ac:dyDescent="0.25">
      <c r="B1839" s="272"/>
      <c r="C1839" s="273"/>
      <c r="D1839" s="268"/>
      <c r="E1839" s="271"/>
      <c r="F1839" s="259">
        <f t="shared" si="98"/>
        <v>0</v>
      </c>
    </row>
    <row r="1840" spans="2:6" x14ac:dyDescent="0.25">
      <c r="B1840" s="272"/>
      <c r="C1840" s="273"/>
      <c r="D1840" s="268"/>
      <c r="E1840" s="271"/>
      <c r="F1840" s="259">
        <f t="shared" si="98"/>
        <v>0</v>
      </c>
    </row>
    <row r="1841" spans="2:6" x14ac:dyDescent="0.25">
      <c r="B1841" s="272"/>
      <c r="C1841" s="273"/>
      <c r="D1841" s="268"/>
      <c r="E1841" s="271"/>
      <c r="F1841" s="259">
        <f t="shared" si="98"/>
        <v>0</v>
      </c>
    </row>
    <row r="1842" spans="2:6" x14ac:dyDescent="0.25">
      <c r="B1842" s="272"/>
      <c r="C1842" s="273"/>
      <c r="D1842" s="268"/>
      <c r="E1842" s="271"/>
      <c r="F1842" s="259">
        <f t="shared" si="98"/>
        <v>0</v>
      </c>
    </row>
    <row r="1843" spans="2:6" x14ac:dyDescent="0.25">
      <c r="B1843" s="272"/>
      <c r="C1843" s="273"/>
      <c r="D1843" s="268"/>
      <c r="E1843" s="271"/>
      <c r="F1843" s="259">
        <f t="shared" si="98"/>
        <v>0</v>
      </c>
    </row>
    <row r="1844" spans="2:6" ht="15.75" thickBot="1" x14ac:dyDescent="0.3">
      <c r="B1844" s="611" t="s">
        <v>289</v>
      </c>
      <c r="C1844" s="612"/>
      <c r="D1844" s="612"/>
      <c r="E1844" s="613"/>
      <c r="F1844" s="274">
        <f>SUM(F1832:F1843)</f>
        <v>0</v>
      </c>
    </row>
    <row r="1845" spans="2:6" x14ac:dyDescent="0.25">
      <c r="B1845" s="594" t="s">
        <v>290</v>
      </c>
      <c r="C1845" s="595"/>
      <c r="D1845" s="595"/>
      <c r="E1845" s="595"/>
      <c r="F1845" s="596"/>
    </row>
    <row r="1846" spans="2:6" x14ac:dyDescent="0.25">
      <c r="B1846" s="272" t="s">
        <v>883</v>
      </c>
      <c r="C1846" s="273" t="s">
        <v>117</v>
      </c>
      <c r="D1846" s="275">
        <f>D1809*1.8+D1810*1.2</f>
        <v>0.45300000000000007</v>
      </c>
      <c r="E1846" s="276">
        <v>15000</v>
      </c>
      <c r="F1846" s="259">
        <f>D1846*E1846</f>
        <v>6795.0000000000009</v>
      </c>
    </row>
    <row r="1847" spans="2:6" x14ac:dyDescent="0.25">
      <c r="B1847" s="277" t="s">
        <v>976</v>
      </c>
      <c r="C1847" s="278" t="s">
        <v>117</v>
      </c>
      <c r="D1847" s="279">
        <f>D1810</f>
        <v>0.13</v>
      </c>
      <c r="E1847" s="280">
        <f>SUBANALISIS!J1</f>
        <v>72000</v>
      </c>
      <c r="F1847" s="259">
        <f>D1847*E1847</f>
        <v>9360</v>
      </c>
    </row>
    <row r="1848" spans="2:6" x14ac:dyDescent="0.25">
      <c r="B1848" s="277"/>
      <c r="C1848" s="278"/>
      <c r="D1848" s="279"/>
      <c r="E1848" s="280"/>
      <c r="F1848" s="259">
        <f>D1848*E1848</f>
        <v>0</v>
      </c>
    </row>
    <row r="1849" spans="2:6" ht="15.75" thickBot="1" x14ac:dyDescent="0.3">
      <c r="B1849" s="611" t="s">
        <v>291</v>
      </c>
      <c r="C1849" s="612"/>
      <c r="D1849" s="612"/>
      <c r="E1849" s="613"/>
      <c r="F1849" s="285">
        <f>SUM(F1846:F1848)</f>
        <v>16155</v>
      </c>
    </row>
    <row r="1850" spans="2:6" ht="15.75" thickBot="1" x14ac:dyDescent="0.3">
      <c r="B1850" s="600" t="s">
        <v>282</v>
      </c>
      <c r="C1850" s="601"/>
      <c r="D1850" s="601"/>
      <c r="E1850" s="601"/>
      <c r="F1850" s="286">
        <f>ROUND(F1821+F1827+F1830+F1844+F1849,0)</f>
        <v>296961</v>
      </c>
    </row>
    <row r="1851" spans="2:6" ht="15.75" thickBot="1" x14ac:dyDescent="0.3"/>
    <row r="1852" spans="2:6" ht="15.75" thickBot="1" x14ac:dyDescent="0.3">
      <c r="B1852" s="602" t="s">
        <v>276</v>
      </c>
      <c r="C1852" s="603"/>
      <c r="D1852" s="603"/>
      <c r="E1852" s="603"/>
      <c r="F1852" s="604"/>
    </row>
    <row r="1853" spans="2:6" ht="15.75" thickBot="1" x14ac:dyDescent="0.3">
      <c r="B1853" s="605" t="s">
        <v>104</v>
      </c>
      <c r="C1853" s="606"/>
      <c r="D1853" s="607"/>
      <c r="E1853" s="282" t="s">
        <v>105</v>
      </c>
      <c r="F1853" s="283" t="s">
        <v>103</v>
      </c>
    </row>
    <row r="1854" spans="2:6" ht="64.150000000000006" customHeight="1" thickBot="1" x14ac:dyDescent="0.3">
      <c r="B1854" s="608" t="str">
        <f>'PRESUPUESTO CALLE 58 SUR'!B52</f>
        <v>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v>
      </c>
      <c r="C1854" s="609"/>
      <c r="D1854" s="610"/>
      <c r="E1854" s="449" t="str">
        <f>'PRESUPUESTO CALLE 58 SUR'!C52</f>
        <v>m2</v>
      </c>
      <c r="F1854" s="249">
        <f>'PRESUPUESTO CALLE 58 SUR'!A52</f>
        <v>8.1199999999999992</v>
      </c>
    </row>
    <row r="1855" spans="2:6" ht="15.75" thickBot="1" x14ac:dyDescent="0.3">
      <c r="B1855" s="250" t="s">
        <v>8</v>
      </c>
      <c r="C1855" s="251" t="s">
        <v>9</v>
      </c>
      <c r="D1855" s="252" t="s">
        <v>10</v>
      </c>
      <c r="E1855" s="253" t="s">
        <v>283</v>
      </c>
      <c r="F1855" s="254" t="s">
        <v>284</v>
      </c>
    </row>
    <row r="1856" spans="2:6" x14ac:dyDescent="0.25">
      <c r="B1856" s="594" t="s">
        <v>285</v>
      </c>
      <c r="C1856" s="595"/>
      <c r="D1856" s="595"/>
      <c r="E1856" s="595"/>
      <c r="F1856" s="596"/>
    </row>
    <row r="1857" spans="2:6" ht="45" x14ac:dyDescent="0.25">
      <c r="B1857" s="459" t="str">
        <f>INSUMOS!B266</f>
        <v>Sika Igol imprimante. Imprimante bituminoso del sistema Igol denso para impermeabilizar jardineras y estructuras enterradas. Presentacion: 3kg. Rendimiento: 200gr/m2</v>
      </c>
      <c r="C1857" s="256" t="s">
        <v>122</v>
      </c>
      <c r="D1857" s="257">
        <f>200*1.1/1000</f>
        <v>0.22000000000000003</v>
      </c>
      <c r="E1857" s="258">
        <f>INSUMOS!D266</f>
        <v>31435.333333333332</v>
      </c>
      <c r="F1857" s="259">
        <f t="shared" ref="F1857:F1868" si="99">D1857*E1857</f>
        <v>6915.7733333333335</v>
      </c>
    </row>
    <row r="1858" spans="2:6" ht="33.75" x14ac:dyDescent="0.25">
      <c r="B1858" s="260" t="str">
        <f>INSUMOS!B267</f>
        <v>Igol denso. Protección impermeable para  jardineras y estructuras enterradas. Presentación: 3,5kg. Rendimiento: 1kg/m2/capa. Minimo 2 capas</v>
      </c>
      <c r="C1858" s="256" t="s">
        <v>122</v>
      </c>
      <c r="D1858" s="257">
        <f>1*2*1.1</f>
        <v>2.2000000000000002</v>
      </c>
      <c r="E1858" s="258">
        <f>INSUMOS!D267</f>
        <v>45128.285714285717</v>
      </c>
      <c r="F1858" s="259">
        <f t="shared" si="99"/>
        <v>99282.228571428583</v>
      </c>
    </row>
    <row r="1859" spans="2:6" x14ac:dyDescent="0.25">
      <c r="B1859" s="261"/>
      <c r="C1859" s="256"/>
      <c r="D1859" s="257"/>
      <c r="E1859" s="258"/>
      <c r="F1859" s="259">
        <f t="shared" si="99"/>
        <v>0</v>
      </c>
    </row>
    <row r="1860" spans="2:6" x14ac:dyDescent="0.25">
      <c r="B1860" s="261"/>
      <c r="C1860" s="256"/>
      <c r="D1860" s="257"/>
      <c r="E1860" s="258"/>
      <c r="F1860" s="259">
        <f t="shared" si="99"/>
        <v>0</v>
      </c>
    </row>
    <row r="1861" spans="2:6" x14ac:dyDescent="0.25">
      <c r="B1861" s="261"/>
      <c r="C1861" s="256"/>
      <c r="D1861" s="257"/>
      <c r="E1861" s="258"/>
      <c r="F1861" s="259">
        <f t="shared" si="99"/>
        <v>0</v>
      </c>
    </row>
    <row r="1862" spans="2:6" x14ac:dyDescent="0.25">
      <c r="B1862" s="261"/>
      <c r="C1862" s="256"/>
      <c r="D1862" s="257"/>
      <c r="E1862" s="258"/>
      <c r="F1862" s="259">
        <f t="shared" si="99"/>
        <v>0</v>
      </c>
    </row>
    <row r="1863" spans="2:6" x14ac:dyDescent="0.25">
      <c r="B1863" s="261"/>
      <c r="C1863" s="256"/>
      <c r="D1863" s="257"/>
      <c r="E1863" s="258"/>
      <c r="F1863" s="259">
        <f t="shared" si="99"/>
        <v>0</v>
      </c>
    </row>
    <row r="1864" spans="2:6" x14ac:dyDescent="0.25">
      <c r="B1864" s="261"/>
      <c r="C1864" s="256"/>
      <c r="D1864" s="257"/>
      <c r="E1864" s="258"/>
      <c r="F1864" s="259">
        <f t="shared" si="99"/>
        <v>0</v>
      </c>
    </row>
    <row r="1865" spans="2:6" x14ac:dyDescent="0.25">
      <c r="B1865" s="261"/>
      <c r="C1865" s="256"/>
      <c r="D1865" s="257"/>
      <c r="E1865" s="258"/>
      <c r="F1865" s="259">
        <f t="shared" si="99"/>
        <v>0</v>
      </c>
    </row>
    <row r="1866" spans="2:6" x14ac:dyDescent="0.25">
      <c r="B1866" s="261"/>
      <c r="C1866" s="256"/>
      <c r="D1866" s="257"/>
      <c r="E1866" s="258"/>
      <c r="F1866" s="259">
        <f t="shared" si="99"/>
        <v>0</v>
      </c>
    </row>
    <row r="1867" spans="2:6" x14ac:dyDescent="0.25">
      <c r="B1867" s="261"/>
      <c r="C1867" s="256"/>
      <c r="D1867" s="257"/>
      <c r="E1867" s="258"/>
      <c r="F1867" s="259">
        <f t="shared" si="99"/>
        <v>0</v>
      </c>
    </row>
    <row r="1868" spans="2:6" x14ac:dyDescent="0.25">
      <c r="B1868" s="262"/>
      <c r="C1868" s="263"/>
      <c r="D1868" s="264"/>
      <c r="E1868" s="265"/>
      <c r="F1868" s="259">
        <f t="shared" si="99"/>
        <v>0</v>
      </c>
    </row>
    <row r="1869" spans="2:6" ht="15.75" thickBot="1" x14ac:dyDescent="0.3">
      <c r="B1869" s="611" t="s">
        <v>286</v>
      </c>
      <c r="C1869" s="612"/>
      <c r="D1869" s="612"/>
      <c r="E1869" s="613"/>
      <c r="F1869" s="284">
        <f>SUM(F1857:F1868)</f>
        <v>106198.00190476191</v>
      </c>
    </row>
    <row r="1870" spans="2:6" x14ac:dyDescent="0.25">
      <c r="B1870" s="594" t="s">
        <v>277</v>
      </c>
      <c r="C1870" s="595"/>
      <c r="D1870" s="595"/>
      <c r="E1870" s="595"/>
      <c r="F1870" s="596"/>
    </row>
    <row r="1871" spans="2:6" x14ac:dyDescent="0.25">
      <c r="B1871" s="266" t="str">
        <f>CUADRILLAS!A80</f>
        <v>1Ay Raso</v>
      </c>
      <c r="C1871" s="267" t="s">
        <v>110</v>
      </c>
      <c r="D1871" s="268">
        <v>0.09</v>
      </c>
      <c r="E1871" s="269">
        <f>CUADRILLAS!B80</f>
        <v>70786</v>
      </c>
      <c r="F1871" s="270">
        <f>D1871*E1871</f>
        <v>6370.74</v>
      </c>
    </row>
    <row r="1872" spans="2:6" x14ac:dyDescent="0.25">
      <c r="B1872" s="266"/>
      <c r="C1872" s="267"/>
      <c r="D1872" s="268"/>
      <c r="E1872" s="269"/>
      <c r="F1872" s="270">
        <f>D1872*E1872</f>
        <v>0</v>
      </c>
    </row>
    <row r="1873" spans="2:6" x14ac:dyDescent="0.25">
      <c r="B1873" s="266"/>
      <c r="C1873" s="267"/>
      <c r="D1873" s="268"/>
      <c r="E1873" s="271"/>
      <c r="F1873" s="270">
        <f>D1873*E1873</f>
        <v>0</v>
      </c>
    </row>
    <row r="1874" spans="2:6" x14ac:dyDescent="0.25">
      <c r="B1874" s="272"/>
      <c r="C1874" s="273"/>
      <c r="D1874" s="268"/>
      <c r="E1874" s="271"/>
      <c r="F1874" s="270">
        <f>D1874*E1874</f>
        <v>0</v>
      </c>
    </row>
    <row r="1875" spans="2:6" ht="15.75" thickBot="1" x14ac:dyDescent="0.3">
      <c r="B1875" s="611" t="s">
        <v>287</v>
      </c>
      <c r="C1875" s="612"/>
      <c r="D1875" s="612"/>
      <c r="E1875" s="613"/>
      <c r="F1875" s="274">
        <f>SUM(F1871:F1874)</f>
        <v>6370.74</v>
      </c>
    </row>
    <row r="1876" spans="2:6" x14ac:dyDescent="0.25">
      <c r="B1876" s="594" t="s">
        <v>278</v>
      </c>
      <c r="C1876" s="595"/>
      <c r="D1876" s="595"/>
      <c r="E1876" s="595"/>
      <c r="F1876" s="596"/>
    </row>
    <row r="1877" spans="2:6" x14ac:dyDescent="0.25">
      <c r="B1877" s="272" t="s">
        <v>279</v>
      </c>
      <c r="C1877" s="273" t="s">
        <v>280</v>
      </c>
      <c r="D1877" s="268">
        <v>0.05</v>
      </c>
      <c r="E1877" s="271">
        <f>F1875</f>
        <v>6370.74</v>
      </c>
      <c r="F1877" s="270">
        <f>D1877*E1877</f>
        <v>318.53700000000003</v>
      </c>
    </row>
    <row r="1878" spans="2:6" ht="15.75" thickBot="1" x14ac:dyDescent="0.3">
      <c r="B1878" s="611" t="s">
        <v>288</v>
      </c>
      <c r="C1878" s="612"/>
      <c r="D1878" s="612"/>
      <c r="E1878" s="613"/>
      <c r="F1878" s="274">
        <f>SUM(F1877)</f>
        <v>318.53700000000003</v>
      </c>
    </row>
    <row r="1879" spans="2:6" x14ac:dyDescent="0.25">
      <c r="B1879" s="594" t="s">
        <v>281</v>
      </c>
      <c r="C1879" s="595"/>
      <c r="D1879" s="595"/>
      <c r="E1879" s="595"/>
      <c r="F1879" s="596"/>
    </row>
    <row r="1880" spans="2:6" x14ac:dyDescent="0.25">
      <c r="B1880" s="272"/>
      <c r="C1880" s="273"/>
      <c r="D1880" s="268"/>
      <c r="E1880" s="271"/>
      <c r="F1880" s="259">
        <f t="shared" ref="F1880:F1891" si="100">D1880*E1880</f>
        <v>0</v>
      </c>
    </row>
    <row r="1881" spans="2:6" x14ac:dyDescent="0.25">
      <c r="B1881" s="272"/>
      <c r="C1881" s="273"/>
      <c r="D1881" s="268"/>
      <c r="E1881" s="271"/>
      <c r="F1881" s="259">
        <f t="shared" si="100"/>
        <v>0</v>
      </c>
    </row>
    <row r="1882" spans="2:6" x14ac:dyDescent="0.25">
      <c r="B1882" s="272"/>
      <c r="C1882" s="273"/>
      <c r="D1882" s="268"/>
      <c r="E1882" s="271"/>
      <c r="F1882" s="259">
        <f t="shared" si="100"/>
        <v>0</v>
      </c>
    </row>
    <row r="1883" spans="2:6" x14ac:dyDescent="0.25">
      <c r="B1883" s="272"/>
      <c r="C1883" s="273"/>
      <c r="D1883" s="268"/>
      <c r="E1883" s="271"/>
      <c r="F1883" s="259">
        <f t="shared" si="100"/>
        <v>0</v>
      </c>
    </row>
    <row r="1884" spans="2:6" x14ac:dyDescent="0.25">
      <c r="B1884" s="272"/>
      <c r="C1884" s="273"/>
      <c r="D1884" s="268"/>
      <c r="E1884" s="271"/>
      <c r="F1884" s="259">
        <f t="shared" si="100"/>
        <v>0</v>
      </c>
    </row>
    <row r="1885" spans="2:6" x14ac:dyDescent="0.25">
      <c r="B1885" s="272"/>
      <c r="C1885" s="273"/>
      <c r="D1885" s="268"/>
      <c r="E1885" s="271"/>
      <c r="F1885" s="259">
        <f t="shared" si="100"/>
        <v>0</v>
      </c>
    </row>
    <row r="1886" spans="2:6" x14ac:dyDescent="0.25">
      <c r="B1886" s="272"/>
      <c r="C1886" s="273"/>
      <c r="D1886" s="268"/>
      <c r="E1886" s="271"/>
      <c r="F1886" s="259">
        <f t="shared" si="100"/>
        <v>0</v>
      </c>
    </row>
    <row r="1887" spans="2:6" x14ac:dyDescent="0.25">
      <c r="B1887" s="272"/>
      <c r="C1887" s="273"/>
      <c r="D1887" s="268"/>
      <c r="E1887" s="271"/>
      <c r="F1887" s="259">
        <f t="shared" si="100"/>
        <v>0</v>
      </c>
    </row>
    <row r="1888" spans="2:6" x14ac:dyDescent="0.25">
      <c r="B1888" s="272"/>
      <c r="C1888" s="273"/>
      <c r="D1888" s="268"/>
      <c r="E1888" s="271"/>
      <c r="F1888" s="259">
        <f t="shared" si="100"/>
        <v>0</v>
      </c>
    </row>
    <row r="1889" spans="2:6" x14ac:dyDescent="0.25">
      <c r="B1889" s="272"/>
      <c r="C1889" s="273"/>
      <c r="D1889" s="268"/>
      <c r="E1889" s="271"/>
      <c r="F1889" s="259">
        <f t="shared" si="100"/>
        <v>0</v>
      </c>
    </row>
    <row r="1890" spans="2:6" x14ac:dyDescent="0.25">
      <c r="B1890" s="272"/>
      <c r="C1890" s="273"/>
      <c r="D1890" s="268"/>
      <c r="E1890" s="271"/>
      <c r="F1890" s="259">
        <f t="shared" si="100"/>
        <v>0</v>
      </c>
    </row>
    <row r="1891" spans="2:6" x14ac:dyDescent="0.25">
      <c r="B1891" s="272"/>
      <c r="C1891" s="273"/>
      <c r="D1891" s="268"/>
      <c r="E1891" s="271"/>
      <c r="F1891" s="259">
        <f t="shared" si="100"/>
        <v>0</v>
      </c>
    </row>
    <row r="1892" spans="2:6" ht="15.75" thickBot="1" x14ac:dyDescent="0.3">
      <c r="B1892" s="611" t="s">
        <v>289</v>
      </c>
      <c r="C1892" s="612"/>
      <c r="D1892" s="612"/>
      <c r="E1892" s="613"/>
      <c r="F1892" s="274">
        <f>SUM(F1880:F1891)</f>
        <v>0</v>
      </c>
    </row>
    <row r="1893" spans="2:6" x14ac:dyDescent="0.25">
      <c r="B1893" s="594" t="s">
        <v>290</v>
      </c>
      <c r="C1893" s="595"/>
      <c r="D1893" s="595"/>
      <c r="E1893" s="595"/>
      <c r="F1893" s="596"/>
    </row>
    <row r="1894" spans="2:6" x14ac:dyDescent="0.25">
      <c r="B1894" s="272"/>
      <c r="C1894" s="273"/>
      <c r="D1894" s="275"/>
      <c r="E1894" s="276"/>
      <c r="F1894" s="259">
        <f>D1894*E1894</f>
        <v>0</v>
      </c>
    </row>
    <row r="1895" spans="2:6" x14ac:dyDescent="0.25">
      <c r="B1895" s="277"/>
      <c r="C1895" s="278"/>
      <c r="D1895" s="279"/>
      <c r="E1895" s="280"/>
      <c r="F1895" s="259">
        <f>D1895*E1895</f>
        <v>0</v>
      </c>
    </row>
    <row r="1896" spans="2:6" x14ac:dyDescent="0.25">
      <c r="B1896" s="277"/>
      <c r="C1896" s="278"/>
      <c r="D1896" s="279"/>
      <c r="E1896" s="280"/>
      <c r="F1896" s="259">
        <f>D1896*E1896</f>
        <v>0</v>
      </c>
    </row>
    <row r="1897" spans="2:6" ht="15.75" thickBot="1" x14ac:dyDescent="0.3">
      <c r="B1897" s="611" t="s">
        <v>291</v>
      </c>
      <c r="C1897" s="612"/>
      <c r="D1897" s="612"/>
      <c r="E1897" s="613"/>
      <c r="F1897" s="285">
        <f>SUM(F1894:F1896)</f>
        <v>0</v>
      </c>
    </row>
    <row r="1898" spans="2:6" ht="15.75" thickBot="1" x14ac:dyDescent="0.3">
      <c r="B1898" s="600" t="s">
        <v>282</v>
      </c>
      <c r="C1898" s="601"/>
      <c r="D1898" s="601"/>
      <c r="E1898" s="601"/>
      <c r="F1898" s="286">
        <f>ROUND(F1869+F1875+F1878+F1892+F1897,0)</f>
        <v>112887</v>
      </c>
    </row>
    <row r="1899" spans="2:6" ht="15.75" thickBot="1" x14ac:dyDescent="0.3"/>
    <row r="1900" spans="2:6" ht="15.75" thickBot="1" x14ac:dyDescent="0.3">
      <c r="B1900" s="602" t="s">
        <v>276</v>
      </c>
      <c r="C1900" s="603"/>
      <c r="D1900" s="603"/>
      <c r="E1900" s="603"/>
      <c r="F1900" s="604"/>
    </row>
    <row r="1901" spans="2:6" ht="15.75" thickBot="1" x14ac:dyDescent="0.3">
      <c r="B1901" s="605" t="s">
        <v>104</v>
      </c>
      <c r="C1901" s="606"/>
      <c r="D1901" s="607"/>
      <c r="E1901" s="282" t="s">
        <v>105</v>
      </c>
      <c r="F1901" s="283" t="s">
        <v>103</v>
      </c>
    </row>
    <row r="1902" spans="2:6" ht="56.45" customHeight="1" thickBot="1" x14ac:dyDescent="0.3">
      <c r="B1902" s="608" t="str">
        <f>'PRESUPUESTO CALLE 58 SUR'!B53</f>
        <v>Colocación de concreto de 14 Mpa para SOLADO, con un espesor DE 0.05 m. Incluye el suministro y el transporte del concreto y todos los demás elementos necesarios para su correcta construcción, incluye acarreo interno.</v>
      </c>
      <c r="C1902" s="609"/>
      <c r="D1902" s="610"/>
      <c r="E1902" s="449" t="str">
        <f>'PRESUPUESTO CALLE 58 SUR'!C53</f>
        <v>m2</v>
      </c>
      <c r="F1902" s="249">
        <f>'PRESUPUESTO CALLE 58 SUR'!A53</f>
        <v>8.1300000000000008</v>
      </c>
    </row>
    <row r="1903" spans="2:6" ht="15.75" thickBot="1" x14ac:dyDescent="0.3">
      <c r="B1903" s="250" t="s">
        <v>8</v>
      </c>
      <c r="C1903" s="251" t="s">
        <v>9</v>
      </c>
      <c r="D1903" s="252" t="s">
        <v>10</v>
      </c>
      <c r="E1903" s="253" t="s">
        <v>283</v>
      </c>
      <c r="F1903" s="254" t="s">
        <v>284</v>
      </c>
    </row>
    <row r="1904" spans="2:6" x14ac:dyDescent="0.25">
      <c r="B1904" s="594" t="s">
        <v>285</v>
      </c>
      <c r="C1904" s="595"/>
      <c r="D1904" s="595"/>
      <c r="E1904" s="595"/>
      <c r="F1904" s="596"/>
    </row>
    <row r="1905" spans="2:6" x14ac:dyDescent="0.25">
      <c r="B1905" s="261" t="str">
        <f>B247</f>
        <v>Concr.en obra 2000 psi 3/4"</v>
      </c>
      <c r="C1905" s="256" t="str">
        <f t="shared" ref="C1905:E1905" si="101">C247</f>
        <v>m3</v>
      </c>
      <c r="D1905" s="257">
        <f t="shared" si="101"/>
        <v>5.2500000000000005E-2</v>
      </c>
      <c r="E1905" s="258">
        <f t="shared" si="101"/>
        <v>533198.90610000002</v>
      </c>
      <c r="F1905" s="259">
        <f t="shared" ref="F1905:F1916" si="102">D1905*E1905</f>
        <v>27992.942570250005</v>
      </c>
    </row>
    <row r="1906" spans="2:6" x14ac:dyDescent="0.25">
      <c r="B1906" s="260"/>
      <c r="C1906" s="256"/>
      <c r="D1906" s="257"/>
      <c r="E1906" s="258"/>
      <c r="F1906" s="259">
        <f t="shared" si="102"/>
        <v>0</v>
      </c>
    </row>
    <row r="1907" spans="2:6" x14ac:dyDescent="0.25">
      <c r="B1907" s="261"/>
      <c r="C1907" s="256"/>
      <c r="D1907" s="257"/>
      <c r="E1907" s="258"/>
      <c r="F1907" s="259">
        <f t="shared" si="102"/>
        <v>0</v>
      </c>
    </row>
    <row r="1908" spans="2:6" x14ac:dyDescent="0.25">
      <c r="B1908" s="261"/>
      <c r="C1908" s="256"/>
      <c r="D1908" s="257"/>
      <c r="E1908" s="258"/>
      <c r="F1908" s="259">
        <f t="shared" si="102"/>
        <v>0</v>
      </c>
    </row>
    <row r="1909" spans="2:6" x14ac:dyDescent="0.25">
      <c r="B1909" s="261"/>
      <c r="C1909" s="256"/>
      <c r="D1909" s="257"/>
      <c r="E1909" s="258"/>
      <c r="F1909" s="259">
        <f t="shared" si="102"/>
        <v>0</v>
      </c>
    </row>
    <row r="1910" spans="2:6" x14ac:dyDescent="0.25">
      <c r="B1910" s="261"/>
      <c r="C1910" s="256"/>
      <c r="D1910" s="257"/>
      <c r="E1910" s="258"/>
      <c r="F1910" s="259">
        <f t="shared" si="102"/>
        <v>0</v>
      </c>
    </row>
    <row r="1911" spans="2:6" x14ac:dyDescent="0.25">
      <c r="B1911" s="261"/>
      <c r="C1911" s="256"/>
      <c r="D1911" s="257"/>
      <c r="E1911" s="258"/>
      <c r="F1911" s="259">
        <f t="shared" si="102"/>
        <v>0</v>
      </c>
    </row>
    <row r="1912" spans="2:6" x14ac:dyDescent="0.25">
      <c r="B1912" s="261"/>
      <c r="C1912" s="256"/>
      <c r="D1912" s="257"/>
      <c r="E1912" s="258"/>
      <c r="F1912" s="259">
        <f t="shared" si="102"/>
        <v>0</v>
      </c>
    </row>
    <row r="1913" spans="2:6" x14ac:dyDescent="0.25">
      <c r="B1913" s="261"/>
      <c r="C1913" s="256"/>
      <c r="D1913" s="257"/>
      <c r="E1913" s="258"/>
      <c r="F1913" s="259">
        <f t="shared" si="102"/>
        <v>0</v>
      </c>
    </row>
    <row r="1914" spans="2:6" x14ac:dyDescent="0.25">
      <c r="B1914" s="261"/>
      <c r="C1914" s="256"/>
      <c r="D1914" s="257"/>
      <c r="E1914" s="258"/>
      <c r="F1914" s="259">
        <f t="shared" si="102"/>
        <v>0</v>
      </c>
    </row>
    <row r="1915" spans="2:6" x14ac:dyDescent="0.25">
      <c r="B1915" s="261"/>
      <c r="C1915" s="256"/>
      <c r="D1915" s="257"/>
      <c r="E1915" s="258"/>
      <c r="F1915" s="259">
        <f t="shared" si="102"/>
        <v>0</v>
      </c>
    </row>
    <row r="1916" spans="2:6" x14ac:dyDescent="0.25">
      <c r="B1916" s="262"/>
      <c r="C1916" s="263"/>
      <c r="D1916" s="264"/>
      <c r="E1916" s="265"/>
      <c r="F1916" s="259">
        <f t="shared" si="102"/>
        <v>0</v>
      </c>
    </row>
    <row r="1917" spans="2:6" ht="15.75" thickBot="1" x14ac:dyDescent="0.3">
      <c r="B1917" s="611" t="s">
        <v>286</v>
      </c>
      <c r="C1917" s="612"/>
      <c r="D1917" s="612"/>
      <c r="E1917" s="613"/>
      <c r="F1917" s="284">
        <f>SUM(F1905:F1916)</f>
        <v>27992.942570250005</v>
      </c>
    </row>
    <row r="1918" spans="2:6" x14ac:dyDescent="0.25">
      <c r="B1918" s="594" t="s">
        <v>277</v>
      </c>
      <c r="C1918" s="595"/>
      <c r="D1918" s="595"/>
      <c r="E1918" s="595"/>
      <c r="F1918" s="596"/>
    </row>
    <row r="1919" spans="2:6" x14ac:dyDescent="0.25">
      <c r="B1919" s="266" t="str">
        <f>B261</f>
        <v>Cuadrilla labores varias (1of + 2ay)</v>
      </c>
      <c r="C1919" s="267" t="s">
        <v>110</v>
      </c>
      <c r="D1919" s="268">
        <v>7.2793176320306616E-2</v>
      </c>
      <c r="E1919" s="269">
        <f>CUADRILLAS!B87</f>
        <v>278637</v>
      </c>
      <c r="F1919" s="270">
        <f>D1919*E1919</f>
        <v>20282.872270361273</v>
      </c>
    </row>
    <row r="1920" spans="2:6" x14ac:dyDescent="0.25">
      <c r="B1920" s="266"/>
      <c r="C1920" s="267"/>
      <c r="D1920" s="268"/>
      <c r="E1920" s="269"/>
      <c r="F1920" s="270">
        <f>D1920*E1920</f>
        <v>0</v>
      </c>
    </row>
    <row r="1921" spans="2:6" x14ac:dyDescent="0.25">
      <c r="B1921" s="266"/>
      <c r="C1921" s="267"/>
      <c r="D1921" s="268"/>
      <c r="E1921" s="271"/>
      <c r="F1921" s="270">
        <f>D1921*E1921</f>
        <v>0</v>
      </c>
    </row>
    <row r="1922" spans="2:6" x14ac:dyDescent="0.25">
      <c r="B1922" s="272"/>
      <c r="C1922" s="273"/>
      <c r="D1922" s="268"/>
      <c r="E1922" s="271"/>
      <c r="F1922" s="270">
        <f>D1922*E1922</f>
        <v>0</v>
      </c>
    </row>
    <row r="1923" spans="2:6" ht="15.75" thickBot="1" x14ac:dyDescent="0.3">
      <c r="B1923" s="611" t="s">
        <v>287</v>
      </c>
      <c r="C1923" s="612"/>
      <c r="D1923" s="612"/>
      <c r="E1923" s="613"/>
      <c r="F1923" s="274">
        <f>SUM(F1919:F1922)</f>
        <v>20282.872270361273</v>
      </c>
    </row>
    <row r="1924" spans="2:6" x14ac:dyDescent="0.25">
      <c r="B1924" s="594" t="s">
        <v>278</v>
      </c>
      <c r="C1924" s="595"/>
      <c r="D1924" s="595"/>
      <c r="E1924" s="595"/>
      <c r="F1924" s="596"/>
    </row>
    <row r="1925" spans="2:6" x14ac:dyDescent="0.25">
      <c r="B1925" s="272" t="s">
        <v>279</v>
      </c>
      <c r="C1925" s="273" t="s">
        <v>280</v>
      </c>
      <c r="D1925" s="268">
        <v>0.05</v>
      </c>
      <c r="E1925" s="271">
        <f>F1923</f>
        <v>20282.872270361273</v>
      </c>
      <c r="F1925" s="270">
        <f>D1925*E1925</f>
        <v>1014.1436135180637</v>
      </c>
    </row>
    <row r="1926" spans="2:6" ht="15.75" thickBot="1" x14ac:dyDescent="0.3">
      <c r="B1926" s="611" t="s">
        <v>288</v>
      </c>
      <c r="C1926" s="612"/>
      <c r="D1926" s="612"/>
      <c r="E1926" s="613"/>
      <c r="F1926" s="274">
        <f>SUM(F1925)</f>
        <v>1014.1436135180637</v>
      </c>
    </row>
    <row r="1927" spans="2:6" x14ac:dyDescent="0.25">
      <c r="B1927" s="594" t="s">
        <v>281</v>
      </c>
      <c r="C1927" s="595"/>
      <c r="D1927" s="595"/>
      <c r="E1927" s="595"/>
      <c r="F1927" s="596"/>
    </row>
    <row r="1928" spans="2:6" x14ac:dyDescent="0.25">
      <c r="B1928" s="272"/>
      <c r="C1928" s="273"/>
      <c r="D1928" s="268"/>
      <c r="E1928" s="271"/>
      <c r="F1928" s="259">
        <f t="shared" ref="F1928:F1939" si="103">D1928*E1928</f>
        <v>0</v>
      </c>
    </row>
    <row r="1929" spans="2:6" x14ac:dyDescent="0.25">
      <c r="B1929" s="272"/>
      <c r="C1929" s="273"/>
      <c r="D1929" s="268"/>
      <c r="E1929" s="271"/>
      <c r="F1929" s="259">
        <f t="shared" si="103"/>
        <v>0</v>
      </c>
    </row>
    <row r="1930" spans="2:6" x14ac:dyDescent="0.25">
      <c r="B1930" s="272"/>
      <c r="C1930" s="273"/>
      <c r="D1930" s="268"/>
      <c r="E1930" s="271"/>
      <c r="F1930" s="259">
        <f t="shared" si="103"/>
        <v>0</v>
      </c>
    </row>
    <row r="1931" spans="2:6" x14ac:dyDescent="0.25">
      <c r="B1931" s="272"/>
      <c r="C1931" s="273"/>
      <c r="D1931" s="268"/>
      <c r="E1931" s="271"/>
      <c r="F1931" s="259">
        <f t="shared" si="103"/>
        <v>0</v>
      </c>
    </row>
    <row r="1932" spans="2:6" x14ac:dyDescent="0.25">
      <c r="B1932" s="272"/>
      <c r="C1932" s="273"/>
      <c r="D1932" s="268"/>
      <c r="E1932" s="271"/>
      <c r="F1932" s="259">
        <f t="shared" si="103"/>
        <v>0</v>
      </c>
    </row>
    <row r="1933" spans="2:6" x14ac:dyDescent="0.25">
      <c r="B1933" s="272"/>
      <c r="C1933" s="273"/>
      <c r="D1933" s="268"/>
      <c r="E1933" s="271"/>
      <c r="F1933" s="259">
        <f t="shared" si="103"/>
        <v>0</v>
      </c>
    </row>
    <row r="1934" spans="2:6" x14ac:dyDescent="0.25">
      <c r="B1934" s="272"/>
      <c r="C1934" s="273"/>
      <c r="D1934" s="268"/>
      <c r="E1934" s="271"/>
      <c r="F1934" s="259">
        <f t="shared" si="103"/>
        <v>0</v>
      </c>
    </row>
    <row r="1935" spans="2:6" x14ac:dyDescent="0.25">
      <c r="B1935" s="272"/>
      <c r="C1935" s="273"/>
      <c r="D1935" s="268"/>
      <c r="E1935" s="271"/>
      <c r="F1935" s="259">
        <f t="shared" si="103"/>
        <v>0</v>
      </c>
    </row>
    <row r="1936" spans="2:6" x14ac:dyDescent="0.25">
      <c r="B1936" s="272"/>
      <c r="C1936" s="273"/>
      <c r="D1936" s="268"/>
      <c r="E1936" s="271"/>
      <c r="F1936" s="259">
        <f t="shared" si="103"/>
        <v>0</v>
      </c>
    </row>
    <row r="1937" spans="2:6" x14ac:dyDescent="0.25">
      <c r="B1937" s="272"/>
      <c r="C1937" s="273"/>
      <c r="D1937" s="268"/>
      <c r="E1937" s="271"/>
      <c r="F1937" s="259">
        <f t="shared" si="103"/>
        <v>0</v>
      </c>
    </row>
    <row r="1938" spans="2:6" x14ac:dyDescent="0.25">
      <c r="B1938" s="272"/>
      <c r="C1938" s="273"/>
      <c r="D1938" s="268"/>
      <c r="E1938" s="271"/>
      <c r="F1938" s="259">
        <f t="shared" si="103"/>
        <v>0</v>
      </c>
    </row>
    <row r="1939" spans="2:6" x14ac:dyDescent="0.25">
      <c r="B1939" s="272"/>
      <c r="C1939" s="273"/>
      <c r="D1939" s="268"/>
      <c r="E1939" s="271"/>
      <c r="F1939" s="259">
        <f t="shared" si="103"/>
        <v>0</v>
      </c>
    </row>
    <row r="1940" spans="2:6" ht="15.75" thickBot="1" x14ac:dyDescent="0.3">
      <c r="B1940" s="611" t="s">
        <v>289</v>
      </c>
      <c r="C1940" s="612"/>
      <c r="D1940" s="612"/>
      <c r="E1940" s="613"/>
      <c r="F1940" s="274">
        <f>SUM(F1928:F1939)</f>
        <v>0</v>
      </c>
    </row>
    <row r="1941" spans="2:6" x14ac:dyDescent="0.25">
      <c r="B1941" s="594" t="s">
        <v>290</v>
      </c>
      <c r="C1941" s="595"/>
      <c r="D1941" s="595"/>
      <c r="E1941" s="595"/>
      <c r="F1941" s="596"/>
    </row>
    <row r="1942" spans="2:6" x14ac:dyDescent="0.25">
      <c r="B1942" s="272" t="str">
        <f t="shared" ref="B1942:E1942" si="104">B284</f>
        <v>Acarreo Interno Materiales</v>
      </c>
      <c r="C1942" s="273" t="str">
        <f t="shared" si="104"/>
        <v>m3</v>
      </c>
      <c r="D1942" s="275">
        <f t="shared" si="104"/>
        <v>8.8095000000000007E-2</v>
      </c>
      <c r="E1942" s="276">
        <f t="shared" si="104"/>
        <v>15000</v>
      </c>
      <c r="F1942" s="259">
        <f>D1942*E1942</f>
        <v>1321.4250000000002</v>
      </c>
    </row>
    <row r="1943" spans="2:6" x14ac:dyDescent="0.25">
      <c r="B1943" s="277"/>
      <c r="C1943" s="278"/>
      <c r="D1943" s="279"/>
      <c r="E1943" s="280"/>
      <c r="F1943" s="259">
        <f>D1943*E1943</f>
        <v>0</v>
      </c>
    </row>
    <row r="1944" spans="2:6" x14ac:dyDescent="0.25">
      <c r="B1944" s="277"/>
      <c r="C1944" s="278"/>
      <c r="D1944" s="279"/>
      <c r="E1944" s="280"/>
      <c r="F1944" s="259">
        <f>D1944*E1944</f>
        <v>0</v>
      </c>
    </row>
    <row r="1945" spans="2:6" ht="15.75" thickBot="1" x14ac:dyDescent="0.3">
      <c r="B1945" s="611" t="s">
        <v>291</v>
      </c>
      <c r="C1945" s="612"/>
      <c r="D1945" s="612"/>
      <c r="E1945" s="613"/>
      <c r="F1945" s="285">
        <f>SUM(F1942:F1944)</f>
        <v>1321.4250000000002</v>
      </c>
    </row>
    <row r="1946" spans="2:6" ht="15.75" thickBot="1" x14ac:dyDescent="0.3">
      <c r="B1946" s="600" t="s">
        <v>282</v>
      </c>
      <c r="C1946" s="601"/>
      <c r="D1946" s="601"/>
      <c r="E1946" s="601"/>
      <c r="F1946" s="286">
        <f>ROUND(F1917+F1923+F1926+F1940+F1945,0)</f>
        <v>50611</v>
      </c>
    </row>
    <row r="1947" spans="2:6" ht="15.75" thickBot="1" x14ac:dyDescent="0.3"/>
    <row r="1948" spans="2:6" ht="15.75" thickBot="1" x14ac:dyDescent="0.3">
      <c r="B1948" s="602" t="s">
        <v>276</v>
      </c>
      <c r="C1948" s="603"/>
      <c r="D1948" s="603"/>
      <c r="E1948" s="603"/>
      <c r="F1948" s="604"/>
    </row>
    <row r="1949" spans="2:6" ht="15.75" thickBot="1" x14ac:dyDescent="0.3">
      <c r="B1949" s="605" t="s">
        <v>104</v>
      </c>
      <c r="C1949" s="606"/>
      <c r="D1949" s="607"/>
      <c r="E1949" s="282" t="s">
        <v>105</v>
      </c>
      <c r="F1949" s="283" t="s">
        <v>103</v>
      </c>
    </row>
    <row r="1950" spans="2:6" ht="57.6" customHeight="1" thickBot="1" x14ac:dyDescent="0.3">
      <c r="B1950" s="608" t="str">
        <f>'PRESUPUESTO CALLE 58 SUR'!B54</f>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
      <c r="C1950" s="609"/>
      <c r="D1950" s="610"/>
      <c r="E1950" s="449" t="str">
        <f>'PRESUPUESTO CALLE 58 SUR'!C54</f>
        <v>m3</v>
      </c>
      <c r="F1950" s="249">
        <f>'PRESUPUESTO CALLE 58 SUR'!A54</f>
        <v>8.14</v>
      </c>
    </row>
    <row r="1951" spans="2:6" ht="15.75" thickBot="1" x14ac:dyDescent="0.3">
      <c r="B1951" s="250" t="s">
        <v>8</v>
      </c>
      <c r="C1951" s="251" t="s">
        <v>9</v>
      </c>
      <c r="D1951" s="252" t="s">
        <v>10</v>
      </c>
      <c r="E1951" s="253" t="s">
        <v>283</v>
      </c>
      <c r="F1951" s="254" t="s">
        <v>284</v>
      </c>
    </row>
    <row r="1952" spans="2:6" x14ac:dyDescent="0.25">
      <c r="B1952" s="594" t="s">
        <v>285</v>
      </c>
      <c r="C1952" s="595"/>
      <c r="D1952" s="595"/>
      <c r="E1952" s="595"/>
      <c r="F1952" s="596"/>
    </row>
    <row r="1953" spans="2:6" x14ac:dyDescent="0.25">
      <c r="B1953" s="261" t="str">
        <f>B295</f>
        <v>Concr.en obra 3000 psi 3/4"</v>
      </c>
      <c r="C1953" s="256" t="str">
        <f t="shared" ref="C1953:E1953" si="105">C295</f>
        <v>m3</v>
      </c>
      <c r="D1953" s="257">
        <f t="shared" si="105"/>
        <v>0.63</v>
      </c>
      <c r="E1953" s="258">
        <f t="shared" si="105"/>
        <v>630810.91779999994</v>
      </c>
      <c r="F1953" s="259">
        <f t="shared" ref="F1953:F1964" si="106">D1953*E1953</f>
        <v>397410.87821399997</v>
      </c>
    </row>
    <row r="1954" spans="2:6" x14ac:dyDescent="0.25">
      <c r="B1954" s="261" t="str">
        <f t="shared" ref="B1954:E1954" si="107">B296</f>
        <v>Telera 90x135 + Transporte</v>
      </c>
      <c r="C1954" s="256" t="str">
        <f t="shared" si="107"/>
        <v>un</v>
      </c>
      <c r="D1954" s="257">
        <f t="shared" si="107"/>
        <v>2</v>
      </c>
      <c r="E1954" s="258">
        <f t="shared" si="107"/>
        <v>21420</v>
      </c>
      <c r="F1954" s="259">
        <f t="shared" si="106"/>
        <v>42840</v>
      </c>
    </row>
    <row r="1955" spans="2:6" x14ac:dyDescent="0.25">
      <c r="B1955" s="261" t="str">
        <f t="shared" ref="B1955:E1955" si="108">B297</f>
        <v>Taco de madera de 3.0 m</v>
      </c>
      <c r="C1955" s="256" t="str">
        <f t="shared" si="108"/>
        <v>un</v>
      </c>
      <c r="D1955" s="257">
        <f t="shared" si="108"/>
        <v>2</v>
      </c>
      <c r="E1955" s="258">
        <f t="shared" si="108"/>
        <v>9482</v>
      </c>
      <c r="F1955" s="259">
        <f t="shared" si="106"/>
        <v>18964</v>
      </c>
    </row>
    <row r="1956" spans="2:6" ht="22.5" x14ac:dyDescent="0.25">
      <c r="B1956" s="261" t="str">
        <f t="shared" ref="B1956:E1956" si="109">B298</f>
        <v>Larguero madera comun 4 cmx8cmx2.80 m. Incluye transporte</v>
      </c>
      <c r="C1956" s="256" t="str">
        <f t="shared" si="109"/>
        <v>un</v>
      </c>
      <c r="D1956" s="257">
        <f t="shared" si="109"/>
        <v>1</v>
      </c>
      <c r="E1956" s="258">
        <f t="shared" si="109"/>
        <v>20135</v>
      </c>
      <c r="F1956" s="259">
        <f t="shared" si="106"/>
        <v>20135</v>
      </c>
    </row>
    <row r="1957" spans="2:6" x14ac:dyDescent="0.25">
      <c r="B1957" s="261" t="str">
        <f t="shared" ref="B1957:E1957" si="110">B299</f>
        <v>Clavo común x CAJA por 500 gr</v>
      </c>
      <c r="C1957" s="256" t="str">
        <f t="shared" si="110"/>
        <v>lb</v>
      </c>
      <c r="D1957" s="257">
        <f t="shared" si="110"/>
        <v>0.5</v>
      </c>
      <c r="E1957" s="258">
        <f t="shared" si="110"/>
        <v>5000</v>
      </c>
      <c r="F1957" s="259">
        <f t="shared" si="106"/>
        <v>2500</v>
      </c>
    </row>
    <row r="1958" spans="2:6" x14ac:dyDescent="0.25">
      <c r="B1958" s="261" t="str">
        <f t="shared" ref="B1958:E1958" si="111">B300</f>
        <v>Alambre recocido C 18</v>
      </c>
      <c r="C1958" s="256" t="str">
        <f t="shared" si="111"/>
        <v>kg</v>
      </c>
      <c r="D1958" s="257">
        <f t="shared" si="111"/>
        <v>0.05</v>
      </c>
      <c r="E1958" s="258">
        <f t="shared" si="111"/>
        <v>8687</v>
      </c>
      <c r="F1958" s="259">
        <f t="shared" si="106"/>
        <v>434.35</v>
      </c>
    </row>
    <row r="1959" spans="2:6" x14ac:dyDescent="0.25">
      <c r="B1959" s="526" t="str">
        <f>SUBANALISIS!H12</f>
        <v>Piedra entresuelo-gaviones y/o ciclópeo</v>
      </c>
      <c r="C1959" s="527" t="s">
        <v>117</v>
      </c>
      <c r="D1959" s="528">
        <f>0.4*1.1</f>
        <v>0.44000000000000006</v>
      </c>
      <c r="E1959" s="500">
        <f>SUBANALISIS!I12</f>
        <v>111848.63549999999</v>
      </c>
      <c r="F1959" s="529">
        <f t="shared" si="106"/>
        <v>49213.399620000004</v>
      </c>
    </row>
    <row r="1960" spans="2:6" x14ac:dyDescent="0.25">
      <c r="B1960" s="261"/>
      <c r="C1960" s="256"/>
      <c r="D1960" s="257"/>
      <c r="E1960" s="258"/>
      <c r="F1960" s="259">
        <f t="shared" si="106"/>
        <v>0</v>
      </c>
    </row>
    <row r="1961" spans="2:6" x14ac:dyDescent="0.25">
      <c r="B1961" s="261"/>
      <c r="C1961" s="256"/>
      <c r="D1961" s="257"/>
      <c r="E1961" s="258"/>
      <c r="F1961" s="259">
        <f t="shared" si="106"/>
        <v>0</v>
      </c>
    </row>
    <row r="1962" spans="2:6" x14ac:dyDescent="0.25">
      <c r="B1962" s="261"/>
      <c r="C1962" s="256"/>
      <c r="D1962" s="257"/>
      <c r="E1962" s="258"/>
      <c r="F1962" s="259">
        <f t="shared" si="106"/>
        <v>0</v>
      </c>
    </row>
    <row r="1963" spans="2:6" x14ac:dyDescent="0.25">
      <c r="B1963" s="261"/>
      <c r="C1963" s="256"/>
      <c r="D1963" s="257"/>
      <c r="E1963" s="258"/>
      <c r="F1963" s="259">
        <f t="shared" si="106"/>
        <v>0</v>
      </c>
    </row>
    <row r="1964" spans="2:6" x14ac:dyDescent="0.25">
      <c r="B1964" s="262"/>
      <c r="C1964" s="263"/>
      <c r="D1964" s="264"/>
      <c r="E1964" s="265"/>
      <c r="F1964" s="259">
        <f t="shared" si="106"/>
        <v>0</v>
      </c>
    </row>
    <row r="1965" spans="2:6" ht="15.75" thickBot="1" x14ac:dyDescent="0.3">
      <c r="B1965" s="611" t="s">
        <v>286</v>
      </c>
      <c r="C1965" s="612"/>
      <c r="D1965" s="612"/>
      <c r="E1965" s="613"/>
      <c r="F1965" s="284">
        <f>SUM(F1953:F1964)</f>
        <v>531497.62783399993</v>
      </c>
    </row>
    <row r="1966" spans="2:6" x14ac:dyDescent="0.25">
      <c r="B1966" s="594" t="s">
        <v>277</v>
      </c>
      <c r="C1966" s="595"/>
      <c r="D1966" s="595"/>
      <c r="E1966" s="595"/>
      <c r="F1966" s="596"/>
    </row>
    <row r="1967" spans="2:6" x14ac:dyDescent="0.25">
      <c r="B1967" s="266" t="str">
        <f>B309</f>
        <v>Cuadrilla labores varias (1of + 2ay)</v>
      </c>
      <c r="C1967" s="267" t="str">
        <f t="shared" ref="C1967:E1967" si="112">C309</f>
        <v>día</v>
      </c>
      <c r="D1967" s="268">
        <f t="shared" si="112"/>
        <v>0.61324613451448851</v>
      </c>
      <c r="E1967" s="269">
        <f t="shared" si="112"/>
        <v>278637</v>
      </c>
      <c r="F1967" s="270">
        <f>D1967*E1967</f>
        <v>170873.06318271352</v>
      </c>
    </row>
    <row r="1968" spans="2:6" x14ac:dyDescent="0.25">
      <c r="B1968" s="266"/>
      <c r="C1968" s="267"/>
      <c r="D1968" s="268"/>
      <c r="E1968" s="269"/>
      <c r="F1968" s="270">
        <f>D1968*E1968</f>
        <v>0</v>
      </c>
    </row>
    <row r="1969" spans="2:6" x14ac:dyDescent="0.25">
      <c r="B1969" s="266"/>
      <c r="C1969" s="267"/>
      <c r="D1969" s="268"/>
      <c r="E1969" s="271"/>
      <c r="F1969" s="270">
        <f>D1969*E1969</f>
        <v>0</v>
      </c>
    </row>
    <row r="1970" spans="2:6" x14ac:dyDescent="0.25">
      <c r="B1970" s="272"/>
      <c r="C1970" s="273"/>
      <c r="D1970" s="268"/>
      <c r="E1970" s="271"/>
      <c r="F1970" s="270">
        <f>D1970*E1970</f>
        <v>0</v>
      </c>
    </row>
    <row r="1971" spans="2:6" ht="15.75" thickBot="1" x14ac:dyDescent="0.3">
      <c r="B1971" s="611" t="s">
        <v>287</v>
      </c>
      <c r="C1971" s="612"/>
      <c r="D1971" s="612"/>
      <c r="E1971" s="613"/>
      <c r="F1971" s="274">
        <f>SUM(F1967:F1970)</f>
        <v>170873.06318271352</v>
      </c>
    </row>
    <row r="1972" spans="2:6" x14ac:dyDescent="0.25">
      <c r="B1972" s="594" t="s">
        <v>278</v>
      </c>
      <c r="C1972" s="595"/>
      <c r="D1972" s="595"/>
      <c r="E1972" s="595"/>
      <c r="F1972" s="596"/>
    </row>
    <row r="1973" spans="2:6" x14ac:dyDescent="0.25">
      <c r="B1973" s="272" t="s">
        <v>279</v>
      </c>
      <c r="C1973" s="273" t="s">
        <v>280</v>
      </c>
      <c r="D1973" s="268">
        <v>0.05</v>
      </c>
      <c r="E1973" s="271">
        <f>F1971</f>
        <v>170873.06318271352</v>
      </c>
      <c r="F1973" s="270">
        <f>D1973*E1973</f>
        <v>8543.6531591356761</v>
      </c>
    </row>
    <row r="1974" spans="2:6" ht="15.75" thickBot="1" x14ac:dyDescent="0.3">
      <c r="B1974" s="611" t="s">
        <v>288</v>
      </c>
      <c r="C1974" s="612"/>
      <c r="D1974" s="612"/>
      <c r="E1974" s="613"/>
      <c r="F1974" s="274">
        <f>SUM(F1973)</f>
        <v>8543.6531591356761</v>
      </c>
    </row>
    <row r="1975" spans="2:6" x14ac:dyDescent="0.25">
      <c r="B1975" s="594" t="s">
        <v>281</v>
      </c>
      <c r="C1975" s="595"/>
      <c r="D1975" s="595"/>
      <c r="E1975" s="595"/>
      <c r="F1975" s="596"/>
    </row>
    <row r="1976" spans="2:6" x14ac:dyDescent="0.25">
      <c r="B1976" s="272"/>
      <c r="C1976" s="273"/>
      <c r="D1976" s="268"/>
      <c r="E1976" s="271"/>
      <c r="F1976" s="259">
        <f t="shared" ref="F1976:F1987" si="113">D1976*E1976</f>
        <v>0</v>
      </c>
    </row>
    <row r="1977" spans="2:6" x14ac:dyDescent="0.25">
      <c r="B1977" s="272"/>
      <c r="C1977" s="273"/>
      <c r="D1977" s="268"/>
      <c r="E1977" s="271"/>
      <c r="F1977" s="259">
        <f t="shared" si="113"/>
        <v>0</v>
      </c>
    </row>
    <row r="1978" spans="2:6" x14ac:dyDescent="0.25">
      <c r="B1978" s="272"/>
      <c r="C1978" s="273"/>
      <c r="D1978" s="268"/>
      <c r="E1978" s="271"/>
      <c r="F1978" s="259">
        <f t="shared" si="113"/>
        <v>0</v>
      </c>
    </row>
    <row r="1979" spans="2:6" x14ac:dyDescent="0.25">
      <c r="B1979" s="272"/>
      <c r="C1979" s="273"/>
      <c r="D1979" s="268"/>
      <c r="E1979" s="271"/>
      <c r="F1979" s="259">
        <f t="shared" si="113"/>
        <v>0</v>
      </c>
    </row>
    <row r="1980" spans="2:6" x14ac:dyDescent="0.25">
      <c r="B1980" s="272"/>
      <c r="C1980" s="273"/>
      <c r="D1980" s="268"/>
      <c r="E1980" s="271"/>
      <c r="F1980" s="259">
        <f t="shared" si="113"/>
        <v>0</v>
      </c>
    </row>
    <row r="1981" spans="2:6" x14ac:dyDescent="0.25">
      <c r="B1981" s="272"/>
      <c r="C1981" s="273"/>
      <c r="D1981" s="268"/>
      <c r="E1981" s="271"/>
      <c r="F1981" s="259">
        <f t="shared" si="113"/>
        <v>0</v>
      </c>
    </row>
    <row r="1982" spans="2:6" x14ac:dyDescent="0.25">
      <c r="B1982" s="272"/>
      <c r="C1982" s="273"/>
      <c r="D1982" s="268"/>
      <c r="E1982" s="271"/>
      <c r="F1982" s="259">
        <f t="shared" si="113"/>
        <v>0</v>
      </c>
    </row>
    <row r="1983" spans="2:6" x14ac:dyDescent="0.25">
      <c r="B1983" s="272"/>
      <c r="C1983" s="273"/>
      <c r="D1983" s="268"/>
      <c r="E1983" s="271"/>
      <c r="F1983" s="259">
        <f t="shared" si="113"/>
        <v>0</v>
      </c>
    </row>
    <row r="1984" spans="2:6" x14ac:dyDescent="0.25">
      <c r="B1984" s="272"/>
      <c r="C1984" s="273"/>
      <c r="D1984" s="268"/>
      <c r="E1984" s="271"/>
      <c r="F1984" s="259">
        <f t="shared" si="113"/>
        <v>0</v>
      </c>
    </row>
    <row r="1985" spans="2:6" x14ac:dyDescent="0.25">
      <c r="B1985" s="272"/>
      <c r="C1985" s="273"/>
      <c r="D1985" s="268"/>
      <c r="E1985" s="271"/>
      <c r="F1985" s="259">
        <f t="shared" si="113"/>
        <v>0</v>
      </c>
    </row>
    <row r="1986" spans="2:6" x14ac:dyDescent="0.25">
      <c r="B1986" s="272"/>
      <c r="C1986" s="273"/>
      <c r="D1986" s="268"/>
      <c r="E1986" s="271"/>
      <c r="F1986" s="259">
        <f t="shared" si="113"/>
        <v>0</v>
      </c>
    </row>
    <row r="1987" spans="2:6" x14ac:dyDescent="0.25">
      <c r="B1987" s="272"/>
      <c r="C1987" s="273"/>
      <c r="D1987" s="268"/>
      <c r="E1987" s="271"/>
      <c r="F1987" s="259">
        <f t="shared" si="113"/>
        <v>0</v>
      </c>
    </row>
    <row r="1988" spans="2:6" ht="15.75" thickBot="1" x14ac:dyDescent="0.3">
      <c r="B1988" s="611" t="s">
        <v>289</v>
      </c>
      <c r="C1988" s="612"/>
      <c r="D1988" s="612"/>
      <c r="E1988" s="613"/>
      <c r="F1988" s="274">
        <f>SUM(F1976:F1987)</f>
        <v>0</v>
      </c>
    </row>
    <row r="1989" spans="2:6" x14ac:dyDescent="0.25">
      <c r="B1989" s="594" t="s">
        <v>290</v>
      </c>
      <c r="C1989" s="595"/>
      <c r="D1989" s="595"/>
      <c r="E1989" s="595"/>
      <c r="F1989" s="596"/>
    </row>
    <row r="1990" spans="2:6" x14ac:dyDescent="0.25">
      <c r="B1990" s="277" t="str">
        <f>B332</f>
        <v>Acarreo Interno Materiales</v>
      </c>
      <c r="C1990" s="278" t="str">
        <f t="shared" ref="C1990:E1990" si="114">C332</f>
        <v>m3</v>
      </c>
      <c r="D1990" s="279">
        <f t="shared" si="114"/>
        <v>1.5299</v>
      </c>
      <c r="E1990" s="280">
        <f t="shared" si="114"/>
        <v>15000</v>
      </c>
      <c r="F1990" s="259">
        <f>D1990*E1990</f>
        <v>22948.5</v>
      </c>
    </row>
    <row r="1991" spans="2:6" x14ac:dyDescent="0.25">
      <c r="B1991" s="277" t="s">
        <v>1005</v>
      </c>
      <c r="C1991" s="278" t="s">
        <v>117</v>
      </c>
      <c r="D1991" s="279">
        <f>D1959</f>
        <v>0.44000000000000006</v>
      </c>
      <c r="E1991" s="280">
        <f>SUBANALISIS!J1</f>
        <v>72000</v>
      </c>
      <c r="F1991" s="259">
        <f>D1991*E1991</f>
        <v>31680.000000000004</v>
      </c>
    </row>
    <row r="1992" spans="2:6" x14ac:dyDescent="0.25">
      <c r="B1992" s="277"/>
      <c r="C1992" s="278"/>
      <c r="D1992" s="279"/>
      <c r="E1992" s="280"/>
      <c r="F1992" s="259">
        <f>D1992*E1992</f>
        <v>0</v>
      </c>
    </row>
    <row r="1993" spans="2:6" ht="15.75" thickBot="1" x14ac:dyDescent="0.3">
      <c r="B1993" s="611" t="s">
        <v>291</v>
      </c>
      <c r="C1993" s="612"/>
      <c r="D1993" s="612"/>
      <c r="E1993" s="613"/>
      <c r="F1993" s="285">
        <f>SUM(F1990:F1992)</f>
        <v>54628.5</v>
      </c>
    </row>
    <row r="1994" spans="2:6" ht="15.75" thickBot="1" x14ac:dyDescent="0.3">
      <c r="B1994" s="600" t="s">
        <v>282</v>
      </c>
      <c r="C1994" s="601"/>
      <c r="D1994" s="601"/>
      <c r="E1994" s="601"/>
      <c r="F1994" s="286">
        <f>ROUND(F1965+F1971+F1974+F1988+F1993,0)</f>
        <v>765543</v>
      </c>
    </row>
    <row r="1995" spans="2:6" ht="15.75" thickBot="1" x14ac:dyDescent="0.3"/>
    <row r="1996" spans="2:6" ht="15.75" thickBot="1" x14ac:dyDescent="0.3">
      <c r="B1996" s="602" t="s">
        <v>276</v>
      </c>
      <c r="C1996" s="603"/>
      <c r="D1996" s="603"/>
      <c r="E1996" s="603"/>
      <c r="F1996" s="604"/>
    </row>
    <row r="1997" spans="2:6" ht="15.75" thickBot="1" x14ac:dyDescent="0.3">
      <c r="B1997" s="605" t="s">
        <v>104</v>
      </c>
      <c r="C1997" s="606"/>
      <c r="D1997" s="607"/>
      <c r="E1997" s="282" t="s">
        <v>105</v>
      </c>
      <c r="F1997" s="283" t="s">
        <v>103</v>
      </c>
    </row>
    <row r="1998" spans="2:6" ht="63.6" customHeight="1" thickBot="1" x14ac:dyDescent="0.3">
      <c r="B1998" s="608" t="str">
        <f>'PRESUPUESTO CALLE 58 SUR'!B55</f>
        <v>Construcción de PILAS en concreto de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 Incluye SOBREACARREO DE MATERIALES.</v>
      </c>
      <c r="C1998" s="609"/>
      <c r="D1998" s="610"/>
      <c r="E1998" s="449" t="str">
        <f>'PRESUPUESTO CALLE 58 SUR'!C55</f>
        <v>m3</v>
      </c>
      <c r="F1998" s="249">
        <f>'PRESUPUESTO CALLE 58 SUR'!A55</f>
        <v>8.15</v>
      </c>
    </row>
    <row r="1999" spans="2:6" ht="15.75" thickBot="1" x14ac:dyDescent="0.3">
      <c r="B1999" s="250" t="s">
        <v>8</v>
      </c>
      <c r="C1999" s="251" t="s">
        <v>9</v>
      </c>
      <c r="D1999" s="252" t="s">
        <v>10</v>
      </c>
      <c r="E1999" s="253" t="s">
        <v>283</v>
      </c>
      <c r="F1999" s="254" t="s">
        <v>284</v>
      </c>
    </row>
    <row r="2000" spans="2:6" x14ac:dyDescent="0.25">
      <c r="B2000" s="594" t="s">
        <v>285</v>
      </c>
      <c r="C2000" s="595"/>
      <c r="D2000" s="595"/>
      <c r="E2000" s="595"/>
      <c r="F2000" s="596"/>
    </row>
    <row r="2001" spans="2:6" x14ac:dyDescent="0.25">
      <c r="B2001" s="459" t="str">
        <f>SUBANALISIS!A78</f>
        <v>Concr.en obra 3000 psi 3/4"</v>
      </c>
      <c r="C2001" s="256" t="s">
        <v>122</v>
      </c>
      <c r="D2001" s="257">
        <v>1.05</v>
      </c>
      <c r="E2001" s="258">
        <f>SUBANALISIS!F78</f>
        <v>630810.91779999994</v>
      </c>
      <c r="F2001" s="259">
        <f t="shared" ref="F2001:F2012" si="115">D2001*E2001</f>
        <v>662351.46369</v>
      </c>
    </row>
    <row r="2002" spans="2:6" x14ac:dyDescent="0.25">
      <c r="B2002" s="260"/>
      <c r="C2002" s="256"/>
      <c r="D2002" s="257"/>
      <c r="E2002" s="258"/>
      <c r="F2002" s="259">
        <f t="shared" si="115"/>
        <v>0</v>
      </c>
    </row>
    <row r="2003" spans="2:6" x14ac:dyDescent="0.25">
      <c r="B2003" s="261"/>
      <c r="C2003" s="256"/>
      <c r="D2003" s="257"/>
      <c r="E2003" s="258"/>
      <c r="F2003" s="259">
        <f t="shared" si="115"/>
        <v>0</v>
      </c>
    </row>
    <row r="2004" spans="2:6" x14ac:dyDescent="0.25">
      <c r="B2004" s="261"/>
      <c r="C2004" s="256"/>
      <c r="D2004" s="257"/>
      <c r="E2004" s="258"/>
      <c r="F2004" s="259">
        <f t="shared" si="115"/>
        <v>0</v>
      </c>
    </row>
    <row r="2005" spans="2:6" x14ac:dyDescent="0.25">
      <c r="B2005" s="261"/>
      <c r="C2005" s="256"/>
      <c r="D2005" s="257"/>
      <c r="E2005" s="258"/>
      <c r="F2005" s="259">
        <f t="shared" si="115"/>
        <v>0</v>
      </c>
    </row>
    <row r="2006" spans="2:6" x14ac:dyDescent="0.25">
      <c r="B2006" s="261"/>
      <c r="C2006" s="256"/>
      <c r="D2006" s="257"/>
      <c r="E2006" s="258"/>
      <c r="F2006" s="259">
        <f t="shared" si="115"/>
        <v>0</v>
      </c>
    </row>
    <row r="2007" spans="2:6" x14ac:dyDescent="0.25">
      <c r="B2007" s="261"/>
      <c r="C2007" s="256"/>
      <c r="D2007" s="257"/>
      <c r="E2007" s="258"/>
      <c r="F2007" s="259">
        <f t="shared" si="115"/>
        <v>0</v>
      </c>
    </row>
    <row r="2008" spans="2:6" x14ac:dyDescent="0.25">
      <c r="B2008" s="261"/>
      <c r="C2008" s="256"/>
      <c r="D2008" s="257"/>
      <c r="E2008" s="258"/>
      <c r="F2008" s="259">
        <f t="shared" si="115"/>
        <v>0</v>
      </c>
    </row>
    <row r="2009" spans="2:6" x14ac:dyDescent="0.25">
      <c r="B2009" s="261"/>
      <c r="C2009" s="256"/>
      <c r="D2009" s="257"/>
      <c r="E2009" s="258"/>
      <c r="F2009" s="259">
        <f t="shared" si="115"/>
        <v>0</v>
      </c>
    </row>
    <row r="2010" spans="2:6" x14ac:dyDescent="0.25">
      <c r="B2010" s="261"/>
      <c r="C2010" s="256"/>
      <c r="D2010" s="257"/>
      <c r="E2010" s="258"/>
      <c r="F2010" s="259">
        <f t="shared" si="115"/>
        <v>0</v>
      </c>
    </row>
    <row r="2011" spans="2:6" x14ac:dyDescent="0.25">
      <c r="B2011" s="261"/>
      <c r="C2011" s="256"/>
      <c r="D2011" s="257"/>
      <c r="E2011" s="258"/>
      <c r="F2011" s="259">
        <f t="shared" si="115"/>
        <v>0</v>
      </c>
    </row>
    <row r="2012" spans="2:6" x14ac:dyDescent="0.25">
      <c r="B2012" s="262"/>
      <c r="C2012" s="263"/>
      <c r="D2012" s="264"/>
      <c r="E2012" s="265"/>
      <c r="F2012" s="259">
        <f t="shared" si="115"/>
        <v>0</v>
      </c>
    </row>
    <row r="2013" spans="2:6" ht="15.75" thickBot="1" x14ac:dyDescent="0.3">
      <c r="B2013" s="611" t="s">
        <v>286</v>
      </c>
      <c r="C2013" s="612"/>
      <c r="D2013" s="612"/>
      <c r="E2013" s="613"/>
      <c r="F2013" s="284">
        <f>SUM(F2001:F2012)</f>
        <v>662351.46369</v>
      </c>
    </row>
    <row r="2014" spans="2:6" x14ac:dyDescent="0.25">
      <c r="B2014" s="594" t="s">
        <v>277</v>
      </c>
      <c r="C2014" s="595"/>
      <c r="D2014" s="595"/>
      <c r="E2014" s="595"/>
      <c r="F2014" s="596"/>
    </row>
    <row r="2015" spans="2:6" x14ac:dyDescent="0.25">
      <c r="B2015" s="266" t="str">
        <f>CUADRILLAS!A92</f>
        <v>Cuad. Concreto (1of + 3ay)</v>
      </c>
      <c r="C2015" s="267" t="s">
        <v>110</v>
      </c>
      <c r="D2015" s="268">
        <v>0.5</v>
      </c>
      <c r="E2015" s="269">
        <f>CUADRILLAS!B92</f>
        <v>349423</v>
      </c>
      <c r="F2015" s="270">
        <f>D2015*E2015</f>
        <v>174711.5</v>
      </c>
    </row>
    <row r="2016" spans="2:6" x14ac:dyDescent="0.25">
      <c r="B2016" s="266"/>
      <c r="C2016" s="267"/>
      <c r="D2016" s="268"/>
      <c r="E2016" s="269"/>
      <c r="F2016" s="270">
        <f>D2016*E2016</f>
        <v>0</v>
      </c>
    </row>
    <row r="2017" spans="2:6" x14ac:dyDescent="0.25">
      <c r="B2017" s="266"/>
      <c r="C2017" s="267"/>
      <c r="D2017" s="268"/>
      <c r="E2017" s="271"/>
      <c r="F2017" s="270">
        <f>D2017*E2017</f>
        <v>0</v>
      </c>
    </row>
    <row r="2018" spans="2:6" x14ac:dyDescent="0.25">
      <c r="B2018" s="272"/>
      <c r="C2018" s="273"/>
      <c r="D2018" s="268"/>
      <c r="E2018" s="271"/>
      <c r="F2018" s="270">
        <f>D2018*E2018</f>
        <v>0</v>
      </c>
    </row>
    <row r="2019" spans="2:6" ht="15.75" thickBot="1" x14ac:dyDescent="0.3">
      <c r="B2019" s="611" t="s">
        <v>287</v>
      </c>
      <c r="C2019" s="612"/>
      <c r="D2019" s="612"/>
      <c r="E2019" s="613"/>
      <c r="F2019" s="274">
        <f>SUM(F2015:F2018)</f>
        <v>174711.5</v>
      </c>
    </row>
    <row r="2020" spans="2:6" x14ac:dyDescent="0.25">
      <c r="B2020" s="594" t="s">
        <v>278</v>
      </c>
      <c r="C2020" s="595"/>
      <c r="D2020" s="595"/>
      <c r="E2020" s="595"/>
      <c r="F2020" s="596"/>
    </row>
    <row r="2021" spans="2:6" x14ac:dyDescent="0.25">
      <c r="B2021" s="272" t="s">
        <v>279</v>
      </c>
      <c r="C2021" s="273" t="s">
        <v>280</v>
      </c>
      <c r="D2021" s="268">
        <v>0.05</v>
      </c>
      <c r="E2021" s="271">
        <f>F2019</f>
        <v>174711.5</v>
      </c>
      <c r="F2021" s="270">
        <f>D2021*E2021</f>
        <v>8735.5750000000007</v>
      </c>
    </row>
    <row r="2022" spans="2:6" ht="15.75" thickBot="1" x14ac:dyDescent="0.3">
      <c r="B2022" s="611" t="s">
        <v>288</v>
      </c>
      <c r="C2022" s="612"/>
      <c r="D2022" s="612"/>
      <c r="E2022" s="613"/>
      <c r="F2022" s="274">
        <f>SUM(F2021)</f>
        <v>8735.5750000000007</v>
      </c>
    </row>
    <row r="2023" spans="2:6" x14ac:dyDescent="0.25">
      <c r="B2023" s="594" t="s">
        <v>281</v>
      </c>
      <c r="C2023" s="595"/>
      <c r="D2023" s="595"/>
      <c r="E2023" s="595"/>
      <c r="F2023" s="596"/>
    </row>
    <row r="2024" spans="2:6" x14ac:dyDescent="0.25">
      <c r="B2024" s="272" t="str">
        <f>INSUMOS!B230</f>
        <v>Vibrador eléctrico de aguja a 110 V</v>
      </c>
      <c r="C2024" s="273" t="s">
        <v>110</v>
      </c>
      <c r="D2024" s="268">
        <v>0.4</v>
      </c>
      <c r="E2024" s="271">
        <f>INSUMOS!D230</f>
        <v>48433</v>
      </c>
      <c r="F2024" s="259">
        <f t="shared" ref="F2024:F2035" si="116">D2024*E2024</f>
        <v>19373.2</v>
      </c>
    </row>
    <row r="2025" spans="2:6" x14ac:dyDescent="0.25">
      <c r="B2025" s="272" t="str">
        <f>INSUMOS!$B$218</f>
        <v xml:space="preserve">Extensión eléctrica encauchetada (50m) </v>
      </c>
      <c r="C2025" s="273" t="s">
        <v>110</v>
      </c>
      <c r="D2025" s="268">
        <v>0.4</v>
      </c>
      <c r="E2025" s="271">
        <f>INSUMOS!$F$218</f>
        <v>9163</v>
      </c>
      <c r="F2025" s="259">
        <f t="shared" si="116"/>
        <v>3665.2000000000003</v>
      </c>
    </row>
    <row r="2026" spans="2:6" ht="22.5" x14ac:dyDescent="0.25">
      <c r="B2026" s="272" t="str">
        <f>INSUMOS!$B$220</f>
        <v>Can zunchado en madera común de 5,0cmx20cmx3,0m (alquiler). Incluye transporte.</v>
      </c>
      <c r="C2026" s="273" t="s">
        <v>110</v>
      </c>
      <c r="D2026" s="268">
        <v>7</v>
      </c>
      <c r="E2026" s="271">
        <f>INSUMOS!$D$220</f>
        <v>750</v>
      </c>
      <c r="F2026" s="259">
        <f t="shared" si="116"/>
        <v>5250</v>
      </c>
    </row>
    <row r="2027" spans="2:6" x14ac:dyDescent="0.25">
      <c r="B2027" s="272" t="str">
        <f>INSUMOS!$B$215</f>
        <v xml:space="preserve">Motobomba Eléctrica Sumergible 2" </v>
      </c>
      <c r="C2027" s="273" t="s">
        <v>110</v>
      </c>
      <c r="D2027" s="268">
        <v>0.4</v>
      </c>
      <c r="E2027" s="271">
        <f>INSUMOS!$F$215</f>
        <v>44506</v>
      </c>
      <c r="F2027" s="259">
        <f t="shared" si="116"/>
        <v>17802.400000000001</v>
      </c>
    </row>
    <row r="2028" spans="2:6" ht="22.5" x14ac:dyDescent="0.25">
      <c r="B2028" s="272" t="str">
        <f>INSUMOS!$B$217</f>
        <v>Manguera de succión con granada flexible 2" (26m) + transporte.</v>
      </c>
      <c r="C2028" s="273" t="s">
        <v>110</v>
      </c>
      <c r="D2028" s="268">
        <v>0.4</v>
      </c>
      <c r="E2028" s="271">
        <f>INSUMOS!$F$217</f>
        <v>34034</v>
      </c>
      <c r="F2028" s="259">
        <f t="shared" si="116"/>
        <v>13613.6</v>
      </c>
    </row>
    <row r="2029" spans="2:6" x14ac:dyDescent="0.25">
      <c r="B2029" s="272"/>
      <c r="C2029" s="273"/>
      <c r="D2029" s="268"/>
      <c r="E2029" s="271"/>
      <c r="F2029" s="259">
        <f t="shared" si="116"/>
        <v>0</v>
      </c>
    </row>
    <row r="2030" spans="2:6" x14ac:dyDescent="0.25">
      <c r="B2030" s="272"/>
      <c r="C2030" s="273"/>
      <c r="D2030" s="268"/>
      <c r="E2030" s="271"/>
      <c r="F2030" s="259">
        <f t="shared" si="116"/>
        <v>0</v>
      </c>
    </row>
    <row r="2031" spans="2:6" x14ac:dyDescent="0.25">
      <c r="B2031" s="272"/>
      <c r="C2031" s="273"/>
      <c r="D2031" s="268"/>
      <c r="E2031" s="271"/>
      <c r="F2031" s="259">
        <f t="shared" si="116"/>
        <v>0</v>
      </c>
    </row>
    <row r="2032" spans="2:6" x14ac:dyDescent="0.25">
      <c r="B2032" s="272"/>
      <c r="C2032" s="273"/>
      <c r="D2032" s="268"/>
      <c r="E2032" s="271"/>
      <c r="F2032" s="259">
        <f t="shared" si="116"/>
        <v>0</v>
      </c>
    </row>
    <row r="2033" spans="2:6" x14ac:dyDescent="0.25">
      <c r="B2033" s="272"/>
      <c r="C2033" s="273"/>
      <c r="D2033" s="268"/>
      <c r="E2033" s="271"/>
      <c r="F2033" s="259">
        <f t="shared" si="116"/>
        <v>0</v>
      </c>
    </row>
    <row r="2034" spans="2:6" x14ac:dyDescent="0.25">
      <c r="B2034" s="272"/>
      <c r="C2034" s="273"/>
      <c r="D2034" s="268"/>
      <c r="E2034" s="271"/>
      <c r="F2034" s="259">
        <f t="shared" si="116"/>
        <v>0</v>
      </c>
    </row>
    <row r="2035" spans="2:6" x14ac:dyDescent="0.25">
      <c r="B2035" s="272"/>
      <c r="C2035" s="273"/>
      <c r="D2035" s="268"/>
      <c r="E2035" s="271"/>
      <c r="F2035" s="259">
        <f t="shared" si="116"/>
        <v>0</v>
      </c>
    </row>
    <row r="2036" spans="2:6" ht="15.75" thickBot="1" x14ac:dyDescent="0.3">
      <c r="B2036" s="611" t="s">
        <v>289</v>
      </c>
      <c r="C2036" s="612"/>
      <c r="D2036" s="612"/>
      <c r="E2036" s="613"/>
      <c r="F2036" s="274">
        <f>SUM(F2024:F2035)</f>
        <v>59704.4</v>
      </c>
    </row>
    <row r="2037" spans="2:6" x14ac:dyDescent="0.25">
      <c r="B2037" s="594" t="s">
        <v>290</v>
      </c>
      <c r="C2037" s="595"/>
      <c r="D2037" s="595"/>
      <c r="E2037" s="595"/>
      <c r="F2037" s="596"/>
    </row>
    <row r="2038" spans="2:6" x14ac:dyDescent="0.25">
      <c r="B2038" s="272" t="s">
        <v>881</v>
      </c>
      <c r="C2038" s="273" t="s">
        <v>117</v>
      </c>
      <c r="D2038" s="275">
        <f>D2001*1.84</f>
        <v>1.9320000000000002</v>
      </c>
      <c r="E2038" s="276">
        <v>15000</v>
      </c>
      <c r="F2038" s="259">
        <f>D2038*E2038</f>
        <v>28980.000000000004</v>
      </c>
    </row>
    <row r="2039" spans="2:6" x14ac:dyDescent="0.25">
      <c r="B2039" s="277"/>
      <c r="C2039" s="278"/>
      <c r="D2039" s="279"/>
      <c r="E2039" s="280"/>
      <c r="F2039" s="259">
        <f>D2039*E2039</f>
        <v>0</v>
      </c>
    </row>
    <row r="2040" spans="2:6" x14ac:dyDescent="0.25">
      <c r="B2040" s="277"/>
      <c r="C2040" s="278"/>
      <c r="D2040" s="279"/>
      <c r="E2040" s="280"/>
      <c r="F2040" s="259">
        <f>D2040*E2040</f>
        <v>0</v>
      </c>
    </row>
    <row r="2041" spans="2:6" ht="15.75" thickBot="1" x14ac:dyDescent="0.3">
      <c r="B2041" s="611" t="s">
        <v>291</v>
      </c>
      <c r="C2041" s="612"/>
      <c r="D2041" s="612"/>
      <c r="E2041" s="613"/>
      <c r="F2041" s="285">
        <f>SUM(F2038:F2040)</f>
        <v>28980.000000000004</v>
      </c>
    </row>
    <row r="2042" spans="2:6" ht="15.75" thickBot="1" x14ac:dyDescent="0.3">
      <c r="B2042" s="600" t="s">
        <v>282</v>
      </c>
      <c r="C2042" s="601"/>
      <c r="D2042" s="601"/>
      <c r="E2042" s="601"/>
      <c r="F2042" s="286">
        <f>ROUND(F2013+F2019+F2022+F2036+F2041,0)</f>
        <v>934483</v>
      </c>
    </row>
    <row r="2043" spans="2:6" ht="15.75" thickBot="1" x14ac:dyDescent="0.3"/>
    <row r="2044" spans="2:6" ht="15.75" thickBot="1" x14ac:dyDescent="0.3">
      <c r="B2044" s="602" t="s">
        <v>276</v>
      </c>
      <c r="C2044" s="603"/>
      <c r="D2044" s="603"/>
      <c r="E2044" s="603"/>
      <c r="F2044" s="604"/>
    </row>
    <row r="2045" spans="2:6" ht="15.75" thickBot="1" x14ac:dyDescent="0.3">
      <c r="B2045" s="605" t="s">
        <v>104</v>
      </c>
      <c r="C2045" s="606"/>
      <c r="D2045" s="607"/>
      <c r="E2045" s="282" t="s">
        <v>105</v>
      </c>
      <c r="F2045" s="283" t="s">
        <v>103</v>
      </c>
    </row>
    <row r="2046" spans="2:6" ht="76.150000000000006" customHeight="1" thickBot="1" x14ac:dyDescent="0.3">
      <c r="B2046" s="608" t="str">
        <f>'PRESUPUESTO CALLE 58 SUR'!B57</f>
        <v>Instalación de GEOTEXTIL NT 2000 tipo Pavco para filtro o equivalente. Incluye suministro y transporte de los materiales, traslapos, costuras y todos los elementos necesarios para su correcta instalación y funcionamiento. Según diseño.</v>
      </c>
      <c r="C2046" s="609"/>
      <c r="D2046" s="610"/>
      <c r="E2046" s="449" t="str">
        <f>'PRESUPUESTO CALLE 58 SUR'!C57</f>
        <v>m2</v>
      </c>
      <c r="F2046" s="448">
        <f>'PRESUPUESTO CALLE 58 SUR'!A57</f>
        <v>9.1</v>
      </c>
    </row>
    <row r="2047" spans="2:6" ht="15.75" thickBot="1" x14ac:dyDescent="0.3">
      <c r="B2047" s="250" t="s">
        <v>8</v>
      </c>
      <c r="C2047" s="251" t="s">
        <v>9</v>
      </c>
      <c r="D2047" s="252" t="s">
        <v>10</v>
      </c>
      <c r="E2047" s="253" t="s">
        <v>283</v>
      </c>
      <c r="F2047" s="254" t="s">
        <v>284</v>
      </c>
    </row>
    <row r="2048" spans="2:6" x14ac:dyDescent="0.25">
      <c r="B2048" s="594" t="s">
        <v>285</v>
      </c>
      <c r="C2048" s="595"/>
      <c r="D2048" s="595"/>
      <c r="E2048" s="595"/>
      <c r="F2048" s="596"/>
    </row>
    <row r="2049" spans="2:6" ht="22.5" x14ac:dyDescent="0.25">
      <c r="B2049" s="255" t="str">
        <f>INSUMOS!B254</f>
        <v>Geotextil no tejido, NT 2000 Ancho del rollo: 3,8m. Incluye transporte del material.</v>
      </c>
      <c r="C2049" s="256" t="s">
        <v>115</v>
      </c>
      <c r="D2049" s="257">
        <v>1.2</v>
      </c>
      <c r="E2049" s="258">
        <f>INSUMOS!D254</f>
        <v>8358</v>
      </c>
      <c r="F2049" s="259">
        <f t="shared" ref="F2049:F2060" si="117">D2049*E2049</f>
        <v>10029.6</v>
      </c>
    </row>
    <row r="2050" spans="2:6" x14ac:dyDescent="0.25">
      <c r="B2050" s="260" t="str">
        <f>INSUMOS!B206</f>
        <v>Clavo de acero liso 1" (500gr).</v>
      </c>
      <c r="C2050" s="256" t="s">
        <v>576</v>
      </c>
      <c r="D2050" s="257">
        <v>0.01</v>
      </c>
      <c r="E2050" s="258">
        <f>INSUMOS!D206</f>
        <v>8900</v>
      </c>
      <c r="F2050" s="259">
        <f t="shared" si="117"/>
        <v>89</v>
      </c>
    </row>
    <row r="2051" spans="2:6" x14ac:dyDescent="0.25">
      <c r="B2051" s="261" t="str">
        <f>INSUMOS!B255</f>
        <v>Nylon</v>
      </c>
      <c r="C2051" s="256" t="s">
        <v>111</v>
      </c>
      <c r="D2051" s="257">
        <v>1</v>
      </c>
      <c r="E2051" s="258">
        <f>INSUMOS!D255</f>
        <v>170</v>
      </c>
      <c r="F2051" s="259">
        <f t="shared" si="117"/>
        <v>170</v>
      </c>
    </row>
    <row r="2052" spans="2:6" x14ac:dyDescent="0.25">
      <c r="B2052" s="261"/>
      <c r="C2052" s="256"/>
      <c r="D2052" s="257"/>
      <c r="E2052" s="258"/>
      <c r="F2052" s="259">
        <f t="shared" si="117"/>
        <v>0</v>
      </c>
    </row>
    <row r="2053" spans="2:6" x14ac:dyDescent="0.25">
      <c r="B2053" s="261"/>
      <c r="C2053" s="256"/>
      <c r="D2053" s="257"/>
      <c r="E2053" s="258"/>
      <c r="F2053" s="259">
        <f t="shared" si="117"/>
        <v>0</v>
      </c>
    </row>
    <row r="2054" spans="2:6" x14ac:dyDescent="0.25">
      <c r="B2054" s="261"/>
      <c r="C2054" s="256"/>
      <c r="D2054" s="257"/>
      <c r="E2054" s="258"/>
      <c r="F2054" s="259">
        <f t="shared" si="117"/>
        <v>0</v>
      </c>
    </row>
    <row r="2055" spans="2:6" x14ac:dyDescent="0.25">
      <c r="B2055" s="261"/>
      <c r="C2055" s="256"/>
      <c r="D2055" s="257"/>
      <c r="E2055" s="258"/>
      <c r="F2055" s="259">
        <f t="shared" si="117"/>
        <v>0</v>
      </c>
    </row>
    <row r="2056" spans="2:6" x14ac:dyDescent="0.25">
      <c r="B2056" s="261"/>
      <c r="C2056" s="256"/>
      <c r="D2056" s="257"/>
      <c r="E2056" s="258"/>
      <c r="F2056" s="259">
        <f t="shared" si="117"/>
        <v>0</v>
      </c>
    </row>
    <row r="2057" spans="2:6" x14ac:dyDescent="0.25">
      <c r="B2057" s="261"/>
      <c r="C2057" s="256"/>
      <c r="D2057" s="257"/>
      <c r="E2057" s="258"/>
      <c r="F2057" s="259">
        <f t="shared" si="117"/>
        <v>0</v>
      </c>
    </row>
    <row r="2058" spans="2:6" x14ac:dyDescent="0.25">
      <c r="B2058" s="261"/>
      <c r="C2058" s="256"/>
      <c r="D2058" s="257"/>
      <c r="E2058" s="258"/>
      <c r="F2058" s="259">
        <f t="shared" si="117"/>
        <v>0</v>
      </c>
    </row>
    <row r="2059" spans="2:6" x14ac:dyDescent="0.25">
      <c r="B2059" s="261"/>
      <c r="C2059" s="256"/>
      <c r="D2059" s="257"/>
      <c r="E2059" s="258"/>
      <c r="F2059" s="259">
        <f t="shared" si="117"/>
        <v>0</v>
      </c>
    </row>
    <row r="2060" spans="2:6" x14ac:dyDescent="0.25">
      <c r="B2060" s="262"/>
      <c r="C2060" s="263"/>
      <c r="D2060" s="264"/>
      <c r="E2060" s="265"/>
      <c r="F2060" s="259">
        <f t="shared" si="117"/>
        <v>0</v>
      </c>
    </row>
    <row r="2061" spans="2:6" ht="15.75" thickBot="1" x14ac:dyDescent="0.3">
      <c r="B2061" s="611" t="s">
        <v>286</v>
      </c>
      <c r="C2061" s="612"/>
      <c r="D2061" s="612"/>
      <c r="E2061" s="613"/>
      <c r="F2061" s="284">
        <f>SUM(F2049:F2060)</f>
        <v>10288.6</v>
      </c>
    </row>
    <row r="2062" spans="2:6" x14ac:dyDescent="0.25">
      <c r="B2062" s="594" t="s">
        <v>277</v>
      </c>
      <c r="C2062" s="595"/>
      <c r="D2062" s="595"/>
      <c r="E2062" s="595"/>
      <c r="F2062" s="596"/>
    </row>
    <row r="2063" spans="2:6" x14ac:dyDescent="0.25">
      <c r="B2063" s="266" t="str">
        <f>CUADRILLAS!A79</f>
        <v>Cuad. 1of + 1ay</v>
      </c>
      <c r="C2063" s="267" t="s">
        <v>110</v>
      </c>
      <c r="D2063" s="268">
        <v>0.01</v>
      </c>
      <c r="E2063" s="269">
        <f>CUADRILLAS!B79</f>
        <v>207851</v>
      </c>
      <c r="F2063" s="270">
        <f>D2063*E2063</f>
        <v>2078.5100000000002</v>
      </c>
    </row>
    <row r="2064" spans="2:6" x14ac:dyDescent="0.25">
      <c r="B2064" s="266"/>
      <c r="C2064" s="267"/>
      <c r="D2064" s="268"/>
      <c r="E2064" s="269"/>
      <c r="F2064" s="270">
        <f>D2064*E2064</f>
        <v>0</v>
      </c>
    </row>
    <row r="2065" spans="2:6" x14ac:dyDescent="0.25">
      <c r="B2065" s="266"/>
      <c r="C2065" s="267"/>
      <c r="D2065" s="268"/>
      <c r="E2065" s="271"/>
      <c r="F2065" s="270">
        <f>D2065*E2065</f>
        <v>0</v>
      </c>
    </row>
    <row r="2066" spans="2:6" x14ac:dyDescent="0.25">
      <c r="B2066" s="272"/>
      <c r="C2066" s="273"/>
      <c r="D2066" s="268"/>
      <c r="E2066" s="271"/>
      <c r="F2066" s="270">
        <f>D2066*E2066</f>
        <v>0</v>
      </c>
    </row>
    <row r="2067" spans="2:6" ht="15.75" thickBot="1" x14ac:dyDescent="0.3">
      <c r="B2067" s="611" t="s">
        <v>287</v>
      </c>
      <c r="C2067" s="612"/>
      <c r="D2067" s="612"/>
      <c r="E2067" s="613"/>
      <c r="F2067" s="274">
        <f>SUM(F2063:F2066)</f>
        <v>2078.5100000000002</v>
      </c>
    </row>
    <row r="2068" spans="2:6" x14ac:dyDescent="0.25">
      <c r="B2068" s="594" t="s">
        <v>278</v>
      </c>
      <c r="C2068" s="595"/>
      <c r="D2068" s="595"/>
      <c r="E2068" s="595"/>
      <c r="F2068" s="596"/>
    </row>
    <row r="2069" spans="2:6" x14ac:dyDescent="0.25">
      <c r="B2069" s="272" t="s">
        <v>279</v>
      </c>
      <c r="C2069" s="273" t="s">
        <v>280</v>
      </c>
      <c r="D2069" s="268">
        <v>0.05</v>
      </c>
      <c r="E2069" s="271">
        <f>F2067</f>
        <v>2078.5100000000002</v>
      </c>
      <c r="F2069" s="270">
        <f>D2069*E2069</f>
        <v>103.92550000000001</v>
      </c>
    </row>
    <row r="2070" spans="2:6" ht="15.75" thickBot="1" x14ac:dyDescent="0.3">
      <c r="B2070" s="611" t="s">
        <v>288</v>
      </c>
      <c r="C2070" s="612"/>
      <c r="D2070" s="612"/>
      <c r="E2070" s="613"/>
      <c r="F2070" s="274">
        <f>SUM(F2069)</f>
        <v>103.92550000000001</v>
      </c>
    </row>
    <row r="2071" spans="2:6" x14ac:dyDescent="0.25">
      <c r="B2071" s="594" t="s">
        <v>281</v>
      </c>
      <c r="C2071" s="595"/>
      <c r="D2071" s="595"/>
      <c r="E2071" s="595"/>
      <c r="F2071" s="596"/>
    </row>
    <row r="2072" spans="2:6" x14ac:dyDescent="0.25">
      <c r="B2072" s="272"/>
      <c r="C2072" s="273"/>
      <c r="D2072" s="268"/>
      <c r="E2072" s="271"/>
      <c r="F2072" s="259">
        <f t="shared" ref="F2072:F2083" si="118">D2072*E2072</f>
        <v>0</v>
      </c>
    </row>
    <row r="2073" spans="2:6" x14ac:dyDescent="0.25">
      <c r="B2073" s="272"/>
      <c r="C2073" s="273"/>
      <c r="D2073" s="268"/>
      <c r="E2073" s="271"/>
      <c r="F2073" s="259">
        <f t="shared" si="118"/>
        <v>0</v>
      </c>
    </row>
    <row r="2074" spans="2:6" x14ac:dyDescent="0.25">
      <c r="B2074" s="272"/>
      <c r="C2074" s="273"/>
      <c r="D2074" s="268"/>
      <c r="E2074" s="271"/>
      <c r="F2074" s="259">
        <f t="shared" si="118"/>
        <v>0</v>
      </c>
    </row>
    <row r="2075" spans="2:6" x14ac:dyDescent="0.25">
      <c r="B2075" s="272"/>
      <c r="C2075" s="273"/>
      <c r="D2075" s="268"/>
      <c r="E2075" s="271"/>
      <c r="F2075" s="259">
        <f t="shared" si="118"/>
        <v>0</v>
      </c>
    </row>
    <row r="2076" spans="2:6" x14ac:dyDescent="0.25">
      <c r="B2076" s="272"/>
      <c r="C2076" s="273"/>
      <c r="D2076" s="268"/>
      <c r="E2076" s="271"/>
      <c r="F2076" s="259">
        <f t="shared" si="118"/>
        <v>0</v>
      </c>
    </row>
    <row r="2077" spans="2:6" x14ac:dyDescent="0.25">
      <c r="B2077" s="272"/>
      <c r="C2077" s="273"/>
      <c r="D2077" s="268"/>
      <c r="E2077" s="271"/>
      <c r="F2077" s="259">
        <f t="shared" si="118"/>
        <v>0</v>
      </c>
    </row>
    <row r="2078" spans="2:6" x14ac:dyDescent="0.25">
      <c r="B2078" s="272"/>
      <c r="C2078" s="273"/>
      <c r="D2078" s="268"/>
      <c r="E2078" s="271"/>
      <c r="F2078" s="259">
        <f t="shared" si="118"/>
        <v>0</v>
      </c>
    </row>
    <row r="2079" spans="2:6" x14ac:dyDescent="0.25">
      <c r="B2079" s="272"/>
      <c r="C2079" s="273"/>
      <c r="D2079" s="268"/>
      <c r="E2079" s="271"/>
      <c r="F2079" s="259">
        <f t="shared" si="118"/>
        <v>0</v>
      </c>
    </row>
    <row r="2080" spans="2:6" x14ac:dyDescent="0.25">
      <c r="B2080" s="272"/>
      <c r="C2080" s="273"/>
      <c r="D2080" s="268"/>
      <c r="E2080" s="271"/>
      <c r="F2080" s="259">
        <f t="shared" si="118"/>
        <v>0</v>
      </c>
    </row>
    <row r="2081" spans="2:6" x14ac:dyDescent="0.25">
      <c r="B2081" s="272"/>
      <c r="C2081" s="273"/>
      <c r="D2081" s="268"/>
      <c r="E2081" s="271"/>
      <c r="F2081" s="259">
        <f t="shared" si="118"/>
        <v>0</v>
      </c>
    </row>
    <row r="2082" spans="2:6" x14ac:dyDescent="0.25">
      <c r="B2082" s="272"/>
      <c r="C2082" s="273"/>
      <c r="D2082" s="268"/>
      <c r="E2082" s="271"/>
      <c r="F2082" s="259">
        <f t="shared" si="118"/>
        <v>0</v>
      </c>
    </row>
    <row r="2083" spans="2:6" x14ac:dyDescent="0.25">
      <c r="B2083" s="272"/>
      <c r="C2083" s="273"/>
      <c r="D2083" s="268"/>
      <c r="E2083" s="271"/>
      <c r="F2083" s="259">
        <f t="shared" si="118"/>
        <v>0</v>
      </c>
    </row>
    <row r="2084" spans="2:6" ht="15.75" thickBot="1" x14ac:dyDescent="0.3">
      <c r="B2084" s="611" t="s">
        <v>289</v>
      </c>
      <c r="C2084" s="612"/>
      <c r="D2084" s="612"/>
      <c r="E2084" s="613"/>
      <c r="F2084" s="274">
        <f>SUM(F2072:F2083)</f>
        <v>0</v>
      </c>
    </row>
    <row r="2085" spans="2:6" x14ac:dyDescent="0.25">
      <c r="B2085" s="594" t="s">
        <v>290</v>
      </c>
      <c r="C2085" s="595"/>
      <c r="D2085" s="595"/>
      <c r="E2085" s="595"/>
      <c r="F2085" s="596"/>
    </row>
    <row r="2086" spans="2:6" x14ac:dyDescent="0.25">
      <c r="B2086" s="272"/>
      <c r="C2086" s="273"/>
      <c r="D2086" s="275"/>
      <c r="E2086" s="276"/>
      <c r="F2086" s="259">
        <f>D2086*E2086</f>
        <v>0</v>
      </c>
    </row>
    <row r="2087" spans="2:6" x14ac:dyDescent="0.25">
      <c r="B2087" s="277"/>
      <c r="C2087" s="278"/>
      <c r="D2087" s="279"/>
      <c r="E2087" s="280"/>
      <c r="F2087" s="259">
        <f>D2087*E2087</f>
        <v>0</v>
      </c>
    </row>
    <row r="2088" spans="2:6" x14ac:dyDescent="0.25">
      <c r="B2088" s="277"/>
      <c r="C2088" s="278"/>
      <c r="D2088" s="279"/>
      <c r="E2088" s="280"/>
      <c r="F2088" s="259">
        <f>D2088*E2088</f>
        <v>0</v>
      </c>
    </row>
    <row r="2089" spans="2:6" ht="15.75" thickBot="1" x14ac:dyDescent="0.3">
      <c r="B2089" s="611" t="s">
        <v>291</v>
      </c>
      <c r="C2089" s="612"/>
      <c r="D2089" s="612"/>
      <c r="E2089" s="613"/>
      <c r="F2089" s="285">
        <f>SUM(F2086:F2088)</f>
        <v>0</v>
      </c>
    </row>
    <row r="2090" spans="2:6" ht="15.75" thickBot="1" x14ac:dyDescent="0.3">
      <c r="B2090" s="600" t="s">
        <v>282</v>
      </c>
      <c r="C2090" s="601"/>
      <c r="D2090" s="601"/>
      <c r="E2090" s="601"/>
      <c r="F2090" s="286">
        <f>ROUND(F2061+F2067+F2070+F2084+F2089,0)</f>
        <v>12471</v>
      </c>
    </row>
    <row r="2091" spans="2:6" ht="15.75" thickBot="1" x14ac:dyDescent="0.3"/>
    <row r="2092" spans="2:6" ht="15.75" thickBot="1" x14ac:dyDescent="0.3">
      <c r="B2092" s="602" t="s">
        <v>276</v>
      </c>
      <c r="C2092" s="603"/>
      <c r="D2092" s="603"/>
      <c r="E2092" s="603"/>
      <c r="F2092" s="604"/>
    </row>
    <row r="2093" spans="2:6" ht="15.75" thickBot="1" x14ac:dyDescent="0.3">
      <c r="B2093" s="605" t="s">
        <v>104</v>
      </c>
      <c r="C2093" s="606"/>
      <c r="D2093" s="607"/>
      <c r="E2093" s="282" t="s">
        <v>105</v>
      </c>
      <c r="F2093" s="283" t="s">
        <v>103</v>
      </c>
    </row>
    <row r="2094" spans="2:6" ht="78" customHeight="1" thickBot="1" x14ac:dyDescent="0.3">
      <c r="B2094" s="608" t="str">
        <f>'PRESUPUESTO CALLE 58 SUR'!B58</f>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 INCLUYE SOBREACARREO.</v>
      </c>
      <c r="C2094" s="609"/>
      <c r="D2094" s="610"/>
      <c r="E2094" s="449" t="str">
        <f>'PRESUPUESTO CALLE 58 SUR'!C58</f>
        <v>m3</v>
      </c>
      <c r="F2094" s="448">
        <f>'PRESUPUESTO CALLE 58 SUR'!A58</f>
        <v>9.1999999999999993</v>
      </c>
    </row>
    <row r="2095" spans="2:6" ht="15.75" thickBot="1" x14ac:dyDescent="0.3">
      <c r="B2095" s="250" t="s">
        <v>8</v>
      </c>
      <c r="C2095" s="251" t="s">
        <v>9</v>
      </c>
      <c r="D2095" s="252" t="s">
        <v>10</v>
      </c>
      <c r="E2095" s="253" t="s">
        <v>283</v>
      </c>
      <c r="F2095" s="254" t="s">
        <v>284</v>
      </c>
    </row>
    <row r="2096" spans="2:6" x14ac:dyDescent="0.25">
      <c r="B2096" s="594" t="s">
        <v>285</v>
      </c>
      <c r="C2096" s="595"/>
      <c r="D2096" s="595"/>
      <c r="E2096" s="595"/>
      <c r="F2096" s="596"/>
    </row>
    <row r="2097" spans="2:6" x14ac:dyDescent="0.25">
      <c r="B2097" s="255" t="str">
        <f>SUBANALISIS!H8</f>
        <v>Triturado 1" - 1/2"</v>
      </c>
      <c r="C2097" s="256" t="s">
        <v>117</v>
      </c>
      <c r="D2097" s="257">
        <v>1.1499999999999999</v>
      </c>
      <c r="E2097" s="258">
        <f>SUBANALISIS!I7</f>
        <v>80967.599999999991</v>
      </c>
      <c r="F2097" s="259">
        <f t="shared" ref="F2097:F2108" si="119">D2097*E2097</f>
        <v>93112.739999999976</v>
      </c>
    </row>
    <row r="2098" spans="2:6" x14ac:dyDescent="0.25">
      <c r="B2098" s="260" t="str">
        <f>INSUMOS!B245</f>
        <v>Telera 90x135 + Transporte</v>
      </c>
      <c r="C2098" s="256" t="s">
        <v>17</v>
      </c>
      <c r="D2098" s="257">
        <v>0.3</v>
      </c>
      <c r="E2098" s="258">
        <f>INSUMOS!D245</f>
        <v>30345</v>
      </c>
      <c r="F2098" s="259">
        <f t="shared" si="119"/>
        <v>9103.5</v>
      </c>
    </row>
    <row r="2099" spans="2:6" x14ac:dyDescent="0.25">
      <c r="B2099" s="261" t="str">
        <f>INSUMOS!B204</f>
        <v>Taco de madera de 3.0 m</v>
      </c>
      <c r="C2099" s="256" t="s">
        <v>17</v>
      </c>
      <c r="D2099" s="257">
        <v>0.1</v>
      </c>
      <c r="E2099" s="258">
        <f>INSUMOS!D204</f>
        <v>9482</v>
      </c>
      <c r="F2099" s="259">
        <f t="shared" si="119"/>
        <v>948.2</v>
      </c>
    </row>
    <row r="2100" spans="2:6" x14ac:dyDescent="0.25">
      <c r="B2100" s="261" t="str">
        <f>INSUMOS!B205</f>
        <v>Clavo común x CAJA por 500 gr</v>
      </c>
      <c r="C2100" s="256" t="s">
        <v>576</v>
      </c>
      <c r="D2100" s="257">
        <v>0.1</v>
      </c>
      <c r="E2100" s="258">
        <f>INSUMOS!E205</f>
        <v>5000</v>
      </c>
      <c r="F2100" s="259">
        <f t="shared" si="119"/>
        <v>500</v>
      </c>
    </row>
    <row r="2101" spans="2:6" x14ac:dyDescent="0.25">
      <c r="B2101" s="261"/>
      <c r="C2101" s="256"/>
      <c r="D2101" s="257"/>
      <c r="E2101" s="258"/>
      <c r="F2101" s="259">
        <f t="shared" si="119"/>
        <v>0</v>
      </c>
    </row>
    <row r="2102" spans="2:6" x14ac:dyDescent="0.25">
      <c r="B2102" s="261"/>
      <c r="C2102" s="256"/>
      <c r="D2102" s="257"/>
      <c r="E2102" s="258"/>
      <c r="F2102" s="259">
        <f t="shared" si="119"/>
        <v>0</v>
      </c>
    </row>
    <row r="2103" spans="2:6" x14ac:dyDescent="0.25">
      <c r="B2103" s="261"/>
      <c r="C2103" s="256"/>
      <c r="D2103" s="257"/>
      <c r="E2103" s="258"/>
      <c r="F2103" s="259">
        <f t="shared" si="119"/>
        <v>0</v>
      </c>
    </row>
    <row r="2104" spans="2:6" x14ac:dyDescent="0.25">
      <c r="B2104" s="261"/>
      <c r="C2104" s="256"/>
      <c r="D2104" s="257"/>
      <c r="E2104" s="258"/>
      <c r="F2104" s="259">
        <f t="shared" si="119"/>
        <v>0</v>
      </c>
    </row>
    <row r="2105" spans="2:6" x14ac:dyDescent="0.25">
      <c r="B2105" s="261"/>
      <c r="C2105" s="256"/>
      <c r="D2105" s="257"/>
      <c r="E2105" s="258"/>
      <c r="F2105" s="259">
        <f t="shared" si="119"/>
        <v>0</v>
      </c>
    </row>
    <row r="2106" spans="2:6" x14ac:dyDescent="0.25">
      <c r="B2106" s="261"/>
      <c r="C2106" s="256"/>
      <c r="D2106" s="257"/>
      <c r="E2106" s="258"/>
      <c r="F2106" s="259">
        <f t="shared" si="119"/>
        <v>0</v>
      </c>
    </row>
    <row r="2107" spans="2:6" x14ac:dyDescent="0.25">
      <c r="B2107" s="261"/>
      <c r="C2107" s="256"/>
      <c r="D2107" s="257"/>
      <c r="E2107" s="258"/>
      <c r="F2107" s="259">
        <f t="shared" si="119"/>
        <v>0</v>
      </c>
    </row>
    <row r="2108" spans="2:6" x14ac:dyDescent="0.25">
      <c r="B2108" s="262"/>
      <c r="C2108" s="263"/>
      <c r="D2108" s="264"/>
      <c r="E2108" s="265"/>
      <c r="F2108" s="259">
        <f t="shared" si="119"/>
        <v>0</v>
      </c>
    </row>
    <row r="2109" spans="2:6" ht="15.75" thickBot="1" x14ac:dyDescent="0.3">
      <c r="B2109" s="611" t="s">
        <v>286</v>
      </c>
      <c r="C2109" s="612"/>
      <c r="D2109" s="612"/>
      <c r="E2109" s="613"/>
      <c r="F2109" s="284">
        <f>SUM(F2097:F2108)</f>
        <v>103664.43999999997</v>
      </c>
    </row>
    <row r="2110" spans="2:6" x14ac:dyDescent="0.25">
      <c r="B2110" s="594" t="s">
        <v>277</v>
      </c>
      <c r="C2110" s="595"/>
      <c r="D2110" s="595"/>
      <c r="E2110" s="595"/>
      <c r="F2110" s="596"/>
    </row>
    <row r="2111" spans="2:6" x14ac:dyDescent="0.25">
      <c r="B2111" s="266" t="str">
        <f>CUADRILLAS!A79</f>
        <v>Cuad. 1of + 1ay</v>
      </c>
      <c r="C2111" s="267" t="s">
        <v>373</v>
      </c>
      <c r="D2111" s="268">
        <v>0.1</v>
      </c>
      <c r="E2111" s="269">
        <f>CUADRILLAS!B79</f>
        <v>207851</v>
      </c>
      <c r="F2111" s="270">
        <f>D2111*E2111</f>
        <v>20785.100000000002</v>
      </c>
    </row>
    <row r="2112" spans="2:6" x14ac:dyDescent="0.25">
      <c r="B2112" s="266"/>
      <c r="C2112" s="267"/>
      <c r="D2112" s="268"/>
      <c r="E2112" s="269"/>
      <c r="F2112" s="270">
        <f>D2112*E2112</f>
        <v>0</v>
      </c>
    </row>
    <row r="2113" spans="2:6" x14ac:dyDescent="0.25">
      <c r="B2113" s="266"/>
      <c r="C2113" s="267"/>
      <c r="D2113" s="268"/>
      <c r="E2113" s="271"/>
      <c r="F2113" s="270">
        <f>D2113*E2113</f>
        <v>0</v>
      </c>
    </row>
    <row r="2114" spans="2:6" x14ac:dyDescent="0.25">
      <c r="B2114" s="272"/>
      <c r="C2114" s="273"/>
      <c r="D2114" s="268"/>
      <c r="E2114" s="271"/>
      <c r="F2114" s="270">
        <f>D2114*E2114</f>
        <v>0</v>
      </c>
    </row>
    <row r="2115" spans="2:6" ht="15.75" thickBot="1" x14ac:dyDescent="0.3">
      <c r="B2115" s="611" t="s">
        <v>287</v>
      </c>
      <c r="C2115" s="612"/>
      <c r="D2115" s="612"/>
      <c r="E2115" s="613"/>
      <c r="F2115" s="274">
        <f>SUM(F2111:F2114)</f>
        <v>20785.100000000002</v>
      </c>
    </row>
    <row r="2116" spans="2:6" x14ac:dyDescent="0.25">
      <c r="B2116" s="594" t="s">
        <v>278</v>
      </c>
      <c r="C2116" s="595"/>
      <c r="D2116" s="595"/>
      <c r="E2116" s="595"/>
      <c r="F2116" s="596"/>
    </row>
    <row r="2117" spans="2:6" x14ac:dyDescent="0.25">
      <c r="B2117" s="272" t="s">
        <v>279</v>
      </c>
      <c r="C2117" s="273" t="s">
        <v>280</v>
      </c>
      <c r="D2117" s="268">
        <v>0.05</v>
      </c>
      <c r="E2117" s="271">
        <f>F2115</f>
        <v>20785.100000000002</v>
      </c>
      <c r="F2117" s="270">
        <f>D2117*E2117</f>
        <v>1039.2550000000001</v>
      </c>
    </row>
    <row r="2118" spans="2:6" ht="15.75" thickBot="1" x14ac:dyDescent="0.3">
      <c r="B2118" s="611" t="s">
        <v>288</v>
      </c>
      <c r="C2118" s="612"/>
      <c r="D2118" s="612"/>
      <c r="E2118" s="613"/>
      <c r="F2118" s="274">
        <f>SUM(F2117)</f>
        <v>1039.2550000000001</v>
      </c>
    </row>
    <row r="2119" spans="2:6" x14ac:dyDescent="0.25">
      <c r="B2119" s="594" t="s">
        <v>281</v>
      </c>
      <c r="C2119" s="595"/>
      <c r="D2119" s="595"/>
      <c r="E2119" s="595"/>
      <c r="F2119" s="596"/>
    </row>
    <row r="2120" spans="2:6" x14ac:dyDescent="0.25">
      <c r="B2120" s="272"/>
      <c r="C2120" s="273"/>
      <c r="D2120" s="268"/>
      <c r="E2120" s="271"/>
      <c r="F2120" s="259">
        <f t="shared" ref="F2120:F2131" si="120">D2120*E2120</f>
        <v>0</v>
      </c>
    </row>
    <row r="2121" spans="2:6" x14ac:dyDescent="0.25">
      <c r="B2121" s="272"/>
      <c r="C2121" s="273"/>
      <c r="D2121" s="268"/>
      <c r="E2121" s="271"/>
      <c r="F2121" s="259">
        <f t="shared" si="120"/>
        <v>0</v>
      </c>
    </row>
    <row r="2122" spans="2:6" x14ac:dyDescent="0.25">
      <c r="B2122" s="272"/>
      <c r="C2122" s="273"/>
      <c r="D2122" s="268"/>
      <c r="E2122" s="271"/>
      <c r="F2122" s="259">
        <f t="shared" si="120"/>
        <v>0</v>
      </c>
    </row>
    <row r="2123" spans="2:6" x14ac:dyDescent="0.25">
      <c r="B2123" s="272"/>
      <c r="C2123" s="273"/>
      <c r="D2123" s="268"/>
      <c r="E2123" s="271"/>
      <c r="F2123" s="259">
        <f t="shared" si="120"/>
        <v>0</v>
      </c>
    </row>
    <row r="2124" spans="2:6" x14ac:dyDescent="0.25">
      <c r="B2124" s="272"/>
      <c r="C2124" s="273"/>
      <c r="D2124" s="268"/>
      <c r="E2124" s="271"/>
      <c r="F2124" s="259">
        <f t="shared" si="120"/>
        <v>0</v>
      </c>
    </row>
    <row r="2125" spans="2:6" x14ac:dyDescent="0.25">
      <c r="B2125" s="272"/>
      <c r="C2125" s="273"/>
      <c r="D2125" s="268"/>
      <c r="E2125" s="271"/>
      <c r="F2125" s="259">
        <f t="shared" si="120"/>
        <v>0</v>
      </c>
    </row>
    <row r="2126" spans="2:6" x14ac:dyDescent="0.25">
      <c r="B2126" s="272"/>
      <c r="C2126" s="273"/>
      <c r="D2126" s="268"/>
      <c r="E2126" s="271"/>
      <c r="F2126" s="259">
        <f t="shared" si="120"/>
        <v>0</v>
      </c>
    </row>
    <row r="2127" spans="2:6" x14ac:dyDescent="0.25">
      <c r="B2127" s="272"/>
      <c r="C2127" s="273"/>
      <c r="D2127" s="268"/>
      <c r="E2127" s="271"/>
      <c r="F2127" s="259">
        <f t="shared" si="120"/>
        <v>0</v>
      </c>
    </row>
    <row r="2128" spans="2:6" x14ac:dyDescent="0.25">
      <c r="B2128" s="272"/>
      <c r="C2128" s="273"/>
      <c r="D2128" s="268"/>
      <c r="E2128" s="271"/>
      <c r="F2128" s="259">
        <f t="shared" si="120"/>
        <v>0</v>
      </c>
    </row>
    <row r="2129" spans="2:6" x14ac:dyDescent="0.25">
      <c r="B2129" s="272"/>
      <c r="C2129" s="273"/>
      <c r="D2129" s="268"/>
      <c r="E2129" s="271"/>
      <c r="F2129" s="259">
        <f t="shared" si="120"/>
        <v>0</v>
      </c>
    </row>
    <row r="2130" spans="2:6" x14ac:dyDescent="0.25">
      <c r="B2130" s="272"/>
      <c r="C2130" s="273"/>
      <c r="D2130" s="268"/>
      <c r="E2130" s="271"/>
      <c r="F2130" s="259">
        <f t="shared" si="120"/>
        <v>0</v>
      </c>
    </row>
    <row r="2131" spans="2:6" x14ac:dyDescent="0.25">
      <c r="B2131" s="272"/>
      <c r="C2131" s="273"/>
      <c r="D2131" s="268"/>
      <c r="E2131" s="271"/>
      <c r="F2131" s="259">
        <f t="shared" si="120"/>
        <v>0</v>
      </c>
    </row>
    <row r="2132" spans="2:6" ht="15.75" thickBot="1" x14ac:dyDescent="0.3">
      <c r="B2132" s="611" t="s">
        <v>289</v>
      </c>
      <c r="C2132" s="612"/>
      <c r="D2132" s="612"/>
      <c r="E2132" s="613"/>
      <c r="F2132" s="274">
        <f>SUM(F2120:F2131)</f>
        <v>0</v>
      </c>
    </row>
    <row r="2133" spans="2:6" x14ac:dyDescent="0.25">
      <c r="B2133" s="594" t="s">
        <v>290</v>
      </c>
      <c r="C2133" s="595"/>
      <c r="D2133" s="595"/>
      <c r="E2133" s="595"/>
      <c r="F2133" s="596"/>
    </row>
    <row r="2134" spans="2:6" x14ac:dyDescent="0.25">
      <c r="B2134" s="272" t="s">
        <v>1007</v>
      </c>
      <c r="C2134" s="273" t="s">
        <v>117</v>
      </c>
      <c r="D2134" s="275">
        <f>D2097</f>
        <v>1.1499999999999999</v>
      </c>
      <c r="E2134" s="276">
        <f>SUBANALISIS!J1</f>
        <v>72000</v>
      </c>
      <c r="F2134" s="259">
        <f>D2134*E2134</f>
        <v>82800</v>
      </c>
    </row>
    <row r="2135" spans="2:6" x14ac:dyDescent="0.25">
      <c r="B2135" s="277"/>
      <c r="C2135" s="278"/>
      <c r="D2135" s="279"/>
      <c r="E2135" s="280"/>
      <c r="F2135" s="259">
        <f>D2135*E2135</f>
        <v>0</v>
      </c>
    </row>
    <row r="2136" spans="2:6" x14ac:dyDescent="0.25">
      <c r="B2136" s="277"/>
      <c r="C2136" s="278"/>
      <c r="D2136" s="279"/>
      <c r="E2136" s="280"/>
      <c r="F2136" s="259">
        <f>D2136*E2136</f>
        <v>0</v>
      </c>
    </row>
    <row r="2137" spans="2:6" ht="15.75" thickBot="1" x14ac:dyDescent="0.3">
      <c r="B2137" s="611" t="s">
        <v>291</v>
      </c>
      <c r="C2137" s="612"/>
      <c r="D2137" s="612"/>
      <c r="E2137" s="613"/>
      <c r="F2137" s="285">
        <f>SUM(F2134:F2136)</f>
        <v>82800</v>
      </c>
    </row>
    <row r="2138" spans="2:6" ht="15.75" thickBot="1" x14ac:dyDescent="0.3">
      <c r="B2138" s="600" t="s">
        <v>282</v>
      </c>
      <c r="C2138" s="601"/>
      <c r="D2138" s="601"/>
      <c r="E2138" s="601"/>
      <c r="F2138" s="286">
        <f>ROUND(F2109+F2115+F2118+F2132+F2137,0)</f>
        <v>208289</v>
      </c>
    </row>
    <row r="2139" spans="2:6" ht="15.75" thickBot="1" x14ac:dyDescent="0.3"/>
    <row r="2140" spans="2:6" ht="15.75" thickBot="1" x14ac:dyDescent="0.3">
      <c r="B2140" s="602" t="s">
        <v>276</v>
      </c>
      <c r="C2140" s="603"/>
      <c r="D2140" s="603"/>
      <c r="E2140" s="603"/>
      <c r="F2140" s="604"/>
    </row>
    <row r="2141" spans="2:6" ht="15.75" thickBot="1" x14ac:dyDescent="0.3">
      <c r="B2141" s="605" t="s">
        <v>104</v>
      </c>
      <c r="C2141" s="606"/>
      <c r="D2141" s="607"/>
      <c r="E2141" s="282" t="s">
        <v>105</v>
      </c>
      <c r="F2141" s="283" t="s">
        <v>103</v>
      </c>
    </row>
    <row r="2142" spans="2:6" ht="63.6" customHeight="1" thickBot="1" x14ac:dyDescent="0.3">
      <c r="B2142" s="608" t="str">
        <f>'PRESUPUESTO CALLE 58 SUR'!B59</f>
        <v>Instalación de TUBERÍA DE FILTRO PERFORADA DE Ø=4" para drenajes (filtro). Incluye suministro, transporte y colocación de tubería, las respectivas conexiones y accesorios y todo lo necesario para su correcta instalación y funcionamiento.</v>
      </c>
      <c r="C2142" s="609"/>
      <c r="D2142" s="610"/>
      <c r="E2142" s="449" t="str">
        <f>'PRESUPUESTO CALLE 58 SUR'!C59</f>
        <v>m</v>
      </c>
      <c r="F2142" s="448">
        <f>'PRESUPUESTO CALLE 58 SUR'!A59</f>
        <v>9.3000000000000007</v>
      </c>
    </row>
    <row r="2143" spans="2:6" ht="15.75" thickBot="1" x14ac:dyDescent="0.3">
      <c r="B2143" s="250" t="s">
        <v>8</v>
      </c>
      <c r="C2143" s="251" t="s">
        <v>9</v>
      </c>
      <c r="D2143" s="252" t="s">
        <v>10</v>
      </c>
      <c r="E2143" s="253" t="s">
        <v>283</v>
      </c>
      <c r="F2143" s="254" t="s">
        <v>284</v>
      </c>
    </row>
    <row r="2144" spans="2:6" x14ac:dyDescent="0.25">
      <c r="B2144" s="594" t="s">
        <v>285</v>
      </c>
      <c r="C2144" s="595"/>
      <c r="D2144" s="595"/>
      <c r="E2144" s="595"/>
      <c r="F2144" s="596"/>
    </row>
    <row r="2145" spans="2:6" ht="22.5" x14ac:dyDescent="0.25">
      <c r="B2145" s="255" t="str">
        <f>INSUMOS!B170</f>
        <v>Tuebería drenaje corrugada con filtro- m. Ø=100 mm</v>
      </c>
      <c r="C2145" s="256" t="s">
        <v>111</v>
      </c>
      <c r="D2145" s="257">
        <v>1.05</v>
      </c>
      <c r="E2145" s="258">
        <f>INSUMOS!D170</f>
        <v>30532.43</v>
      </c>
      <c r="F2145" s="259">
        <f t="shared" ref="F2145:F2156" si="121">D2145*E2145</f>
        <v>32059.051500000001</v>
      </c>
    </row>
    <row r="2146" spans="2:6" x14ac:dyDescent="0.25">
      <c r="B2146" s="260" t="str">
        <f>INSUMOS!B141</f>
        <v>Unión PVC-FILTRO 4" + transporte</v>
      </c>
      <c r="C2146" s="256" t="s">
        <v>17</v>
      </c>
      <c r="D2146" s="257">
        <v>6.6669999999999993E-2</v>
      </c>
      <c r="E2146" s="258">
        <f>INSUMOS!D141</f>
        <v>10831.58</v>
      </c>
      <c r="F2146" s="259">
        <f t="shared" si="121"/>
        <v>722.1414385999999</v>
      </c>
    </row>
    <row r="2147" spans="2:6" x14ac:dyDescent="0.25">
      <c r="B2147" s="261" t="str">
        <f>INSUMOS!B142</f>
        <v>Tapón PVC - FILTRO 4" + transporte</v>
      </c>
      <c r="C2147" s="256" t="s">
        <v>17</v>
      </c>
      <c r="D2147" s="257">
        <v>6.6699999999999995E-2</v>
      </c>
      <c r="E2147" s="258">
        <f>INSUMOS!D142</f>
        <v>5677.57</v>
      </c>
      <c r="F2147" s="259">
        <f t="shared" si="121"/>
        <v>378.69391899999994</v>
      </c>
    </row>
    <row r="2148" spans="2:6" x14ac:dyDescent="0.25">
      <c r="B2148" s="261" t="str">
        <f>INSUMOS!B139</f>
        <v>Limpiador Removedor PVC X 1/4 de galón.</v>
      </c>
      <c r="C2148" s="256" t="s">
        <v>17</v>
      </c>
      <c r="D2148" s="257">
        <v>3.3400000000000001E-3</v>
      </c>
      <c r="E2148" s="258">
        <f>INSUMOS!D139</f>
        <v>64921.259999999995</v>
      </c>
      <c r="F2148" s="259">
        <f t="shared" si="121"/>
        <v>216.8370084</v>
      </c>
    </row>
    <row r="2149" spans="2:6" x14ac:dyDescent="0.25">
      <c r="B2149" s="261" t="str">
        <f>INSUMOS!B140</f>
        <v>Soldadura PVC (Unión simple) 1/4</v>
      </c>
      <c r="C2149" s="256" t="s">
        <v>17</v>
      </c>
      <c r="D2149" s="257">
        <v>5.5999999999999999E-3</v>
      </c>
      <c r="E2149" s="258">
        <f>INSUMOS!D140</f>
        <v>129271.7</v>
      </c>
      <c r="F2149" s="259">
        <f t="shared" si="121"/>
        <v>723.92151999999999</v>
      </c>
    </row>
    <row r="2150" spans="2:6" x14ac:dyDescent="0.25">
      <c r="B2150" s="261"/>
      <c r="C2150" s="256"/>
      <c r="D2150" s="257"/>
      <c r="E2150" s="258"/>
      <c r="F2150" s="259">
        <f t="shared" si="121"/>
        <v>0</v>
      </c>
    </row>
    <row r="2151" spans="2:6" x14ac:dyDescent="0.25">
      <c r="B2151" s="261"/>
      <c r="C2151" s="256"/>
      <c r="D2151" s="257"/>
      <c r="E2151" s="258"/>
      <c r="F2151" s="259">
        <f t="shared" si="121"/>
        <v>0</v>
      </c>
    </row>
    <row r="2152" spans="2:6" x14ac:dyDescent="0.25">
      <c r="B2152" s="261"/>
      <c r="C2152" s="256"/>
      <c r="D2152" s="257"/>
      <c r="E2152" s="258"/>
      <c r="F2152" s="259">
        <f t="shared" si="121"/>
        <v>0</v>
      </c>
    </row>
    <row r="2153" spans="2:6" x14ac:dyDescent="0.25">
      <c r="B2153" s="261"/>
      <c r="C2153" s="256"/>
      <c r="D2153" s="257"/>
      <c r="E2153" s="258"/>
      <c r="F2153" s="259">
        <f t="shared" si="121"/>
        <v>0</v>
      </c>
    </row>
    <row r="2154" spans="2:6" x14ac:dyDescent="0.25">
      <c r="B2154" s="261"/>
      <c r="C2154" s="256"/>
      <c r="D2154" s="257"/>
      <c r="E2154" s="258"/>
      <c r="F2154" s="259">
        <f t="shared" si="121"/>
        <v>0</v>
      </c>
    </row>
    <row r="2155" spans="2:6" x14ac:dyDescent="0.25">
      <c r="B2155" s="261"/>
      <c r="C2155" s="256"/>
      <c r="D2155" s="257"/>
      <c r="E2155" s="258"/>
      <c r="F2155" s="259">
        <f t="shared" si="121"/>
        <v>0</v>
      </c>
    </row>
    <row r="2156" spans="2:6" x14ac:dyDescent="0.25">
      <c r="B2156" s="262"/>
      <c r="C2156" s="263"/>
      <c r="D2156" s="264"/>
      <c r="E2156" s="265"/>
      <c r="F2156" s="259">
        <f t="shared" si="121"/>
        <v>0</v>
      </c>
    </row>
    <row r="2157" spans="2:6" ht="15.75" thickBot="1" x14ac:dyDescent="0.3">
      <c r="B2157" s="611" t="s">
        <v>286</v>
      </c>
      <c r="C2157" s="612"/>
      <c r="D2157" s="612"/>
      <c r="E2157" s="613"/>
      <c r="F2157" s="284">
        <f>SUM(F2145:F2156)</f>
        <v>34100.645386000004</v>
      </c>
    </row>
    <row r="2158" spans="2:6" x14ac:dyDescent="0.25">
      <c r="B2158" s="594" t="s">
        <v>277</v>
      </c>
      <c r="C2158" s="595"/>
      <c r="D2158" s="595"/>
      <c r="E2158" s="595"/>
      <c r="F2158" s="596"/>
    </row>
    <row r="2159" spans="2:6" x14ac:dyDescent="0.25">
      <c r="B2159" s="266" t="str">
        <f>CUADRILLAS!A76</f>
        <v>Cuad. Hidrosa. (1ofH+1ayH)</v>
      </c>
      <c r="C2159" s="267" t="s">
        <v>110</v>
      </c>
      <c r="D2159" s="268">
        <v>0.04</v>
      </c>
      <c r="E2159" s="269">
        <f>CUADRILLAS!B76</f>
        <v>213286</v>
      </c>
      <c r="F2159" s="270">
        <f>D2159*E2159</f>
        <v>8531.44</v>
      </c>
    </row>
    <row r="2160" spans="2:6" x14ac:dyDescent="0.25">
      <c r="B2160" s="266"/>
      <c r="C2160" s="267"/>
      <c r="D2160" s="268"/>
      <c r="E2160" s="269"/>
      <c r="F2160" s="270">
        <f>D2160*E2160</f>
        <v>0</v>
      </c>
    </row>
    <row r="2161" spans="2:6" x14ac:dyDescent="0.25">
      <c r="B2161" s="266"/>
      <c r="C2161" s="267"/>
      <c r="D2161" s="268"/>
      <c r="E2161" s="271"/>
      <c r="F2161" s="270">
        <f>D2161*E2161</f>
        <v>0</v>
      </c>
    </row>
    <row r="2162" spans="2:6" x14ac:dyDescent="0.25">
      <c r="B2162" s="272"/>
      <c r="C2162" s="273"/>
      <c r="D2162" s="268"/>
      <c r="E2162" s="271"/>
      <c r="F2162" s="270">
        <f>D2162*E2162</f>
        <v>0</v>
      </c>
    </row>
    <row r="2163" spans="2:6" ht="15.75" thickBot="1" x14ac:dyDescent="0.3">
      <c r="B2163" s="611" t="s">
        <v>287</v>
      </c>
      <c r="C2163" s="612"/>
      <c r="D2163" s="612"/>
      <c r="E2163" s="613"/>
      <c r="F2163" s="274">
        <f>SUM(F2159:F2162)</f>
        <v>8531.44</v>
      </c>
    </row>
    <row r="2164" spans="2:6" x14ac:dyDescent="0.25">
      <c r="B2164" s="594" t="s">
        <v>278</v>
      </c>
      <c r="C2164" s="595"/>
      <c r="D2164" s="595"/>
      <c r="E2164" s="595"/>
      <c r="F2164" s="596"/>
    </row>
    <row r="2165" spans="2:6" x14ac:dyDescent="0.25">
      <c r="B2165" s="272" t="s">
        <v>279</v>
      </c>
      <c r="C2165" s="273" t="s">
        <v>280</v>
      </c>
      <c r="D2165" s="268">
        <v>0.05</v>
      </c>
      <c r="E2165" s="271">
        <f>F2163</f>
        <v>8531.44</v>
      </c>
      <c r="F2165" s="270">
        <f>D2165*E2165</f>
        <v>426.57200000000006</v>
      </c>
    </row>
    <row r="2166" spans="2:6" ht="15.75" thickBot="1" x14ac:dyDescent="0.3">
      <c r="B2166" s="611" t="s">
        <v>288</v>
      </c>
      <c r="C2166" s="612"/>
      <c r="D2166" s="612"/>
      <c r="E2166" s="613"/>
      <c r="F2166" s="274">
        <f>SUM(F2165)</f>
        <v>426.57200000000006</v>
      </c>
    </row>
    <row r="2167" spans="2:6" x14ac:dyDescent="0.25">
      <c r="B2167" s="594" t="s">
        <v>281</v>
      </c>
      <c r="C2167" s="595"/>
      <c r="D2167" s="595"/>
      <c r="E2167" s="595"/>
      <c r="F2167" s="596"/>
    </row>
    <row r="2168" spans="2:6" x14ac:dyDescent="0.25">
      <c r="B2168" s="272"/>
      <c r="C2168" s="273"/>
      <c r="D2168" s="268"/>
      <c r="E2168" s="271"/>
      <c r="F2168" s="259">
        <f t="shared" ref="F2168:F2179" si="122">D2168*E2168</f>
        <v>0</v>
      </c>
    </row>
    <row r="2169" spans="2:6" x14ac:dyDescent="0.25">
      <c r="B2169" s="272"/>
      <c r="C2169" s="273"/>
      <c r="D2169" s="268"/>
      <c r="E2169" s="271"/>
      <c r="F2169" s="259">
        <f t="shared" si="122"/>
        <v>0</v>
      </c>
    </row>
    <row r="2170" spans="2:6" x14ac:dyDescent="0.25">
      <c r="B2170" s="272"/>
      <c r="C2170" s="273"/>
      <c r="D2170" s="268"/>
      <c r="E2170" s="271"/>
      <c r="F2170" s="259">
        <f t="shared" si="122"/>
        <v>0</v>
      </c>
    </row>
    <row r="2171" spans="2:6" x14ac:dyDescent="0.25">
      <c r="B2171" s="272"/>
      <c r="C2171" s="273"/>
      <c r="D2171" s="268"/>
      <c r="E2171" s="271"/>
      <c r="F2171" s="259">
        <f t="shared" si="122"/>
        <v>0</v>
      </c>
    </row>
    <row r="2172" spans="2:6" x14ac:dyDescent="0.25">
      <c r="B2172" s="272"/>
      <c r="C2172" s="273"/>
      <c r="D2172" s="268"/>
      <c r="E2172" s="271"/>
      <c r="F2172" s="259">
        <f t="shared" si="122"/>
        <v>0</v>
      </c>
    </row>
    <row r="2173" spans="2:6" x14ac:dyDescent="0.25">
      <c r="B2173" s="272"/>
      <c r="C2173" s="273"/>
      <c r="D2173" s="268"/>
      <c r="E2173" s="271"/>
      <c r="F2173" s="259">
        <f t="shared" si="122"/>
        <v>0</v>
      </c>
    </row>
    <row r="2174" spans="2:6" x14ac:dyDescent="0.25">
      <c r="B2174" s="272"/>
      <c r="C2174" s="273"/>
      <c r="D2174" s="268"/>
      <c r="E2174" s="271"/>
      <c r="F2174" s="259">
        <f t="shared" si="122"/>
        <v>0</v>
      </c>
    </row>
    <row r="2175" spans="2:6" x14ac:dyDescent="0.25">
      <c r="B2175" s="272"/>
      <c r="C2175" s="273"/>
      <c r="D2175" s="268"/>
      <c r="E2175" s="271"/>
      <c r="F2175" s="259">
        <f t="shared" si="122"/>
        <v>0</v>
      </c>
    </row>
    <row r="2176" spans="2:6" x14ac:dyDescent="0.25">
      <c r="B2176" s="272"/>
      <c r="C2176" s="273"/>
      <c r="D2176" s="268"/>
      <c r="E2176" s="271"/>
      <c r="F2176" s="259">
        <f t="shared" si="122"/>
        <v>0</v>
      </c>
    </row>
    <row r="2177" spans="2:6" x14ac:dyDescent="0.25">
      <c r="B2177" s="272"/>
      <c r="C2177" s="273"/>
      <c r="D2177" s="268"/>
      <c r="E2177" s="271"/>
      <c r="F2177" s="259">
        <f t="shared" si="122"/>
        <v>0</v>
      </c>
    </row>
    <row r="2178" spans="2:6" x14ac:dyDescent="0.25">
      <c r="B2178" s="272"/>
      <c r="C2178" s="273"/>
      <c r="D2178" s="268"/>
      <c r="E2178" s="271"/>
      <c r="F2178" s="259">
        <f t="shared" si="122"/>
        <v>0</v>
      </c>
    </row>
    <row r="2179" spans="2:6" x14ac:dyDescent="0.25">
      <c r="B2179" s="272"/>
      <c r="C2179" s="273"/>
      <c r="D2179" s="268"/>
      <c r="E2179" s="271"/>
      <c r="F2179" s="259">
        <f t="shared" si="122"/>
        <v>0</v>
      </c>
    </row>
    <row r="2180" spans="2:6" ht="15.75" thickBot="1" x14ac:dyDescent="0.3">
      <c r="B2180" s="611" t="s">
        <v>289</v>
      </c>
      <c r="C2180" s="612"/>
      <c r="D2180" s="612"/>
      <c r="E2180" s="613"/>
      <c r="F2180" s="274">
        <f>SUM(F2168:F2179)</f>
        <v>0</v>
      </c>
    </row>
    <row r="2181" spans="2:6" x14ac:dyDescent="0.25">
      <c r="B2181" s="594" t="s">
        <v>290</v>
      </c>
      <c r="C2181" s="595"/>
      <c r="D2181" s="595"/>
      <c r="E2181" s="595"/>
      <c r="F2181" s="596"/>
    </row>
    <row r="2182" spans="2:6" x14ac:dyDescent="0.25">
      <c r="B2182" s="272"/>
      <c r="C2182" s="273"/>
      <c r="D2182" s="275"/>
      <c r="E2182" s="276"/>
      <c r="F2182" s="259">
        <f>D2182*E2182</f>
        <v>0</v>
      </c>
    </row>
    <row r="2183" spans="2:6" x14ac:dyDescent="0.25">
      <c r="B2183" s="277"/>
      <c r="C2183" s="278"/>
      <c r="D2183" s="279"/>
      <c r="E2183" s="280"/>
      <c r="F2183" s="259">
        <f>D2183*E2183</f>
        <v>0</v>
      </c>
    </row>
    <row r="2184" spans="2:6" x14ac:dyDescent="0.25">
      <c r="B2184" s="277"/>
      <c r="C2184" s="278"/>
      <c r="D2184" s="279"/>
      <c r="E2184" s="280"/>
      <c r="F2184" s="259">
        <f>D2184*E2184</f>
        <v>0</v>
      </c>
    </row>
    <row r="2185" spans="2:6" ht="15.75" thickBot="1" x14ac:dyDescent="0.3">
      <c r="B2185" s="611" t="s">
        <v>291</v>
      </c>
      <c r="C2185" s="612"/>
      <c r="D2185" s="612"/>
      <c r="E2185" s="613"/>
      <c r="F2185" s="285">
        <f>SUM(F2182:F2184)</f>
        <v>0</v>
      </c>
    </row>
    <row r="2186" spans="2:6" ht="15.75" thickBot="1" x14ac:dyDescent="0.3">
      <c r="B2186" s="600" t="s">
        <v>282</v>
      </c>
      <c r="C2186" s="601"/>
      <c r="D2186" s="601"/>
      <c r="E2186" s="601"/>
      <c r="F2186" s="286">
        <f>ROUND(F2157+F2163+F2166+F2180+F2185,0)</f>
        <v>43059</v>
      </c>
    </row>
    <row r="2187" spans="2:6" ht="15.75" thickBot="1" x14ac:dyDescent="0.3"/>
    <row r="2188" spans="2:6" ht="15.75" thickBot="1" x14ac:dyDescent="0.3">
      <c r="B2188" s="602" t="s">
        <v>276</v>
      </c>
      <c r="C2188" s="603"/>
      <c r="D2188" s="603"/>
      <c r="E2188" s="603"/>
      <c r="F2188" s="604"/>
    </row>
    <row r="2189" spans="2:6" ht="15.75" thickBot="1" x14ac:dyDescent="0.3">
      <c r="B2189" s="605" t="s">
        <v>104</v>
      </c>
      <c r="C2189" s="606"/>
      <c r="D2189" s="607"/>
      <c r="E2189" s="282" t="s">
        <v>105</v>
      </c>
      <c r="F2189" s="283" t="s">
        <v>103</v>
      </c>
    </row>
    <row r="2190" spans="2:6" ht="69" customHeight="1" thickBot="1" x14ac:dyDescent="0.3">
      <c r="B2190" s="608" t="str">
        <f>'PRESUPUESTO CALLE 58 SUR'!B60</f>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
      <c r="C2190" s="609"/>
      <c r="D2190" s="610"/>
      <c r="E2190" s="449" t="str">
        <f>'PRESUPUESTO CALLE 58 SUR'!C60</f>
        <v>m</v>
      </c>
      <c r="F2190" s="448">
        <f>'PRESUPUESTO CALLE 58 SUR'!A60</f>
        <v>9.4</v>
      </c>
    </row>
    <row r="2191" spans="2:6" ht="15.75" thickBot="1" x14ac:dyDescent="0.3">
      <c r="B2191" s="250" t="s">
        <v>8</v>
      </c>
      <c r="C2191" s="251" t="s">
        <v>9</v>
      </c>
      <c r="D2191" s="252" t="s">
        <v>10</v>
      </c>
      <c r="E2191" s="253" t="s">
        <v>283</v>
      </c>
      <c r="F2191" s="254" t="s">
        <v>284</v>
      </c>
    </row>
    <row r="2192" spans="2:6" x14ac:dyDescent="0.25">
      <c r="B2192" s="594" t="s">
        <v>285</v>
      </c>
      <c r="C2192" s="595"/>
      <c r="D2192" s="595"/>
      <c r="E2192" s="595"/>
      <c r="F2192" s="596"/>
    </row>
    <row r="2193" spans="2:6" x14ac:dyDescent="0.25">
      <c r="B2193" s="255" t="str">
        <f>SUBANALISIS!A71</f>
        <v>Concr.en obra 2500 psi 3/4"</v>
      </c>
      <c r="C2193" s="256" t="s">
        <v>117</v>
      </c>
      <c r="D2193" s="257">
        <v>3.3919999999999999E-2</v>
      </c>
      <c r="E2193" s="258">
        <f>SUBANALISIS!F71</f>
        <v>561841.71680000005</v>
      </c>
      <c r="F2193" s="259">
        <f t="shared" ref="F2193:F2204" si="123">D2193*E2193</f>
        <v>19057.671033856001</v>
      </c>
    </row>
    <row r="2194" spans="2:6" ht="22.5" x14ac:dyDescent="0.25">
      <c r="B2194" s="260" t="str">
        <f>INSUMOS!B202</f>
        <v>Larguero madera comun 4 cmx8cmx2.80 m. Incluye transporte</v>
      </c>
      <c r="C2194" s="256" t="s">
        <v>17</v>
      </c>
      <c r="D2194" s="257">
        <v>5.2299999999999999E-2</v>
      </c>
      <c r="E2194" s="258">
        <f>INSUMOS!D202</f>
        <v>20135</v>
      </c>
      <c r="F2194" s="259">
        <f t="shared" si="123"/>
        <v>1053.0605</v>
      </c>
    </row>
    <row r="2195" spans="2:6" ht="22.5" x14ac:dyDescent="0.25">
      <c r="B2195" s="261" t="str">
        <f>INSUMOS!B248</f>
        <v>Tabla madera común de 2.5 cm x 20cm x 2.80m. Incluye transporte.</v>
      </c>
      <c r="C2195" s="256" t="s">
        <v>17</v>
      </c>
      <c r="D2195" s="257">
        <v>0.245</v>
      </c>
      <c r="E2195" s="258">
        <f>INSUMOS!D248</f>
        <v>17255</v>
      </c>
      <c r="F2195" s="259">
        <f t="shared" si="123"/>
        <v>4227.4750000000004</v>
      </c>
    </row>
    <row r="2196" spans="2:6" ht="45" x14ac:dyDescent="0.25">
      <c r="B2196" s="261" t="str">
        <f>INSUMOS!B263</f>
        <v>Sika Plastocrete DM Impermeabilizante para concreto. Presentación: 20kg rendimiento: 1% del peso del cemento ó 250 gr / bulto de cemento de 50 kg. + transp.</v>
      </c>
      <c r="C2196" s="256" t="s">
        <v>122</v>
      </c>
      <c r="D2196" s="257">
        <f>250*SUBANALISIS!C74/1000*D2193*1.1</f>
        <v>5.5967999999999997E-2</v>
      </c>
      <c r="E2196" s="258">
        <f>INSUMOS!D263</f>
        <v>23934.55</v>
      </c>
      <c r="F2196" s="259">
        <f t="shared" si="123"/>
        <v>1339.5688943999999</v>
      </c>
    </row>
    <row r="2197" spans="2:6" ht="67.5" x14ac:dyDescent="0.25">
      <c r="B2197" s="261" t="str">
        <f>INSUMOS!B265</f>
        <v>Separol o equivalente (Desmoldante para evitar adherencia de concretos a formaletas.Presentación 15Kg. Rendimiento metal :45g/m2 madera:55g/m2 (15 kg)). para metal puro, para madera diluir hasta 5 partes de agua segun porosidad de la madera.</v>
      </c>
      <c r="C2197" s="256" t="s">
        <v>17</v>
      </c>
      <c r="D2197" s="257">
        <v>1.1299999999999999E-3</v>
      </c>
      <c r="E2197" s="258">
        <f>INSUMOS!D265</f>
        <v>550778</v>
      </c>
      <c r="F2197" s="259">
        <f t="shared" si="123"/>
        <v>622.37914000000001</v>
      </c>
    </row>
    <row r="2198" spans="2:6" x14ac:dyDescent="0.25">
      <c r="B2198" s="261"/>
      <c r="C2198" s="256"/>
      <c r="D2198" s="257"/>
      <c r="E2198" s="258"/>
      <c r="F2198" s="259">
        <f t="shared" si="123"/>
        <v>0</v>
      </c>
    </row>
    <row r="2199" spans="2:6" x14ac:dyDescent="0.25">
      <c r="B2199" s="261"/>
      <c r="C2199" s="256"/>
      <c r="D2199" s="257"/>
      <c r="E2199" s="258"/>
      <c r="F2199" s="259">
        <f t="shared" si="123"/>
        <v>0</v>
      </c>
    </row>
    <row r="2200" spans="2:6" x14ac:dyDescent="0.25">
      <c r="B2200" s="261"/>
      <c r="C2200" s="256"/>
      <c r="D2200" s="257"/>
      <c r="E2200" s="258"/>
      <c r="F2200" s="259">
        <f t="shared" si="123"/>
        <v>0</v>
      </c>
    </row>
    <row r="2201" spans="2:6" x14ac:dyDescent="0.25">
      <c r="B2201" s="261"/>
      <c r="C2201" s="256"/>
      <c r="D2201" s="257"/>
      <c r="E2201" s="258"/>
      <c r="F2201" s="259">
        <f t="shared" si="123"/>
        <v>0</v>
      </c>
    </row>
    <row r="2202" spans="2:6" x14ac:dyDescent="0.25">
      <c r="B2202" s="261"/>
      <c r="C2202" s="256"/>
      <c r="D2202" s="257"/>
      <c r="E2202" s="258"/>
      <c r="F2202" s="259">
        <f t="shared" si="123"/>
        <v>0</v>
      </c>
    </row>
    <row r="2203" spans="2:6" x14ac:dyDescent="0.25">
      <c r="B2203" s="261"/>
      <c r="C2203" s="256"/>
      <c r="D2203" s="257"/>
      <c r="E2203" s="258"/>
      <c r="F2203" s="259">
        <f t="shared" si="123"/>
        <v>0</v>
      </c>
    </row>
    <row r="2204" spans="2:6" x14ac:dyDescent="0.25">
      <c r="B2204" s="262"/>
      <c r="C2204" s="263"/>
      <c r="D2204" s="264"/>
      <c r="E2204" s="265"/>
      <c r="F2204" s="259">
        <f t="shared" si="123"/>
        <v>0</v>
      </c>
    </row>
    <row r="2205" spans="2:6" ht="15.75" thickBot="1" x14ac:dyDescent="0.3">
      <c r="B2205" s="611" t="s">
        <v>286</v>
      </c>
      <c r="C2205" s="612"/>
      <c r="D2205" s="612"/>
      <c r="E2205" s="613"/>
      <c r="F2205" s="284">
        <f>SUM(F2193:F2204)</f>
        <v>26300.154568255999</v>
      </c>
    </row>
    <row r="2206" spans="2:6" x14ac:dyDescent="0.25">
      <c r="B2206" s="594" t="s">
        <v>277</v>
      </c>
      <c r="C2206" s="595"/>
      <c r="D2206" s="595"/>
      <c r="E2206" s="595"/>
      <c r="F2206" s="596"/>
    </row>
    <row r="2207" spans="2:6" x14ac:dyDescent="0.25">
      <c r="B2207" s="266" t="str">
        <f>CUADRILLAS!A79</f>
        <v>Cuad. 1of + 1ay</v>
      </c>
      <c r="C2207" s="267" t="s">
        <v>110</v>
      </c>
      <c r="D2207" s="268">
        <v>0.12</v>
      </c>
      <c r="E2207" s="269">
        <f>CUADRILLAS!B79</f>
        <v>207851</v>
      </c>
      <c r="F2207" s="270">
        <f>D2207*E2207</f>
        <v>24942.12</v>
      </c>
    </row>
    <row r="2208" spans="2:6" x14ac:dyDescent="0.25">
      <c r="B2208" s="266"/>
      <c r="C2208" s="267"/>
      <c r="D2208" s="268"/>
      <c r="E2208" s="269"/>
      <c r="F2208" s="270">
        <f>D2208*E2208</f>
        <v>0</v>
      </c>
    </row>
    <row r="2209" spans="2:6" x14ac:dyDescent="0.25">
      <c r="B2209" s="266"/>
      <c r="C2209" s="267"/>
      <c r="D2209" s="268"/>
      <c r="E2209" s="271"/>
      <c r="F2209" s="270">
        <f>D2209*E2209</f>
        <v>0</v>
      </c>
    </row>
    <row r="2210" spans="2:6" x14ac:dyDescent="0.25">
      <c r="B2210" s="272"/>
      <c r="C2210" s="273"/>
      <c r="D2210" s="268"/>
      <c r="E2210" s="271"/>
      <c r="F2210" s="270">
        <f>D2210*E2210</f>
        <v>0</v>
      </c>
    </row>
    <row r="2211" spans="2:6" ht="15.75" thickBot="1" x14ac:dyDescent="0.3">
      <c r="B2211" s="611" t="s">
        <v>287</v>
      </c>
      <c r="C2211" s="612"/>
      <c r="D2211" s="612"/>
      <c r="E2211" s="613"/>
      <c r="F2211" s="274">
        <f>SUM(F2207:F2210)</f>
        <v>24942.12</v>
      </c>
    </row>
    <row r="2212" spans="2:6" x14ac:dyDescent="0.25">
      <c r="B2212" s="594" t="s">
        <v>278</v>
      </c>
      <c r="C2212" s="595"/>
      <c r="D2212" s="595"/>
      <c r="E2212" s="595"/>
      <c r="F2212" s="596"/>
    </row>
    <row r="2213" spans="2:6" x14ac:dyDescent="0.25">
      <c r="B2213" s="272" t="s">
        <v>279</v>
      </c>
      <c r="C2213" s="273" t="s">
        <v>280</v>
      </c>
      <c r="D2213" s="268">
        <v>0.05</v>
      </c>
      <c r="E2213" s="271">
        <f>F2211</f>
        <v>24942.12</v>
      </c>
      <c r="F2213" s="270">
        <f>D2213*E2213</f>
        <v>1247.106</v>
      </c>
    </row>
    <row r="2214" spans="2:6" ht="15.75" thickBot="1" x14ac:dyDescent="0.3">
      <c r="B2214" s="611" t="s">
        <v>288</v>
      </c>
      <c r="C2214" s="612"/>
      <c r="D2214" s="612"/>
      <c r="E2214" s="613"/>
      <c r="F2214" s="274">
        <f>SUM(F2213)</f>
        <v>1247.106</v>
      </c>
    </row>
    <row r="2215" spans="2:6" x14ac:dyDescent="0.25">
      <c r="B2215" s="594" t="s">
        <v>281</v>
      </c>
      <c r="C2215" s="595"/>
      <c r="D2215" s="595"/>
      <c r="E2215" s="595"/>
      <c r="F2215" s="596"/>
    </row>
    <row r="2216" spans="2:6" x14ac:dyDescent="0.25">
      <c r="B2216" s="272"/>
      <c r="C2216" s="273"/>
      <c r="D2216" s="268"/>
      <c r="E2216" s="271"/>
      <c r="F2216" s="259">
        <f t="shared" ref="F2216:F2227" si="124">D2216*E2216</f>
        <v>0</v>
      </c>
    </row>
    <row r="2217" spans="2:6" x14ac:dyDescent="0.25">
      <c r="B2217" s="272"/>
      <c r="C2217" s="273"/>
      <c r="D2217" s="268"/>
      <c r="E2217" s="271"/>
      <c r="F2217" s="259">
        <f t="shared" si="124"/>
        <v>0</v>
      </c>
    </row>
    <row r="2218" spans="2:6" x14ac:dyDescent="0.25">
      <c r="B2218" s="272"/>
      <c r="C2218" s="273"/>
      <c r="D2218" s="268"/>
      <c r="E2218" s="271"/>
      <c r="F2218" s="259">
        <f t="shared" si="124"/>
        <v>0</v>
      </c>
    </row>
    <row r="2219" spans="2:6" x14ac:dyDescent="0.25">
      <c r="B2219" s="272"/>
      <c r="C2219" s="273"/>
      <c r="D2219" s="268"/>
      <c r="E2219" s="271"/>
      <c r="F2219" s="259">
        <f t="shared" si="124"/>
        <v>0</v>
      </c>
    </row>
    <row r="2220" spans="2:6" x14ac:dyDescent="0.25">
      <c r="B2220" s="272"/>
      <c r="C2220" s="273"/>
      <c r="D2220" s="268"/>
      <c r="E2220" s="271"/>
      <c r="F2220" s="259">
        <f t="shared" si="124"/>
        <v>0</v>
      </c>
    </row>
    <row r="2221" spans="2:6" x14ac:dyDescent="0.25">
      <c r="B2221" s="272"/>
      <c r="C2221" s="273"/>
      <c r="D2221" s="268"/>
      <c r="E2221" s="271"/>
      <c r="F2221" s="259">
        <f t="shared" si="124"/>
        <v>0</v>
      </c>
    </row>
    <row r="2222" spans="2:6" x14ac:dyDescent="0.25">
      <c r="B2222" s="272"/>
      <c r="C2222" s="273"/>
      <c r="D2222" s="268"/>
      <c r="E2222" s="271"/>
      <c r="F2222" s="259">
        <f t="shared" si="124"/>
        <v>0</v>
      </c>
    </row>
    <row r="2223" spans="2:6" x14ac:dyDescent="0.25">
      <c r="B2223" s="272"/>
      <c r="C2223" s="273"/>
      <c r="D2223" s="268"/>
      <c r="E2223" s="271"/>
      <c r="F2223" s="259">
        <f t="shared" si="124"/>
        <v>0</v>
      </c>
    </row>
    <row r="2224" spans="2:6" x14ac:dyDescent="0.25">
      <c r="B2224" s="272"/>
      <c r="C2224" s="273"/>
      <c r="D2224" s="268"/>
      <c r="E2224" s="271"/>
      <c r="F2224" s="259">
        <f t="shared" si="124"/>
        <v>0</v>
      </c>
    </row>
    <row r="2225" spans="2:6" x14ac:dyDescent="0.25">
      <c r="B2225" s="272"/>
      <c r="C2225" s="273"/>
      <c r="D2225" s="268"/>
      <c r="E2225" s="271"/>
      <c r="F2225" s="259">
        <f t="shared" si="124"/>
        <v>0</v>
      </c>
    </row>
    <row r="2226" spans="2:6" x14ac:dyDescent="0.25">
      <c r="B2226" s="272"/>
      <c r="C2226" s="273"/>
      <c r="D2226" s="268"/>
      <c r="E2226" s="271"/>
      <c r="F2226" s="259">
        <f t="shared" si="124"/>
        <v>0</v>
      </c>
    </row>
    <row r="2227" spans="2:6" x14ac:dyDescent="0.25">
      <c r="B2227" s="272"/>
      <c r="C2227" s="273"/>
      <c r="D2227" s="268"/>
      <c r="E2227" s="271"/>
      <c r="F2227" s="259">
        <f t="shared" si="124"/>
        <v>0</v>
      </c>
    </row>
    <row r="2228" spans="2:6" ht="15.75" thickBot="1" x14ac:dyDescent="0.3">
      <c r="B2228" s="611" t="s">
        <v>289</v>
      </c>
      <c r="C2228" s="612"/>
      <c r="D2228" s="612"/>
      <c r="E2228" s="613"/>
      <c r="F2228" s="274">
        <f>SUM(F2216:F2227)</f>
        <v>0</v>
      </c>
    </row>
    <row r="2229" spans="2:6" x14ac:dyDescent="0.25">
      <c r="B2229" s="594" t="s">
        <v>290</v>
      </c>
      <c r="C2229" s="595"/>
      <c r="D2229" s="595"/>
      <c r="E2229" s="595"/>
      <c r="F2229" s="596"/>
    </row>
    <row r="2230" spans="2:6" x14ac:dyDescent="0.25">
      <c r="B2230" s="272" t="s">
        <v>892</v>
      </c>
      <c r="C2230" s="273" t="s">
        <v>117</v>
      </c>
      <c r="D2230" s="275">
        <f>D2193*1.54</f>
        <v>5.22368E-2</v>
      </c>
      <c r="E2230" s="276">
        <v>15000</v>
      </c>
      <c r="F2230" s="259">
        <f>D2230*E2230</f>
        <v>783.55200000000002</v>
      </c>
    </row>
    <row r="2231" spans="2:6" x14ac:dyDescent="0.25">
      <c r="B2231" s="277"/>
      <c r="C2231" s="278"/>
      <c r="D2231" s="279"/>
      <c r="E2231" s="280"/>
      <c r="F2231" s="259">
        <f>D2231*E2231</f>
        <v>0</v>
      </c>
    </row>
    <row r="2232" spans="2:6" x14ac:dyDescent="0.25">
      <c r="B2232" s="277"/>
      <c r="C2232" s="278"/>
      <c r="D2232" s="279"/>
      <c r="E2232" s="280"/>
      <c r="F2232" s="259">
        <f>D2232*E2232</f>
        <v>0</v>
      </c>
    </row>
    <row r="2233" spans="2:6" ht="15.75" thickBot="1" x14ac:dyDescent="0.3">
      <c r="B2233" s="611" t="s">
        <v>291</v>
      </c>
      <c r="C2233" s="612"/>
      <c r="D2233" s="612"/>
      <c r="E2233" s="613"/>
      <c r="F2233" s="285">
        <f>SUM(F2230:F2232)</f>
        <v>783.55200000000002</v>
      </c>
    </row>
    <row r="2234" spans="2:6" ht="15.75" thickBot="1" x14ac:dyDescent="0.3">
      <c r="B2234" s="600" t="s">
        <v>282</v>
      </c>
      <c r="C2234" s="601"/>
      <c r="D2234" s="601"/>
      <c r="E2234" s="601"/>
      <c r="F2234" s="286">
        <f>ROUND(F2205+F2211+F2214+F2228+F2233,0)</f>
        <v>53273</v>
      </c>
    </row>
    <row r="2235" spans="2:6" ht="15.75" thickBot="1" x14ac:dyDescent="0.3"/>
    <row r="2236" spans="2:6" ht="15.75" thickBot="1" x14ac:dyDescent="0.3">
      <c r="B2236" s="602" t="s">
        <v>276</v>
      </c>
      <c r="C2236" s="603"/>
      <c r="D2236" s="603"/>
      <c r="E2236" s="603"/>
      <c r="F2236" s="604"/>
    </row>
    <row r="2237" spans="2:6" ht="15.75" thickBot="1" x14ac:dyDescent="0.3">
      <c r="B2237" s="605" t="s">
        <v>104</v>
      </c>
      <c r="C2237" s="606"/>
      <c r="D2237" s="607"/>
      <c r="E2237" s="282" t="s">
        <v>105</v>
      </c>
      <c r="F2237" s="283" t="s">
        <v>103</v>
      </c>
    </row>
    <row r="2238" spans="2:6" ht="61.15" customHeight="1" thickBot="1" x14ac:dyDescent="0.3">
      <c r="B2238" s="608" t="str">
        <f>'PRESUPUESTO CALLE 58 SUR'!B61</f>
        <v>Construcción de CUNETA EN "V" en concreto de 21 Mpa., DESARROLLO DE 0.50 m., ESPESOR DE 0.10 m. Incluye suministro, transporte y colocación del concreto, entresuelo 15 cm de piedra y 5 cm de arenilla y todos los demás elementos necesarios para su correcta construcción. Según diseño.</v>
      </c>
      <c r="C2238" s="609"/>
      <c r="D2238" s="610"/>
      <c r="E2238" s="449" t="str">
        <f>'PRESUPUESTO CALLE 58 SUR'!C61</f>
        <v>m</v>
      </c>
      <c r="F2238" s="448">
        <f>'PRESUPUESTO CALLE 58 SUR'!A61</f>
        <v>9.5</v>
      </c>
    </row>
    <row r="2239" spans="2:6" ht="15.75" thickBot="1" x14ac:dyDescent="0.3">
      <c r="B2239" s="250" t="s">
        <v>8</v>
      </c>
      <c r="C2239" s="251" t="s">
        <v>9</v>
      </c>
      <c r="D2239" s="252" t="s">
        <v>10</v>
      </c>
      <c r="E2239" s="253" t="s">
        <v>283</v>
      </c>
      <c r="F2239" s="254" t="s">
        <v>284</v>
      </c>
    </row>
    <row r="2240" spans="2:6" x14ac:dyDescent="0.25">
      <c r="B2240" s="594" t="s">
        <v>285</v>
      </c>
      <c r="C2240" s="595"/>
      <c r="D2240" s="595"/>
      <c r="E2240" s="595"/>
      <c r="F2240" s="596"/>
    </row>
    <row r="2241" spans="2:6" x14ac:dyDescent="0.25">
      <c r="B2241" s="255" t="str">
        <f>SUBANALISIS!A78</f>
        <v>Concr.en obra 3000 psi 3/4"</v>
      </c>
      <c r="C2241" s="256" t="s">
        <v>117</v>
      </c>
      <c r="D2241" s="257">
        <f>0.5*0.1*1*1.05</f>
        <v>5.2500000000000005E-2</v>
      </c>
      <c r="E2241" s="258">
        <f>SUBANALISIS!F78</f>
        <v>630810.91779999994</v>
      </c>
      <c r="F2241" s="259">
        <f t="shared" ref="F2241:F2252" si="125">D2241*E2241</f>
        <v>33117.573184499997</v>
      </c>
    </row>
    <row r="2242" spans="2:6" x14ac:dyDescent="0.25">
      <c r="B2242" s="452" t="str">
        <f>SUBANALISIS!H12</f>
        <v>Piedra entresuelo-gaviones y/o ciclópeo</v>
      </c>
      <c r="C2242" s="256" t="s">
        <v>117</v>
      </c>
      <c r="D2242" s="257">
        <f>0.55*0.15*1.2</f>
        <v>9.9000000000000005E-2</v>
      </c>
      <c r="E2242" s="258">
        <f>SUBANALISIS!I12</f>
        <v>111848.63549999999</v>
      </c>
      <c r="F2242" s="259">
        <f t="shared" si="125"/>
        <v>11073.0149145</v>
      </c>
    </row>
    <row r="2243" spans="2:6" x14ac:dyDescent="0.25">
      <c r="B2243" s="466" t="str">
        <f>SUBANALISIS!H6</f>
        <v>ARENILLA</v>
      </c>
      <c r="C2243" s="256" t="s">
        <v>117</v>
      </c>
      <c r="D2243" s="257">
        <f>0.55*0.05*1.3</f>
        <v>3.5750000000000004E-2</v>
      </c>
      <c r="E2243" s="258">
        <f>SUBANALISIS!I6</f>
        <v>20000</v>
      </c>
      <c r="F2243" s="259">
        <f t="shared" si="125"/>
        <v>715.00000000000011</v>
      </c>
    </row>
    <row r="2244" spans="2:6" ht="22.5" x14ac:dyDescent="0.25">
      <c r="B2244" s="261" t="str">
        <f>INSUMOS!B248</f>
        <v>Tabla madera común de 2.5 cm x 20cm x 2.80m. Incluye transporte.</v>
      </c>
      <c r="C2244" s="256" t="s">
        <v>17</v>
      </c>
      <c r="D2244" s="257">
        <v>0.5</v>
      </c>
      <c r="E2244" s="258">
        <f>INSUMOS!D248</f>
        <v>17255</v>
      </c>
      <c r="F2244" s="259">
        <f t="shared" si="125"/>
        <v>8627.5</v>
      </c>
    </row>
    <row r="2245" spans="2:6" x14ac:dyDescent="0.25">
      <c r="B2245" s="261"/>
      <c r="C2245" s="256"/>
      <c r="D2245" s="257"/>
      <c r="E2245" s="258"/>
      <c r="F2245" s="259">
        <f t="shared" si="125"/>
        <v>0</v>
      </c>
    </row>
    <row r="2246" spans="2:6" x14ac:dyDescent="0.25">
      <c r="B2246" s="261"/>
      <c r="C2246" s="256"/>
      <c r="D2246" s="257"/>
      <c r="E2246" s="258"/>
      <c r="F2246" s="259">
        <f t="shared" si="125"/>
        <v>0</v>
      </c>
    </row>
    <row r="2247" spans="2:6" x14ac:dyDescent="0.25">
      <c r="B2247" s="261"/>
      <c r="C2247" s="256"/>
      <c r="D2247" s="257"/>
      <c r="E2247" s="258"/>
      <c r="F2247" s="259">
        <f t="shared" si="125"/>
        <v>0</v>
      </c>
    </row>
    <row r="2248" spans="2:6" x14ac:dyDescent="0.25">
      <c r="B2248" s="261"/>
      <c r="C2248" s="256"/>
      <c r="D2248" s="257"/>
      <c r="E2248" s="258"/>
      <c r="F2248" s="259">
        <f t="shared" si="125"/>
        <v>0</v>
      </c>
    </row>
    <row r="2249" spans="2:6" x14ac:dyDescent="0.25">
      <c r="B2249" s="261"/>
      <c r="C2249" s="256"/>
      <c r="D2249" s="257"/>
      <c r="E2249" s="258"/>
      <c r="F2249" s="259">
        <f t="shared" si="125"/>
        <v>0</v>
      </c>
    </row>
    <row r="2250" spans="2:6" x14ac:dyDescent="0.25">
      <c r="B2250" s="261"/>
      <c r="C2250" s="256"/>
      <c r="D2250" s="257"/>
      <c r="E2250" s="258"/>
      <c r="F2250" s="259">
        <f t="shared" si="125"/>
        <v>0</v>
      </c>
    </row>
    <row r="2251" spans="2:6" x14ac:dyDescent="0.25">
      <c r="B2251" s="261"/>
      <c r="C2251" s="256"/>
      <c r="D2251" s="257"/>
      <c r="E2251" s="258"/>
      <c r="F2251" s="259">
        <f t="shared" si="125"/>
        <v>0</v>
      </c>
    </row>
    <row r="2252" spans="2:6" x14ac:dyDescent="0.25">
      <c r="B2252" s="262"/>
      <c r="C2252" s="263"/>
      <c r="D2252" s="264"/>
      <c r="E2252" s="265"/>
      <c r="F2252" s="259">
        <f t="shared" si="125"/>
        <v>0</v>
      </c>
    </row>
    <row r="2253" spans="2:6" ht="15.75" thickBot="1" x14ac:dyDescent="0.3">
      <c r="B2253" s="611" t="s">
        <v>286</v>
      </c>
      <c r="C2253" s="612"/>
      <c r="D2253" s="612"/>
      <c r="E2253" s="613"/>
      <c r="F2253" s="284">
        <f>SUM(F2241:F2252)</f>
        <v>53533.088099000001</v>
      </c>
    </row>
    <row r="2254" spans="2:6" x14ac:dyDescent="0.25">
      <c r="B2254" s="594" t="s">
        <v>277</v>
      </c>
      <c r="C2254" s="595"/>
      <c r="D2254" s="595"/>
      <c r="E2254" s="595"/>
      <c r="F2254" s="596"/>
    </row>
    <row r="2255" spans="2:6" x14ac:dyDescent="0.25">
      <c r="B2255" s="266" t="str">
        <f>CUADRILLAS!A79</f>
        <v>Cuad. 1of + 1ay</v>
      </c>
      <c r="C2255" s="267" t="s">
        <v>110</v>
      </c>
      <c r="D2255" s="268">
        <v>0.16</v>
      </c>
      <c r="E2255" s="269">
        <f>CUADRILLAS!B79</f>
        <v>207851</v>
      </c>
      <c r="F2255" s="270">
        <f>D2255*E2255</f>
        <v>33256.160000000003</v>
      </c>
    </row>
    <row r="2256" spans="2:6" x14ac:dyDescent="0.25">
      <c r="B2256" s="266"/>
      <c r="C2256" s="267"/>
      <c r="D2256" s="268"/>
      <c r="E2256" s="269"/>
      <c r="F2256" s="270">
        <f>D2256*E2256</f>
        <v>0</v>
      </c>
    </row>
    <row r="2257" spans="2:6" x14ac:dyDescent="0.25">
      <c r="B2257" s="266"/>
      <c r="C2257" s="267"/>
      <c r="D2257" s="268"/>
      <c r="E2257" s="271"/>
      <c r="F2257" s="270">
        <f>D2257*E2257</f>
        <v>0</v>
      </c>
    </row>
    <row r="2258" spans="2:6" x14ac:dyDescent="0.25">
      <c r="B2258" s="272"/>
      <c r="C2258" s="273"/>
      <c r="D2258" s="268"/>
      <c r="E2258" s="271"/>
      <c r="F2258" s="270">
        <f>D2258*E2258</f>
        <v>0</v>
      </c>
    </row>
    <row r="2259" spans="2:6" ht="15.75" thickBot="1" x14ac:dyDescent="0.3">
      <c r="B2259" s="611" t="s">
        <v>287</v>
      </c>
      <c r="C2259" s="612"/>
      <c r="D2259" s="612"/>
      <c r="E2259" s="613"/>
      <c r="F2259" s="274">
        <f>SUM(F2255:F2258)</f>
        <v>33256.160000000003</v>
      </c>
    </row>
    <row r="2260" spans="2:6" x14ac:dyDescent="0.25">
      <c r="B2260" s="594" t="s">
        <v>278</v>
      </c>
      <c r="C2260" s="595"/>
      <c r="D2260" s="595"/>
      <c r="E2260" s="595"/>
      <c r="F2260" s="596"/>
    </row>
    <row r="2261" spans="2:6" x14ac:dyDescent="0.25">
      <c r="B2261" s="272" t="s">
        <v>279</v>
      </c>
      <c r="C2261" s="273" t="s">
        <v>280</v>
      </c>
      <c r="D2261" s="268">
        <v>0.05</v>
      </c>
      <c r="E2261" s="271">
        <f>F2259</f>
        <v>33256.160000000003</v>
      </c>
      <c r="F2261" s="270">
        <f>D2261*E2261</f>
        <v>1662.8080000000002</v>
      </c>
    </row>
    <row r="2262" spans="2:6" ht="15.75" thickBot="1" x14ac:dyDescent="0.3">
      <c r="B2262" s="611" t="s">
        <v>288</v>
      </c>
      <c r="C2262" s="612"/>
      <c r="D2262" s="612"/>
      <c r="E2262" s="613"/>
      <c r="F2262" s="274">
        <f>SUM(F2261)</f>
        <v>1662.8080000000002</v>
      </c>
    </row>
    <row r="2263" spans="2:6" x14ac:dyDescent="0.25">
      <c r="B2263" s="594" t="s">
        <v>281</v>
      </c>
      <c r="C2263" s="595"/>
      <c r="D2263" s="595"/>
      <c r="E2263" s="595"/>
      <c r="F2263" s="596"/>
    </row>
    <row r="2264" spans="2:6" x14ac:dyDescent="0.25">
      <c r="B2264" s="272"/>
      <c r="C2264" s="273"/>
      <c r="D2264" s="268"/>
      <c r="E2264" s="271"/>
      <c r="F2264" s="259">
        <f t="shared" ref="F2264:F2275" si="126">D2264*E2264</f>
        <v>0</v>
      </c>
    </row>
    <row r="2265" spans="2:6" x14ac:dyDescent="0.25">
      <c r="B2265" s="272"/>
      <c r="C2265" s="273"/>
      <c r="D2265" s="268"/>
      <c r="E2265" s="271"/>
      <c r="F2265" s="259">
        <f t="shared" si="126"/>
        <v>0</v>
      </c>
    </row>
    <row r="2266" spans="2:6" x14ac:dyDescent="0.25">
      <c r="B2266" s="272"/>
      <c r="C2266" s="273"/>
      <c r="D2266" s="268"/>
      <c r="E2266" s="271"/>
      <c r="F2266" s="259">
        <f t="shared" si="126"/>
        <v>0</v>
      </c>
    </row>
    <row r="2267" spans="2:6" x14ac:dyDescent="0.25">
      <c r="B2267" s="272"/>
      <c r="C2267" s="273"/>
      <c r="D2267" s="268"/>
      <c r="E2267" s="271"/>
      <c r="F2267" s="259">
        <f t="shared" si="126"/>
        <v>0</v>
      </c>
    </row>
    <row r="2268" spans="2:6" x14ac:dyDescent="0.25">
      <c r="B2268" s="272"/>
      <c r="C2268" s="273"/>
      <c r="D2268" s="268"/>
      <c r="E2268" s="271"/>
      <c r="F2268" s="259">
        <f t="shared" si="126"/>
        <v>0</v>
      </c>
    </row>
    <row r="2269" spans="2:6" x14ac:dyDescent="0.25">
      <c r="B2269" s="272"/>
      <c r="C2269" s="273"/>
      <c r="D2269" s="268"/>
      <c r="E2269" s="271"/>
      <c r="F2269" s="259">
        <f t="shared" si="126"/>
        <v>0</v>
      </c>
    </row>
    <row r="2270" spans="2:6" x14ac:dyDescent="0.25">
      <c r="B2270" s="272"/>
      <c r="C2270" s="273"/>
      <c r="D2270" s="268"/>
      <c r="E2270" s="271"/>
      <c r="F2270" s="259">
        <f t="shared" si="126"/>
        <v>0</v>
      </c>
    </row>
    <row r="2271" spans="2:6" x14ac:dyDescent="0.25">
      <c r="B2271" s="272"/>
      <c r="C2271" s="273"/>
      <c r="D2271" s="268"/>
      <c r="E2271" s="271"/>
      <c r="F2271" s="259">
        <f t="shared" si="126"/>
        <v>0</v>
      </c>
    </row>
    <row r="2272" spans="2:6" x14ac:dyDescent="0.25">
      <c r="B2272" s="272"/>
      <c r="C2272" s="273"/>
      <c r="D2272" s="268"/>
      <c r="E2272" s="271"/>
      <c r="F2272" s="259">
        <f t="shared" si="126"/>
        <v>0</v>
      </c>
    </row>
    <row r="2273" spans="2:6" x14ac:dyDescent="0.25">
      <c r="B2273" s="272"/>
      <c r="C2273" s="273"/>
      <c r="D2273" s="268"/>
      <c r="E2273" s="271"/>
      <c r="F2273" s="259">
        <f t="shared" si="126"/>
        <v>0</v>
      </c>
    </row>
    <row r="2274" spans="2:6" x14ac:dyDescent="0.25">
      <c r="B2274" s="272"/>
      <c r="C2274" s="273"/>
      <c r="D2274" s="268"/>
      <c r="E2274" s="271"/>
      <c r="F2274" s="259">
        <f t="shared" si="126"/>
        <v>0</v>
      </c>
    </row>
    <row r="2275" spans="2:6" x14ac:dyDescent="0.25">
      <c r="B2275" s="272"/>
      <c r="C2275" s="273"/>
      <c r="D2275" s="268"/>
      <c r="E2275" s="271"/>
      <c r="F2275" s="259">
        <f t="shared" si="126"/>
        <v>0</v>
      </c>
    </row>
    <row r="2276" spans="2:6" ht="15.75" thickBot="1" x14ac:dyDescent="0.3">
      <c r="B2276" s="611" t="s">
        <v>289</v>
      </c>
      <c r="C2276" s="612"/>
      <c r="D2276" s="612"/>
      <c r="E2276" s="613"/>
      <c r="F2276" s="274">
        <f>SUM(F2264:F2275)</f>
        <v>0</v>
      </c>
    </row>
    <row r="2277" spans="2:6" x14ac:dyDescent="0.25">
      <c r="B2277" s="594" t="s">
        <v>290</v>
      </c>
      <c r="C2277" s="595"/>
      <c r="D2277" s="595"/>
      <c r="E2277" s="595"/>
      <c r="F2277" s="596"/>
    </row>
    <row r="2278" spans="2:6" x14ac:dyDescent="0.25">
      <c r="B2278" s="272" t="s">
        <v>883</v>
      </c>
      <c r="C2278" s="273" t="s">
        <v>117</v>
      </c>
      <c r="D2278" s="275">
        <f>D2241*1.8</f>
        <v>9.4500000000000015E-2</v>
      </c>
      <c r="E2278" s="276">
        <v>15000</v>
      </c>
      <c r="F2278" s="259">
        <f>D2278*E2278</f>
        <v>1417.5000000000002</v>
      </c>
    </row>
    <row r="2279" spans="2:6" x14ac:dyDescent="0.25">
      <c r="B2279" s="277" t="s">
        <v>1009</v>
      </c>
      <c r="C2279" s="278" t="s">
        <v>117</v>
      </c>
      <c r="D2279" s="279">
        <f>D2242+D2243</f>
        <v>0.13475000000000001</v>
      </c>
      <c r="E2279" s="280">
        <f>SUBANALISIS!J1</f>
        <v>72000</v>
      </c>
      <c r="F2279" s="259">
        <f>D2279*E2279</f>
        <v>9702</v>
      </c>
    </row>
    <row r="2280" spans="2:6" x14ac:dyDescent="0.25">
      <c r="B2280" s="277"/>
      <c r="C2280" s="278"/>
      <c r="D2280" s="279"/>
      <c r="E2280" s="280"/>
      <c r="F2280" s="259">
        <f>D2280*E2280</f>
        <v>0</v>
      </c>
    </row>
    <row r="2281" spans="2:6" ht="15.75" thickBot="1" x14ac:dyDescent="0.3">
      <c r="B2281" s="611" t="s">
        <v>291</v>
      </c>
      <c r="C2281" s="612"/>
      <c r="D2281" s="612"/>
      <c r="E2281" s="613"/>
      <c r="F2281" s="285">
        <f>SUM(F2278:F2280)</f>
        <v>11119.5</v>
      </c>
    </row>
    <row r="2282" spans="2:6" ht="15.75" thickBot="1" x14ac:dyDescent="0.3">
      <c r="B2282" s="600" t="s">
        <v>282</v>
      </c>
      <c r="C2282" s="601"/>
      <c r="D2282" s="601"/>
      <c r="E2282" s="601"/>
      <c r="F2282" s="286">
        <f>ROUND(F2253+F2259+F2262+F2276+F2281,0)</f>
        <v>99572</v>
      </c>
    </row>
    <row r="2283" spans="2:6" ht="15.75" thickBot="1" x14ac:dyDescent="0.3"/>
    <row r="2284" spans="2:6" ht="15.75" thickBot="1" x14ac:dyDescent="0.3">
      <c r="B2284" s="602" t="s">
        <v>276</v>
      </c>
      <c r="C2284" s="603"/>
      <c r="D2284" s="603"/>
      <c r="E2284" s="603"/>
      <c r="F2284" s="604"/>
    </row>
    <row r="2285" spans="2:6" ht="15.75" thickBot="1" x14ac:dyDescent="0.3">
      <c r="B2285" s="605" t="s">
        <v>104</v>
      </c>
      <c r="C2285" s="606"/>
      <c r="D2285" s="607"/>
      <c r="E2285" s="282" t="s">
        <v>105</v>
      </c>
      <c r="F2285" s="283" t="s">
        <v>103</v>
      </c>
    </row>
    <row r="2286" spans="2:6" ht="79.150000000000006" customHeight="1" thickBot="1" x14ac:dyDescent="0.3">
      <c r="B2286" s="608" t="str">
        <f>'PRESUPUESTO CALLE 58 SUR'!B62</f>
        <v>Construcción de POCETA de 1.25x2.20 x altura hasta 180 cm., (medidas externas), muros de espesor de 25 cm., Losa de Fondo de espesor 30 cm., en concreto de 21Mpa. con impermeabilizante integral tipo Sika o equivalente, con concrefibra el piso. Incluye suministro, transporte e instalación de los materiales, formaleta, vibrado y todos los elementos necesarios apara su correcta construcción y funcionamiento. Según diseño y especificaciones. La excavación, llenos, entresuelo y acero de refuerzo se pagarán en su ítem respectivo.</v>
      </c>
      <c r="C2286" s="609"/>
      <c r="D2286" s="610"/>
      <c r="E2286" s="449" t="str">
        <f>'PRESUPUESTO CALLE 58 SUR'!C62</f>
        <v>un</v>
      </c>
      <c r="F2286" s="448">
        <f>'PRESUPUESTO CALLE 58 SUR'!A62</f>
        <v>9.6</v>
      </c>
    </row>
    <row r="2287" spans="2:6" ht="15.75" thickBot="1" x14ac:dyDescent="0.3">
      <c r="B2287" s="250" t="s">
        <v>8</v>
      </c>
      <c r="C2287" s="251" t="s">
        <v>9</v>
      </c>
      <c r="D2287" s="252" t="s">
        <v>10</v>
      </c>
      <c r="E2287" s="253" t="s">
        <v>283</v>
      </c>
      <c r="F2287" s="254" t="s">
        <v>284</v>
      </c>
    </row>
    <row r="2288" spans="2:6" x14ac:dyDescent="0.25">
      <c r="B2288" s="594" t="s">
        <v>285</v>
      </c>
      <c r="C2288" s="595"/>
      <c r="D2288" s="595"/>
      <c r="E2288" s="595"/>
      <c r="F2288" s="596"/>
    </row>
    <row r="2289" spans="2:6" x14ac:dyDescent="0.25">
      <c r="B2289" s="255" t="str">
        <f>SUBANALISIS!A78</f>
        <v>Concr.en obra 3000 psi 3/4"</v>
      </c>
      <c r="C2289" s="256" t="s">
        <v>117</v>
      </c>
      <c r="D2289" s="257">
        <f>((1.25*1.8*2+1.7*1.8*2)*0.25+2.2*1.25*0.3-1.5*1.7725*0.25)*1.05</f>
        <v>2.9560781250000008</v>
      </c>
      <c r="E2289" s="258">
        <f>SUBANALISIS!F78</f>
        <v>630810.91779999994</v>
      </c>
      <c r="F2289" s="259">
        <f t="shared" ref="F2289:F2298" si="127">D2289*E2289</f>
        <v>1864726.3551197534</v>
      </c>
    </row>
    <row r="2290" spans="2:6" ht="45" x14ac:dyDescent="0.25">
      <c r="B2290" s="260" t="str">
        <f>INSUMOS!B263</f>
        <v>Sika Plastocrete DM Impermeabilizante para concreto. Presentación: 20kg rendimiento: 1% del peso del cemento ó 250 gr / bulto de cemento de 50 kg. + transp.</v>
      </c>
      <c r="C2290" s="256" t="s">
        <v>122</v>
      </c>
      <c r="D2290" s="257">
        <f>0.25*D2289*8*1.1</f>
        <v>6.5033718750000018</v>
      </c>
      <c r="E2290" s="258">
        <f>INSUMOS!D263</f>
        <v>23934.55</v>
      </c>
      <c r="F2290" s="259">
        <f t="shared" si="127"/>
        <v>155655.27931078128</v>
      </c>
    </row>
    <row r="2291" spans="2:6" ht="33.75" x14ac:dyDescent="0.25">
      <c r="B2291" s="261" t="str">
        <f>INSUMOS!B269</f>
        <v>Fibra Sintética refuerzo concreto X 1.8 kg. Tipo NIKON. + TRANSPORTE, RENDIMIENTO DE 1.8 kg/m3</v>
      </c>
      <c r="C2291" s="256" t="s">
        <v>17</v>
      </c>
      <c r="D2291" s="257">
        <f>0.3*1.25*2.2*1.8*1.05</f>
        <v>1.5592500000000002</v>
      </c>
      <c r="E2291" s="258">
        <f>INSUMOS!D269</f>
        <v>96900</v>
      </c>
      <c r="F2291" s="259">
        <f t="shared" si="127"/>
        <v>151091.32500000001</v>
      </c>
    </row>
    <row r="2292" spans="2:6" ht="22.5" x14ac:dyDescent="0.25">
      <c r="B2292" s="261" t="str">
        <f>INSUMOS!B200</f>
        <v>Formaleta Madera (Fenolica similar a supert). (18 mm 183x2.44)+transporte</v>
      </c>
      <c r="C2292" s="256" t="s">
        <v>17</v>
      </c>
      <c r="D2292" s="257">
        <f>+(0.75*2*1.8+1.25*2*1.8+1.7*2*1.8+2.2*2*1.8)/(1.84*2.44)</f>
        <v>4.7309337134711331</v>
      </c>
      <c r="E2292" s="258">
        <f>INSUMOS!D200</f>
        <v>264900</v>
      </c>
      <c r="F2292" s="259">
        <f t="shared" si="127"/>
        <v>1253224.3406985032</v>
      </c>
    </row>
    <row r="2293" spans="2:6" ht="22.5" x14ac:dyDescent="0.25">
      <c r="B2293" s="261" t="str">
        <f>INSUMOS!B202</f>
        <v>Larguero madera comun 4 cmx8cmx2.80 m. Incluye transporte</v>
      </c>
      <c r="C2293" s="256" t="s">
        <v>17</v>
      </c>
      <c r="D2293" s="257">
        <v>4.5</v>
      </c>
      <c r="E2293" s="258">
        <f>INSUMOS!D202</f>
        <v>20135</v>
      </c>
      <c r="F2293" s="259">
        <f t="shared" si="127"/>
        <v>90607.5</v>
      </c>
    </row>
    <row r="2294" spans="2:6" ht="67.5" x14ac:dyDescent="0.25">
      <c r="B2294" s="260" t="str">
        <f>INSUMOS!B214</f>
        <v>Separol o equivalente (Desmoldante para evitar adherencia de concretos a formaletas.Presentación 15Kg. Rendimiento metal :45g/m2 madera:55g/m2 (15 kg)). para metal puro, para madera diluir hasta 5 partes de agua segun porosidad de la madera.</v>
      </c>
      <c r="C2294" s="256" t="s">
        <v>17</v>
      </c>
      <c r="D2294" s="257">
        <f>+(0.75*2*1.8+1.25*2*1.8+1.7*2*1.8+2.2*2*1.8)*55/15000*1.1</f>
        <v>8.5668000000000008E-2</v>
      </c>
      <c r="E2294" s="258">
        <f>INSUMOS!D214</f>
        <v>550778</v>
      </c>
      <c r="F2294" s="259">
        <f t="shared" si="127"/>
        <v>47184.049704000005</v>
      </c>
    </row>
    <row r="2295" spans="2:6" x14ac:dyDescent="0.25">
      <c r="B2295" s="261" t="str">
        <f>INSUMOS!B205</f>
        <v>Clavo común x CAJA por 500 gr</v>
      </c>
      <c r="C2295" s="256" t="s">
        <v>576</v>
      </c>
      <c r="D2295" s="257">
        <v>1</v>
      </c>
      <c r="E2295" s="258">
        <f>INSUMOS!E205</f>
        <v>5000</v>
      </c>
      <c r="F2295" s="259">
        <f t="shared" si="127"/>
        <v>5000</v>
      </c>
    </row>
    <row r="2296" spans="2:6" x14ac:dyDescent="0.25">
      <c r="B2296" s="261" t="str">
        <f>INSUMOS!B204</f>
        <v>Taco de madera de 3.0 m</v>
      </c>
      <c r="C2296" s="256" t="s">
        <v>17</v>
      </c>
      <c r="D2296" s="257">
        <v>3</v>
      </c>
      <c r="E2296" s="258">
        <f>INSUMOS!D204</f>
        <v>9482</v>
      </c>
      <c r="F2296" s="259">
        <f t="shared" si="127"/>
        <v>28446</v>
      </c>
    </row>
    <row r="2297" spans="2:6" ht="22.5" x14ac:dyDescent="0.25">
      <c r="B2297" s="261" t="str">
        <f>INSUMOS!B248</f>
        <v>Tabla madera común de 2.5 cm x 20cm x 2.80m. Incluye transporte.</v>
      </c>
      <c r="C2297" s="256" t="s">
        <v>17</v>
      </c>
      <c r="D2297" s="257">
        <v>3</v>
      </c>
      <c r="E2297" s="258">
        <f>INSUMOS!D248</f>
        <v>17255</v>
      </c>
      <c r="F2297" s="259">
        <f t="shared" si="127"/>
        <v>51765</v>
      </c>
    </row>
    <row r="2298" spans="2:6" x14ac:dyDescent="0.25">
      <c r="B2298" s="261"/>
      <c r="C2298" s="256"/>
      <c r="D2298" s="257"/>
      <c r="E2298" s="258"/>
      <c r="F2298" s="259">
        <f t="shared" si="127"/>
        <v>0</v>
      </c>
    </row>
    <row r="2299" spans="2:6" ht="15.75" thickBot="1" x14ac:dyDescent="0.3">
      <c r="B2299" s="611" t="s">
        <v>286</v>
      </c>
      <c r="C2299" s="612"/>
      <c r="D2299" s="612"/>
      <c r="E2299" s="613"/>
      <c r="F2299" s="284">
        <f>SUM(F2289:F2298)</f>
        <v>3647699.8498330382</v>
      </c>
    </row>
    <row r="2300" spans="2:6" x14ac:dyDescent="0.25">
      <c r="B2300" s="594" t="s">
        <v>277</v>
      </c>
      <c r="C2300" s="595"/>
      <c r="D2300" s="595"/>
      <c r="E2300" s="595"/>
      <c r="F2300" s="596"/>
    </row>
    <row r="2301" spans="2:6" x14ac:dyDescent="0.25">
      <c r="B2301" s="266" t="str">
        <f>CUADRILLAS!A92</f>
        <v>Cuad. Concreto (1of + 3ay)</v>
      </c>
      <c r="C2301" s="267" t="s">
        <v>110</v>
      </c>
      <c r="D2301" s="268">
        <v>1.5</v>
      </c>
      <c r="E2301" s="269">
        <f>CUADRILLAS!B92</f>
        <v>349423</v>
      </c>
      <c r="F2301" s="270">
        <f>D2301*E2301</f>
        <v>524134.5</v>
      </c>
    </row>
    <row r="2302" spans="2:6" x14ac:dyDescent="0.25">
      <c r="B2302" s="266"/>
      <c r="C2302" s="267"/>
      <c r="D2302" s="268"/>
      <c r="E2302" s="269"/>
      <c r="F2302" s="270">
        <f>D2302*E2302</f>
        <v>0</v>
      </c>
    </row>
    <row r="2303" spans="2:6" x14ac:dyDescent="0.25">
      <c r="B2303" s="272"/>
      <c r="C2303" s="273"/>
      <c r="D2303" s="268"/>
      <c r="E2303" s="271"/>
      <c r="F2303" s="270">
        <f>D2303*E2303</f>
        <v>0</v>
      </c>
    </row>
    <row r="2304" spans="2:6" ht="15.75" thickBot="1" x14ac:dyDescent="0.3">
      <c r="B2304" s="611" t="s">
        <v>287</v>
      </c>
      <c r="C2304" s="612"/>
      <c r="D2304" s="612"/>
      <c r="E2304" s="613"/>
      <c r="F2304" s="274">
        <f>SUM(F2301:F2303)</f>
        <v>524134.5</v>
      </c>
    </row>
    <row r="2305" spans="2:6" x14ac:dyDescent="0.25">
      <c r="B2305" s="594" t="s">
        <v>278</v>
      </c>
      <c r="C2305" s="595"/>
      <c r="D2305" s="595"/>
      <c r="E2305" s="595"/>
      <c r="F2305" s="596"/>
    </row>
    <row r="2306" spans="2:6" x14ac:dyDescent="0.25">
      <c r="B2306" s="272" t="s">
        <v>279</v>
      </c>
      <c r="C2306" s="273" t="s">
        <v>280</v>
      </c>
      <c r="D2306" s="268">
        <v>0.05</v>
      </c>
      <c r="E2306" s="271">
        <f>F2304</f>
        <v>524134.5</v>
      </c>
      <c r="F2306" s="270">
        <f>D2306*E2306</f>
        <v>26206.725000000002</v>
      </c>
    </row>
    <row r="2307" spans="2:6" ht="15.75" thickBot="1" x14ac:dyDescent="0.3">
      <c r="B2307" s="611" t="s">
        <v>288</v>
      </c>
      <c r="C2307" s="612"/>
      <c r="D2307" s="612"/>
      <c r="E2307" s="613"/>
      <c r="F2307" s="274">
        <f>SUM(F2306)</f>
        <v>26206.725000000002</v>
      </c>
    </row>
    <row r="2308" spans="2:6" x14ac:dyDescent="0.25">
      <c r="B2308" s="594" t="s">
        <v>281</v>
      </c>
      <c r="C2308" s="595"/>
      <c r="D2308" s="595"/>
      <c r="E2308" s="595"/>
      <c r="F2308" s="596"/>
    </row>
    <row r="2309" spans="2:6" x14ac:dyDescent="0.25">
      <c r="B2309" s="272" t="str">
        <f>INSUMOS!B230</f>
        <v>Vibrador eléctrico de aguja a 110 V</v>
      </c>
      <c r="C2309" s="273" t="s">
        <v>110</v>
      </c>
      <c r="D2309" s="268">
        <v>1.5</v>
      </c>
      <c r="E2309" s="271">
        <f>INSUMOS!D230</f>
        <v>48433</v>
      </c>
      <c r="F2309" s="259">
        <f t="shared" ref="F2309:F2320" si="128">D2309*E2309</f>
        <v>72649.5</v>
      </c>
    </row>
    <row r="2310" spans="2:6" x14ac:dyDescent="0.25">
      <c r="B2310" s="272" t="str">
        <f>INSUMOS!B218</f>
        <v xml:space="preserve">Extensión eléctrica encauchetada (50m) </v>
      </c>
      <c r="C2310" s="273" t="s">
        <v>110</v>
      </c>
      <c r="D2310" s="268">
        <v>1.5</v>
      </c>
      <c r="E2310" s="271">
        <f>INSUMOS!F218</f>
        <v>9163</v>
      </c>
      <c r="F2310" s="259">
        <f t="shared" si="128"/>
        <v>13744.5</v>
      </c>
    </row>
    <row r="2311" spans="2:6" x14ac:dyDescent="0.25">
      <c r="B2311" s="272" t="str">
        <f>INSUMOS!B223</f>
        <v>Sierra circular manual + disco</v>
      </c>
      <c r="C2311" s="273" t="s">
        <v>110</v>
      </c>
      <c r="D2311" s="268">
        <v>1.5</v>
      </c>
      <c r="E2311" s="271">
        <f>INSUMOS!D223</f>
        <v>35000</v>
      </c>
      <c r="F2311" s="259">
        <f t="shared" si="128"/>
        <v>52500</v>
      </c>
    </row>
    <row r="2312" spans="2:6" x14ac:dyDescent="0.25">
      <c r="B2312" s="272"/>
      <c r="C2312" s="273"/>
      <c r="D2312" s="268"/>
      <c r="E2312" s="271"/>
      <c r="F2312" s="259">
        <f t="shared" si="128"/>
        <v>0</v>
      </c>
    </row>
    <row r="2313" spans="2:6" x14ac:dyDescent="0.25">
      <c r="B2313" s="272"/>
      <c r="C2313" s="273"/>
      <c r="D2313" s="268"/>
      <c r="E2313" s="271"/>
      <c r="F2313" s="259">
        <f t="shared" si="128"/>
        <v>0</v>
      </c>
    </row>
    <row r="2314" spans="2:6" x14ac:dyDescent="0.25">
      <c r="B2314" s="272"/>
      <c r="C2314" s="273"/>
      <c r="D2314" s="268"/>
      <c r="E2314" s="271"/>
      <c r="F2314" s="259">
        <f t="shared" si="128"/>
        <v>0</v>
      </c>
    </row>
    <row r="2315" spans="2:6" x14ac:dyDescent="0.25">
      <c r="B2315" s="272"/>
      <c r="C2315" s="273"/>
      <c r="D2315" s="268"/>
      <c r="E2315" s="271"/>
      <c r="F2315" s="259">
        <f t="shared" si="128"/>
        <v>0</v>
      </c>
    </row>
    <row r="2316" spans="2:6" x14ac:dyDescent="0.25">
      <c r="B2316" s="272"/>
      <c r="C2316" s="273"/>
      <c r="D2316" s="268"/>
      <c r="E2316" s="271"/>
      <c r="F2316" s="259">
        <f t="shared" si="128"/>
        <v>0</v>
      </c>
    </row>
    <row r="2317" spans="2:6" x14ac:dyDescent="0.25">
      <c r="B2317" s="272"/>
      <c r="C2317" s="273"/>
      <c r="D2317" s="268"/>
      <c r="E2317" s="271"/>
      <c r="F2317" s="259">
        <f t="shared" si="128"/>
        <v>0</v>
      </c>
    </row>
    <row r="2318" spans="2:6" x14ac:dyDescent="0.25">
      <c r="B2318" s="272"/>
      <c r="C2318" s="273"/>
      <c r="D2318" s="268"/>
      <c r="E2318" s="271"/>
      <c r="F2318" s="259">
        <f t="shared" si="128"/>
        <v>0</v>
      </c>
    </row>
    <row r="2319" spans="2:6" x14ac:dyDescent="0.25">
      <c r="B2319" s="272"/>
      <c r="C2319" s="273"/>
      <c r="D2319" s="268"/>
      <c r="E2319" s="271"/>
      <c r="F2319" s="259">
        <f t="shared" si="128"/>
        <v>0</v>
      </c>
    </row>
    <row r="2320" spans="2:6" x14ac:dyDescent="0.25">
      <c r="B2320" s="272"/>
      <c r="C2320" s="273"/>
      <c r="D2320" s="268"/>
      <c r="E2320" s="271"/>
      <c r="F2320" s="259">
        <f t="shared" si="128"/>
        <v>0</v>
      </c>
    </row>
    <row r="2321" spans="2:6" ht="15.75" thickBot="1" x14ac:dyDescent="0.3">
      <c r="B2321" s="611" t="s">
        <v>289</v>
      </c>
      <c r="C2321" s="612"/>
      <c r="D2321" s="612"/>
      <c r="E2321" s="613"/>
      <c r="F2321" s="274">
        <f>SUM(F2309:F2320)</f>
        <v>138894</v>
      </c>
    </row>
    <row r="2322" spans="2:6" x14ac:dyDescent="0.25">
      <c r="B2322" s="594" t="s">
        <v>290</v>
      </c>
      <c r="C2322" s="595"/>
      <c r="D2322" s="595"/>
      <c r="E2322" s="595"/>
      <c r="F2322" s="596"/>
    </row>
    <row r="2323" spans="2:6" x14ac:dyDescent="0.25">
      <c r="B2323" s="272" t="s">
        <v>883</v>
      </c>
      <c r="C2323" s="273" t="s">
        <v>117</v>
      </c>
      <c r="D2323" s="275">
        <f>D2289*1.8</f>
        <v>5.3209406250000013</v>
      </c>
      <c r="E2323" s="276">
        <v>15000</v>
      </c>
      <c r="F2323" s="259">
        <f>D2323*E2323</f>
        <v>79814.109375000015</v>
      </c>
    </row>
    <row r="2324" spans="2:6" x14ac:dyDescent="0.25">
      <c r="B2324" s="277"/>
      <c r="C2324" s="278"/>
      <c r="D2324" s="279"/>
      <c r="E2324" s="280"/>
      <c r="F2324" s="259">
        <f>D2324*E2324</f>
        <v>0</v>
      </c>
    </row>
    <row r="2325" spans="2:6" x14ac:dyDescent="0.25">
      <c r="B2325" s="277"/>
      <c r="C2325" s="278"/>
      <c r="D2325" s="279"/>
      <c r="E2325" s="280"/>
      <c r="F2325" s="259">
        <f>D2325*E2325</f>
        <v>0</v>
      </c>
    </row>
    <row r="2326" spans="2:6" ht="15.75" thickBot="1" x14ac:dyDescent="0.3">
      <c r="B2326" s="611" t="s">
        <v>291</v>
      </c>
      <c r="C2326" s="612"/>
      <c r="D2326" s="612"/>
      <c r="E2326" s="613"/>
      <c r="F2326" s="285">
        <f>SUM(F2323:F2325)</f>
        <v>79814.109375000015</v>
      </c>
    </row>
    <row r="2327" spans="2:6" ht="15.75" thickBot="1" x14ac:dyDescent="0.3">
      <c r="B2327" s="600" t="s">
        <v>282</v>
      </c>
      <c r="C2327" s="601"/>
      <c r="D2327" s="601"/>
      <c r="E2327" s="601"/>
      <c r="F2327" s="286">
        <f>ROUND(F2299+F2304+F2307+F2321+F2326,0)</f>
        <v>4416749</v>
      </c>
    </row>
    <row r="2328" spans="2:6" ht="15.75" thickBot="1" x14ac:dyDescent="0.3"/>
    <row r="2329" spans="2:6" ht="15.75" thickBot="1" x14ac:dyDescent="0.3">
      <c r="B2329" s="602" t="s">
        <v>276</v>
      </c>
      <c r="C2329" s="603"/>
      <c r="D2329" s="603"/>
      <c r="E2329" s="603"/>
      <c r="F2329" s="604"/>
    </row>
    <row r="2330" spans="2:6" ht="15.75" thickBot="1" x14ac:dyDescent="0.3">
      <c r="B2330" s="605" t="s">
        <v>104</v>
      </c>
      <c r="C2330" s="606"/>
      <c r="D2330" s="607"/>
      <c r="E2330" s="282" t="s">
        <v>105</v>
      </c>
      <c r="F2330" s="283" t="s">
        <v>103</v>
      </c>
    </row>
    <row r="2331" spans="2:6" ht="60.6" customHeight="1" thickBot="1" x14ac:dyDescent="0.3">
      <c r="B2331" s="608" t="str">
        <f>'PRESUPUESTO CALLE 58 SUR'!B63</f>
        <v>Construcción de Emboquillada de tubería en pared DE POCETA Y CANAL, según especificaciones técnicas de EEPP de Medellín. Incluye suministro, transporte e instalación de los materiales y todo lo necesario para su correcta ejecución.</v>
      </c>
      <c r="C2331" s="609"/>
      <c r="D2331" s="610"/>
      <c r="E2331" s="449" t="str">
        <f>'PRESUPUESTO CALLE 58 SUR'!C63</f>
        <v>un</v>
      </c>
      <c r="F2331" s="448">
        <f>'PRESUPUESTO CALLE 58 SUR'!A63</f>
        <v>9.6999999999999993</v>
      </c>
    </row>
    <row r="2332" spans="2:6" ht="15.75" thickBot="1" x14ac:dyDescent="0.3">
      <c r="B2332" s="250" t="s">
        <v>8</v>
      </c>
      <c r="C2332" s="251" t="s">
        <v>9</v>
      </c>
      <c r="D2332" s="252" t="s">
        <v>10</v>
      </c>
      <c r="E2332" s="253" t="s">
        <v>283</v>
      </c>
      <c r="F2332" s="254" t="s">
        <v>284</v>
      </c>
    </row>
    <row r="2333" spans="2:6" x14ac:dyDescent="0.25">
      <c r="B2333" s="594" t="s">
        <v>285</v>
      </c>
      <c r="C2333" s="595"/>
      <c r="D2333" s="595"/>
      <c r="E2333" s="595"/>
      <c r="F2333" s="596"/>
    </row>
    <row r="2334" spans="2:6" x14ac:dyDescent="0.25">
      <c r="B2334" s="255" t="str">
        <f>SUBANALISIS!A78</f>
        <v>Concr.en obra 3000 psi 3/4"</v>
      </c>
      <c r="C2334" s="256" t="s">
        <v>117</v>
      </c>
      <c r="D2334" s="257">
        <v>0.12</v>
      </c>
      <c r="E2334" s="258">
        <f>SUBANALISIS!F78</f>
        <v>630810.91779999994</v>
      </c>
      <c r="F2334" s="259">
        <f t="shared" ref="F2334:F2345" si="129">D2334*E2334</f>
        <v>75697.310135999986</v>
      </c>
    </row>
    <row r="2335" spans="2:6" ht="22.5" x14ac:dyDescent="0.25">
      <c r="B2335" s="260" t="str">
        <f>INSUMOS!B248</f>
        <v>Tabla madera común de 2.5 cm x 20cm x 2.80m. Incluye transporte.</v>
      </c>
      <c r="C2335" s="256" t="s">
        <v>17</v>
      </c>
      <c r="D2335" s="257">
        <v>1</v>
      </c>
      <c r="E2335" s="258">
        <f>INSUMOS!D248</f>
        <v>17255</v>
      </c>
      <c r="F2335" s="259">
        <f t="shared" si="129"/>
        <v>17255</v>
      </c>
    </row>
    <row r="2336" spans="2:6" ht="22.5" x14ac:dyDescent="0.25">
      <c r="B2336" s="261" t="str">
        <f>INSUMOS!B202</f>
        <v>Larguero madera comun 4 cmx8cmx2.80 m. Incluye transporte</v>
      </c>
      <c r="C2336" s="256" t="s">
        <v>17</v>
      </c>
      <c r="D2336" s="257">
        <v>1</v>
      </c>
      <c r="E2336" s="258">
        <f>INSUMOS!D202</f>
        <v>20135</v>
      </c>
      <c r="F2336" s="259">
        <f t="shared" si="129"/>
        <v>20135</v>
      </c>
    </row>
    <row r="2337" spans="2:6" x14ac:dyDescent="0.25">
      <c r="B2337" s="261" t="str">
        <f>INSUMOS!B206</f>
        <v>Clavo de acero liso 1" (500gr).</v>
      </c>
      <c r="C2337" s="256" t="s">
        <v>576</v>
      </c>
      <c r="D2337" s="257">
        <v>0.5</v>
      </c>
      <c r="E2337" s="258">
        <f>INSUMOS!D206</f>
        <v>8900</v>
      </c>
      <c r="F2337" s="259">
        <f t="shared" si="129"/>
        <v>4450</v>
      </c>
    </row>
    <row r="2338" spans="2:6" x14ac:dyDescent="0.25">
      <c r="B2338" s="261"/>
      <c r="C2338" s="256"/>
      <c r="D2338" s="257"/>
      <c r="E2338" s="258"/>
      <c r="F2338" s="259">
        <f t="shared" si="129"/>
        <v>0</v>
      </c>
    </row>
    <row r="2339" spans="2:6" x14ac:dyDescent="0.25">
      <c r="B2339" s="261"/>
      <c r="C2339" s="256"/>
      <c r="D2339" s="257"/>
      <c r="E2339" s="258"/>
      <c r="F2339" s="259">
        <f t="shared" si="129"/>
        <v>0</v>
      </c>
    </row>
    <row r="2340" spans="2:6" x14ac:dyDescent="0.25">
      <c r="B2340" s="261"/>
      <c r="C2340" s="256"/>
      <c r="D2340" s="257"/>
      <c r="E2340" s="258"/>
      <c r="F2340" s="259">
        <f t="shared" si="129"/>
        <v>0</v>
      </c>
    </row>
    <row r="2341" spans="2:6" x14ac:dyDescent="0.25">
      <c r="B2341" s="261"/>
      <c r="C2341" s="256"/>
      <c r="D2341" s="257"/>
      <c r="E2341" s="258"/>
      <c r="F2341" s="259">
        <f t="shared" si="129"/>
        <v>0</v>
      </c>
    </row>
    <row r="2342" spans="2:6" x14ac:dyDescent="0.25">
      <c r="B2342" s="261"/>
      <c r="C2342" s="256"/>
      <c r="D2342" s="257"/>
      <c r="E2342" s="258"/>
      <c r="F2342" s="259">
        <f t="shared" si="129"/>
        <v>0</v>
      </c>
    </row>
    <row r="2343" spans="2:6" x14ac:dyDescent="0.25">
      <c r="B2343" s="261"/>
      <c r="C2343" s="256"/>
      <c r="D2343" s="257"/>
      <c r="E2343" s="258"/>
      <c r="F2343" s="259">
        <f t="shared" si="129"/>
        <v>0</v>
      </c>
    </row>
    <row r="2344" spans="2:6" x14ac:dyDescent="0.25">
      <c r="B2344" s="261"/>
      <c r="C2344" s="256"/>
      <c r="D2344" s="257"/>
      <c r="E2344" s="258"/>
      <c r="F2344" s="259">
        <f t="shared" si="129"/>
        <v>0</v>
      </c>
    </row>
    <row r="2345" spans="2:6" x14ac:dyDescent="0.25">
      <c r="B2345" s="262"/>
      <c r="C2345" s="263"/>
      <c r="D2345" s="264"/>
      <c r="E2345" s="265"/>
      <c r="F2345" s="259">
        <f t="shared" si="129"/>
        <v>0</v>
      </c>
    </row>
    <row r="2346" spans="2:6" ht="15.75" thickBot="1" x14ac:dyDescent="0.3">
      <c r="B2346" s="611" t="s">
        <v>286</v>
      </c>
      <c r="C2346" s="612"/>
      <c r="D2346" s="612"/>
      <c r="E2346" s="613"/>
      <c r="F2346" s="284">
        <f>SUM(F2334:F2345)</f>
        <v>117537.31013599999</v>
      </c>
    </row>
    <row r="2347" spans="2:6" x14ac:dyDescent="0.25">
      <c r="B2347" s="594" t="s">
        <v>277</v>
      </c>
      <c r="C2347" s="595"/>
      <c r="D2347" s="595"/>
      <c r="E2347" s="595"/>
      <c r="F2347" s="596"/>
    </row>
    <row r="2348" spans="2:6" x14ac:dyDescent="0.25">
      <c r="B2348" s="266" t="str">
        <f>CUADRILLAS!A79</f>
        <v>Cuad. 1of + 1ay</v>
      </c>
      <c r="C2348" s="267" t="s">
        <v>110</v>
      </c>
      <c r="D2348" s="268">
        <v>0.2</v>
      </c>
      <c r="E2348" s="269">
        <f>CUADRILLAS!B79</f>
        <v>207851</v>
      </c>
      <c r="F2348" s="270">
        <f>D2348*E2348</f>
        <v>41570.200000000004</v>
      </c>
    </row>
    <row r="2349" spans="2:6" x14ac:dyDescent="0.25">
      <c r="B2349" s="266"/>
      <c r="C2349" s="267"/>
      <c r="D2349" s="268"/>
      <c r="E2349" s="269"/>
      <c r="F2349" s="270">
        <f>D2349*E2349</f>
        <v>0</v>
      </c>
    </row>
    <row r="2350" spans="2:6" x14ac:dyDescent="0.25">
      <c r="B2350" s="266"/>
      <c r="C2350" s="267"/>
      <c r="D2350" s="268"/>
      <c r="E2350" s="271"/>
      <c r="F2350" s="270">
        <f>D2350*E2350</f>
        <v>0</v>
      </c>
    </row>
    <row r="2351" spans="2:6" x14ac:dyDescent="0.25">
      <c r="B2351" s="272"/>
      <c r="C2351" s="273"/>
      <c r="D2351" s="268"/>
      <c r="E2351" s="271"/>
      <c r="F2351" s="270">
        <f>D2351*E2351</f>
        <v>0</v>
      </c>
    </row>
    <row r="2352" spans="2:6" ht="15.75" thickBot="1" x14ac:dyDescent="0.3">
      <c r="B2352" s="611" t="s">
        <v>287</v>
      </c>
      <c r="C2352" s="612"/>
      <c r="D2352" s="612"/>
      <c r="E2352" s="613"/>
      <c r="F2352" s="274">
        <f>SUM(F2348:F2351)</f>
        <v>41570.200000000004</v>
      </c>
    </row>
    <row r="2353" spans="2:6" x14ac:dyDescent="0.25">
      <c r="B2353" s="594" t="s">
        <v>278</v>
      </c>
      <c r="C2353" s="595"/>
      <c r="D2353" s="595"/>
      <c r="E2353" s="595"/>
      <c r="F2353" s="596"/>
    </row>
    <row r="2354" spans="2:6" x14ac:dyDescent="0.25">
      <c r="B2354" s="272" t="s">
        <v>279</v>
      </c>
      <c r="C2354" s="273" t="s">
        <v>280</v>
      </c>
      <c r="D2354" s="268">
        <v>0.05</v>
      </c>
      <c r="E2354" s="271">
        <f>F2352</f>
        <v>41570.200000000004</v>
      </c>
      <c r="F2354" s="270">
        <f>D2354*E2354</f>
        <v>2078.5100000000002</v>
      </c>
    </row>
    <row r="2355" spans="2:6" ht="15.75" thickBot="1" x14ac:dyDescent="0.3">
      <c r="B2355" s="611" t="s">
        <v>288</v>
      </c>
      <c r="C2355" s="612"/>
      <c r="D2355" s="612"/>
      <c r="E2355" s="613"/>
      <c r="F2355" s="274">
        <f>SUM(F2354)</f>
        <v>2078.5100000000002</v>
      </c>
    </row>
    <row r="2356" spans="2:6" x14ac:dyDescent="0.25">
      <c r="B2356" s="594" t="s">
        <v>281</v>
      </c>
      <c r="C2356" s="595"/>
      <c r="D2356" s="595"/>
      <c r="E2356" s="595"/>
      <c r="F2356" s="596"/>
    </row>
    <row r="2357" spans="2:6" x14ac:dyDescent="0.25">
      <c r="B2357" s="272"/>
      <c r="C2357" s="273"/>
      <c r="D2357" s="268"/>
      <c r="E2357" s="271"/>
      <c r="F2357" s="259">
        <f t="shared" ref="F2357:F2368" si="130">D2357*E2357</f>
        <v>0</v>
      </c>
    </row>
    <row r="2358" spans="2:6" x14ac:dyDescent="0.25">
      <c r="B2358" s="272"/>
      <c r="C2358" s="273"/>
      <c r="D2358" s="268"/>
      <c r="E2358" s="271"/>
      <c r="F2358" s="259">
        <f t="shared" si="130"/>
        <v>0</v>
      </c>
    </row>
    <row r="2359" spans="2:6" x14ac:dyDescent="0.25">
      <c r="B2359" s="272"/>
      <c r="C2359" s="273"/>
      <c r="D2359" s="268"/>
      <c r="E2359" s="271"/>
      <c r="F2359" s="259">
        <f t="shared" si="130"/>
        <v>0</v>
      </c>
    </row>
    <row r="2360" spans="2:6" x14ac:dyDescent="0.25">
      <c r="B2360" s="272"/>
      <c r="C2360" s="273"/>
      <c r="D2360" s="268"/>
      <c r="E2360" s="271"/>
      <c r="F2360" s="259">
        <f t="shared" si="130"/>
        <v>0</v>
      </c>
    </row>
    <row r="2361" spans="2:6" x14ac:dyDescent="0.25">
      <c r="B2361" s="272"/>
      <c r="C2361" s="273"/>
      <c r="D2361" s="268"/>
      <c r="E2361" s="271"/>
      <c r="F2361" s="259">
        <f t="shared" si="130"/>
        <v>0</v>
      </c>
    </row>
    <row r="2362" spans="2:6" x14ac:dyDescent="0.25">
      <c r="B2362" s="272"/>
      <c r="C2362" s="273"/>
      <c r="D2362" s="268"/>
      <c r="E2362" s="271"/>
      <c r="F2362" s="259">
        <f t="shared" si="130"/>
        <v>0</v>
      </c>
    </row>
    <row r="2363" spans="2:6" x14ac:dyDescent="0.25">
      <c r="B2363" s="272"/>
      <c r="C2363" s="273"/>
      <c r="D2363" s="268"/>
      <c r="E2363" s="271"/>
      <c r="F2363" s="259">
        <f t="shared" si="130"/>
        <v>0</v>
      </c>
    </row>
    <row r="2364" spans="2:6" x14ac:dyDescent="0.25">
      <c r="B2364" s="272"/>
      <c r="C2364" s="273"/>
      <c r="D2364" s="268"/>
      <c r="E2364" s="271"/>
      <c r="F2364" s="259">
        <f t="shared" si="130"/>
        <v>0</v>
      </c>
    </row>
    <row r="2365" spans="2:6" x14ac:dyDescent="0.25">
      <c r="B2365" s="272"/>
      <c r="C2365" s="273"/>
      <c r="D2365" s="268"/>
      <c r="E2365" s="271"/>
      <c r="F2365" s="259">
        <f t="shared" si="130"/>
        <v>0</v>
      </c>
    </row>
    <row r="2366" spans="2:6" x14ac:dyDescent="0.25">
      <c r="B2366" s="272"/>
      <c r="C2366" s="273"/>
      <c r="D2366" s="268"/>
      <c r="E2366" s="271"/>
      <c r="F2366" s="259">
        <f t="shared" si="130"/>
        <v>0</v>
      </c>
    </row>
    <row r="2367" spans="2:6" x14ac:dyDescent="0.25">
      <c r="B2367" s="272"/>
      <c r="C2367" s="273"/>
      <c r="D2367" s="268"/>
      <c r="E2367" s="271"/>
      <c r="F2367" s="259">
        <f t="shared" si="130"/>
        <v>0</v>
      </c>
    </row>
    <row r="2368" spans="2:6" x14ac:dyDescent="0.25">
      <c r="B2368" s="272"/>
      <c r="C2368" s="273"/>
      <c r="D2368" s="268"/>
      <c r="E2368" s="271"/>
      <c r="F2368" s="259">
        <f t="shared" si="130"/>
        <v>0</v>
      </c>
    </row>
    <row r="2369" spans="2:6" ht="15.75" thickBot="1" x14ac:dyDescent="0.3">
      <c r="B2369" s="611" t="s">
        <v>289</v>
      </c>
      <c r="C2369" s="612"/>
      <c r="D2369" s="612"/>
      <c r="E2369" s="613"/>
      <c r="F2369" s="274">
        <f>SUM(F2357:F2368)</f>
        <v>0</v>
      </c>
    </row>
    <row r="2370" spans="2:6" x14ac:dyDescent="0.25">
      <c r="B2370" s="594" t="s">
        <v>290</v>
      </c>
      <c r="C2370" s="595"/>
      <c r="D2370" s="595"/>
      <c r="E2370" s="595"/>
      <c r="F2370" s="596"/>
    </row>
    <row r="2371" spans="2:6" x14ac:dyDescent="0.25">
      <c r="B2371" s="272" t="s">
        <v>883</v>
      </c>
      <c r="C2371" s="273" t="s">
        <v>117</v>
      </c>
      <c r="D2371" s="275">
        <v>2.1600000000000001E-2</v>
      </c>
      <c r="E2371" s="276">
        <v>15000</v>
      </c>
      <c r="F2371" s="259">
        <f>D2371*E2371</f>
        <v>324</v>
      </c>
    </row>
    <row r="2372" spans="2:6" x14ac:dyDescent="0.25">
      <c r="B2372" s="277"/>
      <c r="C2372" s="278"/>
      <c r="D2372" s="279"/>
      <c r="E2372" s="280"/>
      <c r="F2372" s="259">
        <f>D2372*E2372</f>
        <v>0</v>
      </c>
    </row>
    <row r="2373" spans="2:6" x14ac:dyDescent="0.25">
      <c r="B2373" s="277"/>
      <c r="C2373" s="278"/>
      <c r="D2373" s="279"/>
      <c r="E2373" s="280"/>
      <c r="F2373" s="259">
        <f>D2373*E2373</f>
        <v>0</v>
      </c>
    </row>
    <row r="2374" spans="2:6" ht="15.75" thickBot="1" x14ac:dyDescent="0.3">
      <c r="B2374" s="611" t="s">
        <v>291</v>
      </c>
      <c r="C2374" s="612"/>
      <c r="D2374" s="612"/>
      <c r="E2374" s="613"/>
      <c r="F2374" s="285">
        <f>SUM(F2371:F2373)</f>
        <v>324</v>
      </c>
    </row>
    <row r="2375" spans="2:6" ht="15.75" thickBot="1" x14ac:dyDescent="0.3">
      <c r="B2375" s="600" t="s">
        <v>282</v>
      </c>
      <c r="C2375" s="601"/>
      <c r="D2375" s="601"/>
      <c r="E2375" s="601"/>
      <c r="F2375" s="286">
        <f>ROUND(F2346+F2352+F2355+F2369+F2374,0)</f>
        <v>161510</v>
      </c>
    </row>
    <row r="2376" spans="2:6" ht="15.75" thickBot="1" x14ac:dyDescent="0.3"/>
    <row r="2377" spans="2:6" ht="15.75" thickBot="1" x14ac:dyDescent="0.3">
      <c r="B2377" s="602" t="s">
        <v>276</v>
      </c>
      <c r="C2377" s="603"/>
      <c r="D2377" s="603"/>
      <c r="E2377" s="603"/>
      <c r="F2377" s="604"/>
    </row>
    <row r="2378" spans="2:6" ht="15.75" thickBot="1" x14ac:dyDescent="0.3">
      <c r="B2378" s="605" t="s">
        <v>104</v>
      </c>
      <c r="C2378" s="606"/>
      <c r="D2378" s="607"/>
      <c r="E2378" s="282" t="s">
        <v>105</v>
      </c>
      <c r="F2378" s="283" t="s">
        <v>103</v>
      </c>
    </row>
    <row r="2379" spans="2:6" ht="67.900000000000006" customHeight="1" thickBot="1" x14ac:dyDescent="0.3">
      <c r="B2379" s="608" t="str">
        <f>'PRESUPUESTO CALLE 58 SUR'!B65</f>
        <v>EXCAVACIÓN MECÁNICA PARA CAJEO DE VIA  de material heterogéneo DE 0.0 - 2.0  m., bajo cualquier grado de humedad. Incluye: roca descompuesta, bolas de roca de volumen inferior a 0.35 m³., el cargue, transporte interno, botada de material proveniente de las excavaciones en los sitios donde lo indique la interventoría y su medida será en el sitio. No incluye entibado.</v>
      </c>
      <c r="C2379" s="609"/>
      <c r="D2379" s="610"/>
      <c r="E2379" s="449" t="str">
        <f>'PRESUPUESTO CALLE 58 SUR'!C65</f>
        <v>m3</v>
      </c>
      <c r="F2379" s="448">
        <f>'PRESUPUESTO CALLE 58 SUR'!A65</f>
        <v>10.1</v>
      </c>
    </row>
    <row r="2380" spans="2:6" ht="15.75" thickBot="1" x14ac:dyDescent="0.3">
      <c r="B2380" s="250" t="s">
        <v>8</v>
      </c>
      <c r="C2380" s="251" t="s">
        <v>9</v>
      </c>
      <c r="D2380" s="252" t="s">
        <v>10</v>
      </c>
      <c r="E2380" s="253" t="s">
        <v>283</v>
      </c>
      <c r="F2380" s="254" t="s">
        <v>284</v>
      </c>
    </row>
    <row r="2381" spans="2:6" x14ac:dyDescent="0.25">
      <c r="B2381" s="594" t="s">
        <v>285</v>
      </c>
      <c r="C2381" s="595"/>
      <c r="D2381" s="595"/>
      <c r="E2381" s="595"/>
      <c r="F2381" s="596"/>
    </row>
    <row r="2382" spans="2:6" x14ac:dyDescent="0.25">
      <c r="B2382" s="255"/>
      <c r="C2382" s="256"/>
      <c r="D2382" s="257"/>
      <c r="E2382" s="258"/>
      <c r="F2382" s="259">
        <f t="shared" ref="F2382:F2393" si="131">D2382*E2382</f>
        <v>0</v>
      </c>
    </row>
    <row r="2383" spans="2:6" x14ac:dyDescent="0.25">
      <c r="B2383" s="260"/>
      <c r="C2383" s="256"/>
      <c r="D2383" s="257"/>
      <c r="E2383" s="258"/>
      <c r="F2383" s="259">
        <f t="shared" si="131"/>
        <v>0</v>
      </c>
    </row>
    <row r="2384" spans="2:6" x14ac:dyDescent="0.25">
      <c r="B2384" s="261"/>
      <c r="C2384" s="256"/>
      <c r="D2384" s="257"/>
      <c r="E2384" s="258"/>
      <c r="F2384" s="259">
        <f t="shared" si="131"/>
        <v>0</v>
      </c>
    </row>
    <row r="2385" spans="2:6" x14ac:dyDescent="0.25">
      <c r="B2385" s="261"/>
      <c r="C2385" s="256"/>
      <c r="D2385" s="257"/>
      <c r="E2385" s="258"/>
      <c r="F2385" s="259">
        <f t="shared" si="131"/>
        <v>0</v>
      </c>
    </row>
    <row r="2386" spans="2:6" x14ac:dyDescent="0.25">
      <c r="B2386" s="261"/>
      <c r="C2386" s="256"/>
      <c r="D2386" s="257"/>
      <c r="E2386" s="258"/>
      <c r="F2386" s="259">
        <f t="shared" si="131"/>
        <v>0</v>
      </c>
    </row>
    <row r="2387" spans="2:6" x14ac:dyDescent="0.25">
      <c r="B2387" s="261"/>
      <c r="C2387" s="256"/>
      <c r="D2387" s="257"/>
      <c r="E2387" s="258"/>
      <c r="F2387" s="259">
        <f t="shared" si="131"/>
        <v>0</v>
      </c>
    </row>
    <row r="2388" spans="2:6" x14ac:dyDescent="0.25">
      <c r="B2388" s="261"/>
      <c r="C2388" s="256"/>
      <c r="D2388" s="257"/>
      <c r="E2388" s="258"/>
      <c r="F2388" s="259">
        <f t="shared" si="131"/>
        <v>0</v>
      </c>
    </row>
    <row r="2389" spans="2:6" x14ac:dyDescent="0.25">
      <c r="B2389" s="261"/>
      <c r="C2389" s="256"/>
      <c r="D2389" s="257"/>
      <c r="E2389" s="258"/>
      <c r="F2389" s="259">
        <f t="shared" si="131"/>
        <v>0</v>
      </c>
    </row>
    <row r="2390" spans="2:6" x14ac:dyDescent="0.25">
      <c r="B2390" s="261"/>
      <c r="C2390" s="256"/>
      <c r="D2390" s="257"/>
      <c r="E2390" s="258"/>
      <c r="F2390" s="259">
        <f t="shared" si="131"/>
        <v>0</v>
      </c>
    </row>
    <row r="2391" spans="2:6" x14ac:dyDescent="0.25">
      <c r="B2391" s="261"/>
      <c r="C2391" s="256"/>
      <c r="D2391" s="257"/>
      <c r="E2391" s="258"/>
      <c r="F2391" s="259">
        <f t="shared" si="131"/>
        <v>0</v>
      </c>
    </row>
    <row r="2392" spans="2:6" x14ac:dyDescent="0.25">
      <c r="B2392" s="261"/>
      <c r="C2392" s="256"/>
      <c r="D2392" s="257"/>
      <c r="E2392" s="258"/>
      <c r="F2392" s="259">
        <f t="shared" si="131"/>
        <v>0</v>
      </c>
    </row>
    <row r="2393" spans="2:6" x14ac:dyDescent="0.25">
      <c r="B2393" s="262"/>
      <c r="C2393" s="263"/>
      <c r="D2393" s="264"/>
      <c r="E2393" s="265"/>
      <c r="F2393" s="259">
        <f t="shared" si="131"/>
        <v>0</v>
      </c>
    </row>
    <row r="2394" spans="2:6" ht="15.75" thickBot="1" x14ac:dyDescent="0.3">
      <c r="B2394" s="611" t="s">
        <v>286</v>
      </c>
      <c r="C2394" s="612"/>
      <c r="D2394" s="612"/>
      <c r="E2394" s="613"/>
      <c r="F2394" s="284">
        <f>SUM(F2382:F2393)</f>
        <v>0</v>
      </c>
    </row>
    <row r="2395" spans="2:6" x14ac:dyDescent="0.25">
      <c r="B2395" s="594" t="s">
        <v>277</v>
      </c>
      <c r="C2395" s="595"/>
      <c r="D2395" s="595"/>
      <c r="E2395" s="595"/>
      <c r="F2395" s="596"/>
    </row>
    <row r="2396" spans="2:6" x14ac:dyDescent="0.25">
      <c r="B2396" s="266" t="str">
        <f>CUADRILLAS!A80</f>
        <v>1Ay Raso</v>
      </c>
      <c r="C2396" s="267" t="s">
        <v>110</v>
      </c>
      <c r="D2396" s="268">
        <v>0.05</v>
      </c>
      <c r="E2396" s="269">
        <f>CUADRILLAS!B80</f>
        <v>70786</v>
      </c>
      <c r="F2396" s="270">
        <f>D2396*E2396</f>
        <v>3539.3</v>
      </c>
    </row>
    <row r="2397" spans="2:6" x14ac:dyDescent="0.25">
      <c r="B2397" s="266"/>
      <c r="C2397" s="267"/>
      <c r="D2397" s="268"/>
      <c r="E2397" s="269"/>
      <c r="F2397" s="270">
        <f>D2397*E2397</f>
        <v>0</v>
      </c>
    </row>
    <row r="2398" spans="2:6" x14ac:dyDescent="0.25">
      <c r="B2398" s="266"/>
      <c r="C2398" s="267"/>
      <c r="D2398" s="268"/>
      <c r="E2398" s="271"/>
      <c r="F2398" s="270">
        <f>D2398*E2398</f>
        <v>0</v>
      </c>
    </row>
    <row r="2399" spans="2:6" x14ac:dyDescent="0.25">
      <c r="B2399" s="272"/>
      <c r="C2399" s="273"/>
      <c r="D2399" s="268"/>
      <c r="E2399" s="271"/>
      <c r="F2399" s="270">
        <f>D2399*E2399</f>
        <v>0</v>
      </c>
    </row>
    <row r="2400" spans="2:6" ht="15.75" thickBot="1" x14ac:dyDescent="0.3">
      <c r="B2400" s="611" t="s">
        <v>287</v>
      </c>
      <c r="C2400" s="612"/>
      <c r="D2400" s="612"/>
      <c r="E2400" s="613"/>
      <c r="F2400" s="274">
        <f>SUM(F2396:F2399)</f>
        <v>3539.3</v>
      </c>
    </row>
    <row r="2401" spans="2:6" x14ac:dyDescent="0.25">
      <c r="B2401" s="594" t="s">
        <v>278</v>
      </c>
      <c r="C2401" s="595"/>
      <c r="D2401" s="595"/>
      <c r="E2401" s="595"/>
      <c r="F2401" s="596"/>
    </row>
    <row r="2402" spans="2:6" x14ac:dyDescent="0.25">
      <c r="B2402" s="272" t="s">
        <v>279</v>
      </c>
      <c r="C2402" s="273" t="s">
        <v>280</v>
      </c>
      <c r="D2402" s="268">
        <v>0.05</v>
      </c>
      <c r="E2402" s="271">
        <f>F2400</f>
        <v>3539.3</v>
      </c>
      <c r="F2402" s="270">
        <f>D2402*E2402</f>
        <v>176.96500000000003</v>
      </c>
    </row>
    <row r="2403" spans="2:6" ht="15.75" thickBot="1" x14ac:dyDescent="0.3">
      <c r="B2403" s="611" t="s">
        <v>288</v>
      </c>
      <c r="C2403" s="612"/>
      <c r="D2403" s="612"/>
      <c r="E2403" s="613"/>
      <c r="F2403" s="274">
        <f>SUM(F2402)</f>
        <v>176.96500000000003</v>
      </c>
    </row>
    <row r="2404" spans="2:6" x14ac:dyDescent="0.25">
      <c r="B2404" s="594" t="s">
        <v>281</v>
      </c>
      <c r="C2404" s="595"/>
      <c r="D2404" s="595"/>
      <c r="E2404" s="595"/>
      <c r="F2404" s="596"/>
    </row>
    <row r="2405" spans="2:6" x14ac:dyDescent="0.25">
      <c r="B2405" s="272" t="str">
        <f>INSUMOS!B284</f>
        <v>Retroexcavadora sobre llantas New Holland LB75</v>
      </c>
      <c r="C2405" s="273" t="s">
        <v>599</v>
      </c>
      <c r="D2405" s="268">
        <v>0.1</v>
      </c>
      <c r="E2405" s="271">
        <f>INSUMOS!D284</f>
        <v>95000</v>
      </c>
      <c r="F2405" s="259">
        <f t="shared" ref="F2405:F2416" si="132">D2405*E2405</f>
        <v>9500</v>
      </c>
    </row>
    <row r="2406" spans="2:6" x14ac:dyDescent="0.25">
      <c r="B2406" s="272"/>
      <c r="C2406" s="273"/>
      <c r="D2406" s="268"/>
      <c r="E2406" s="271"/>
      <c r="F2406" s="259">
        <f t="shared" si="132"/>
        <v>0</v>
      </c>
    </row>
    <row r="2407" spans="2:6" x14ac:dyDescent="0.25">
      <c r="B2407" s="272"/>
      <c r="C2407" s="273"/>
      <c r="D2407" s="268"/>
      <c r="E2407" s="271"/>
      <c r="F2407" s="259">
        <f t="shared" si="132"/>
        <v>0</v>
      </c>
    </row>
    <row r="2408" spans="2:6" x14ac:dyDescent="0.25">
      <c r="B2408" s="272"/>
      <c r="C2408" s="273"/>
      <c r="D2408" s="268"/>
      <c r="E2408" s="271"/>
      <c r="F2408" s="259">
        <f t="shared" si="132"/>
        <v>0</v>
      </c>
    </row>
    <row r="2409" spans="2:6" x14ac:dyDescent="0.25">
      <c r="B2409" s="272"/>
      <c r="C2409" s="273"/>
      <c r="D2409" s="268"/>
      <c r="E2409" s="271"/>
      <c r="F2409" s="259">
        <f t="shared" si="132"/>
        <v>0</v>
      </c>
    </row>
    <row r="2410" spans="2:6" x14ac:dyDescent="0.25">
      <c r="B2410" s="272"/>
      <c r="C2410" s="273"/>
      <c r="D2410" s="268"/>
      <c r="E2410" s="271"/>
      <c r="F2410" s="259">
        <f t="shared" si="132"/>
        <v>0</v>
      </c>
    </row>
    <row r="2411" spans="2:6" x14ac:dyDescent="0.25">
      <c r="B2411" s="272"/>
      <c r="C2411" s="273"/>
      <c r="D2411" s="268"/>
      <c r="E2411" s="271"/>
      <c r="F2411" s="259">
        <f t="shared" si="132"/>
        <v>0</v>
      </c>
    </row>
    <row r="2412" spans="2:6" x14ac:dyDescent="0.25">
      <c r="B2412" s="272"/>
      <c r="C2412" s="273"/>
      <c r="D2412" s="268"/>
      <c r="E2412" s="271"/>
      <c r="F2412" s="259">
        <f t="shared" si="132"/>
        <v>0</v>
      </c>
    </row>
    <row r="2413" spans="2:6" x14ac:dyDescent="0.25">
      <c r="B2413" s="272"/>
      <c r="C2413" s="273"/>
      <c r="D2413" s="268"/>
      <c r="E2413" s="271"/>
      <c r="F2413" s="259">
        <f t="shared" si="132"/>
        <v>0</v>
      </c>
    </row>
    <row r="2414" spans="2:6" x14ac:dyDescent="0.25">
      <c r="B2414" s="272"/>
      <c r="C2414" s="273"/>
      <c r="D2414" s="268"/>
      <c r="E2414" s="271"/>
      <c r="F2414" s="259">
        <f t="shared" si="132"/>
        <v>0</v>
      </c>
    </row>
    <row r="2415" spans="2:6" x14ac:dyDescent="0.25">
      <c r="B2415" s="272"/>
      <c r="C2415" s="273"/>
      <c r="D2415" s="268"/>
      <c r="E2415" s="271"/>
      <c r="F2415" s="259">
        <f t="shared" si="132"/>
        <v>0</v>
      </c>
    </row>
    <row r="2416" spans="2:6" x14ac:dyDescent="0.25">
      <c r="B2416" s="272"/>
      <c r="C2416" s="273"/>
      <c r="D2416" s="268"/>
      <c r="E2416" s="271"/>
      <c r="F2416" s="259">
        <f t="shared" si="132"/>
        <v>0</v>
      </c>
    </row>
    <row r="2417" spans="2:6" ht="15.75" thickBot="1" x14ac:dyDescent="0.3">
      <c r="B2417" s="611" t="s">
        <v>289</v>
      </c>
      <c r="C2417" s="612"/>
      <c r="D2417" s="612"/>
      <c r="E2417" s="613"/>
      <c r="F2417" s="274">
        <f>SUM(F2405:F2416)</f>
        <v>9500</v>
      </c>
    </row>
    <row r="2418" spans="2:6" x14ac:dyDescent="0.25">
      <c r="B2418" s="594" t="s">
        <v>290</v>
      </c>
      <c r="C2418" s="595"/>
      <c r="D2418" s="595"/>
      <c r="E2418" s="595"/>
      <c r="F2418" s="596"/>
    </row>
    <row r="2419" spans="2:6" x14ac:dyDescent="0.25">
      <c r="B2419" s="272" t="str">
        <f>CUADRILLAS!A103</f>
        <v>Cargue Manual-Transporte-Botada</v>
      </c>
      <c r="C2419" s="273" t="s">
        <v>117</v>
      </c>
      <c r="D2419" s="275">
        <v>1.25</v>
      </c>
      <c r="E2419" s="276">
        <f>CUADRILLAS!B103</f>
        <v>58198</v>
      </c>
      <c r="F2419" s="259">
        <f>D2419*E2419</f>
        <v>72747.5</v>
      </c>
    </row>
    <row r="2420" spans="2:6" x14ac:dyDescent="0.25">
      <c r="B2420" s="277" t="s">
        <v>918</v>
      </c>
      <c r="C2420" s="278" t="s">
        <v>49</v>
      </c>
      <c r="D2420" s="279">
        <v>1</v>
      </c>
      <c r="E2420" s="280">
        <f>3000000/'PRESUPUESTO CALLE 58 SUR'!D65*1.3</f>
        <v>81250</v>
      </c>
      <c r="F2420" s="259">
        <f>D2420*E2420</f>
        <v>81250</v>
      </c>
    </row>
    <row r="2421" spans="2:6" x14ac:dyDescent="0.25">
      <c r="B2421" s="277"/>
      <c r="C2421" s="278"/>
      <c r="D2421" s="279"/>
      <c r="E2421" s="280"/>
      <c r="F2421" s="259">
        <f>D2421*E2421</f>
        <v>0</v>
      </c>
    </row>
    <row r="2422" spans="2:6" ht="15.75" thickBot="1" x14ac:dyDescent="0.3">
      <c r="B2422" s="611" t="s">
        <v>291</v>
      </c>
      <c r="C2422" s="612"/>
      <c r="D2422" s="612"/>
      <c r="E2422" s="613"/>
      <c r="F2422" s="285">
        <f>SUM(F2419:F2421)</f>
        <v>153997.5</v>
      </c>
    </row>
    <row r="2423" spans="2:6" ht="15.75" thickBot="1" x14ac:dyDescent="0.3">
      <c r="B2423" s="600" t="s">
        <v>282</v>
      </c>
      <c r="C2423" s="601"/>
      <c r="D2423" s="601"/>
      <c r="E2423" s="601"/>
      <c r="F2423" s="286">
        <f>ROUND(F2394+F2400+F2403+F2417+F2422,0)</f>
        <v>167214</v>
      </c>
    </row>
    <row r="2424" spans="2:6" ht="15.75" thickBot="1" x14ac:dyDescent="0.3"/>
    <row r="2425" spans="2:6" ht="15.75" thickBot="1" x14ac:dyDescent="0.3">
      <c r="B2425" s="602" t="s">
        <v>276</v>
      </c>
      <c r="C2425" s="603"/>
      <c r="D2425" s="603"/>
      <c r="E2425" s="603"/>
      <c r="F2425" s="604"/>
    </row>
    <row r="2426" spans="2:6" ht="15.75" thickBot="1" x14ac:dyDescent="0.3">
      <c r="B2426" s="605" t="s">
        <v>104</v>
      </c>
      <c r="C2426" s="606"/>
      <c r="D2426" s="607"/>
      <c r="E2426" s="282" t="s">
        <v>105</v>
      </c>
      <c r="F2426" s="283" t="s">
        <v>103</v>
      </c>
    </row>
    <row r="2427" spans="2:6" ht="59.45" customHeight="1" thickBot="1" x14ac:dyDescent="0.3">
      <c r="B2427" s="608" t="str">
        <f>'PRESUPUESTO CALLE 58 SUR'!B66</f>
        <v>Perfilación de vía. Incluye escarificación, nivelación y compactación de la superficie.</v>
      </c>
      <c r="C2427" s="609"/>
      <c r="D2427" s="610"/>
      <c r="E2427" s="449" t="str">
        <f>'PRESUPUESTO CALLE 58 SUR'!C66</f>
        <v>m2</v>
      </c>
      <c r="F2427" s="448">
        <f>'PRESUPUESTO CALLE 58 SUR'!A66</f>
        <v>10.199999999999999</v>
      </c>
    </row>
    <row r="2428" spans="2:6" ht="15.75" thickBot="1" x14ac:dyDescent="0.3">
      <c r="B2428" s="250" t="s">
        <v>8</v>
      </c>
      <c r="C2428" s="251" t="s">
        <v>9</v>
      </c>
      <c r="D2428" s="252" t="s">
        <v>10</v>
      </c>
      <c r="E2428" s="253" t="s">
        <v>283</v>
      </c>
      <c r="F2428" s="254" t="s">
        <v>284</v>
      </c>
    </row>
    <row r="2429" spans="2:6" x14ac:dyDescent="0.25">
      <c r="B2429" s="594" t="s">
        <v>285</v>
      </c>
      <c r="C2429" s="595"/>
      <c r="D2429" s="595"/>
      <c r="E2429" s="595"/>
      <c r="F2429" s="596"/>
    </row>
    <row r="2430" spans="2:6" x14ac:dyDescent="0.25">
      <c r="B2430" s="255"/>
      <c r="C2430" s="256"/>
      <c r="D2430" s="257"/>
      <c r="E2430" s="258"/>
      <c r="F2430" s="259">
        <f t="shared" ref="F2430:F2441" si="133">D2430*E2430</f>
        <v>0</v>
      </c>
    </row>
    <row r="2431" spans="2:6" x14ac:dyDescent="0.25">
      <c r="B2431" s="260"/>
      <c r="C2431" s="256"/>
      <c r="D2431" s="257"/>
      <c r="E2431" s="258"/>
      <c r="F2431" s="259">
        <f t="shared" si="133"/>
        <v>0</v>
      </c>
    </row>
    <row r="2432" spans="2:6" x14ac:dyDescent="0.25">
      <c r="B2432" s="261"/>
      <c r="C2432" s="256"/>
      <c r="D2432" s="257"/>
      <c r="E2432" s="258"/>
      <c r="F2432" s="259">
        <f t="shared" si="133"/>
        <v>0</v>
      </c>
    </row>
    <row r="2433" spans="2:6" x14ac:dyDescent="0.25">
      <c r="B2433" s="261"/>
      <c r="C2433" s="256"/>
      <c r="D2433" s="257"/>
      <c r="E2433" s="258"/>
      <c r="F2433" s="259">
        <f t="shared" si="133"/>
        <v>0</v>
      </c>
    </row>
    <row r="2434" spans="2:6" x14ac:dyDescent="0.25">
      <c r="B2434" s="261"/>
      <c r="C2434" s="256"/>
      <c r="D2434" s="257"/>
      <c r="E2434" s="258"/>
      <c r="F2434" s="259">
        <f t="shared" si="133"/>
        <v>0</v>
      </c>
    </row>
    <row r="2435" spans="2:6" x14ac:dyDescent="0.25">
      <c r="B2435" s="261"/>
      <c r="C2435" s="256"/>
      <c r="D2435" s="257"/>
      <c r="E2435" s="258"/>
      <c r="F2435" s="259">
        <f t="shared" si="133"/>
        <v>0</v>
      </c>
    </row>
    <row r="2436" spans="2:6" x14ac:dyDescent="0.25">
      <c r="B2436" s="261"/>
      <c r="C2436" s="256"/>
      <c r="D2436" s="257"/>
      <c r="E2436" s="258"/>
      <c r="F2436" s="259">
        <f t="shared" si="133"/>
        <v>0</v>
      </c>
    </row>
    <row r="2437" spans="2:6" x14ac:dyDescent="0.25">
      <c r="B2437" s="261"/>
      <c r="C2437" s="256"/>
      <c r="D2437" s="257"/>
      <c r="E2437" s="258"/>
      <c r="F2437" s="259">
        <f t="shared" si="133"/>
        <v>0</v>
      </c>
    </row>
    <row r="2438" spans="2:6" x14ac:dyDescent="0.25">
      <c r="B2438" s="261"/>
      <c r="C2438" s="256"/>
      <c r="D2438" s="257"/>
      <c r="E2438" s="258"/>
      <c r="F2438" s="259">
        <f t="shared" si="133"/>
        <v>0</v>
      </c>
    </row>
    <row r="2439" spans="2:6" x14ac:dyDescent="0.25">
      <c r="B2439" s="261"/>
      <c r="C2439" s="256"/>
      <c r="D2439" s="257"/>
      <c r="E2439" s="258"/>
      <c r="F2439" s="259">
        <f t="shared" si="133"/>
        <v>0</v>
      </c>
    </row>
    <row r="2440" spans="2:6" x14ac:dyDescent="0.25">
      <c r="B2440" s="261"/>
      <c r="C2440" s="256"/>
      <c r="D2440" s="257"/>
      <c r="E2440" s="258"/>
      <c r="F2440" s="259">
        <f t="shared" si="133"/>
        <v>0</v>
      </c>
    </row>
    <row r="2441" spans="2:6" x14ac:dyDescent="0.25">
      <c r="B2441" s="262"/>
      <c r="C2441" s="263"/>
      <c r="D2441" s="264"/>
      <c r="E2441" s="265"/>
      <c r="F2441" s="259">
        <f t="shared" si="133"/>
        <v>0</v>
      </c>
    </row>
    <row r="2442" spans="2:6" ht="15.75" thickBot="1" x14ac:dyDescent="0.3">
      <c r="B2442" s="611" t="s">
        <v>286</v>
      </c>
      <c r="C2442" s="612"/>
      <c r="D2442" s="612"/>
      <c r="E2442" s="613"/>
      <c r="F2442" s="284">
        <f>SUM(F2430:F2441)</f>
        <v>0</v>
      </c>
    </row>
    <row r="2443" spans="2:6" x14ac:dyDescent="0.25">
      <c r="B2443" s="594" t="s">
        <v>277</v>
      </c>
      <c r="C2443" s="595"/>
      <c r="D2443" s="595"/>
      <c r="E2443" s="595"/>
      <c r="F2443" s="596"/>
    </row>
    <row r="2444" spans="2:6" x14ac:dyDescent="0.25">
      <c r="B2444" s="266" t="str">
        <f>CUADRILLAS!A79</f>
        <v>Cuad. 1of + 1ay</v>
      </c>
      <c r="C2444" s="267"/>
      <c r="D2444" s="268"/>
      <c r="E2444" s="269">
        <f>CUADRILLAS!B79</f>
        <v>207851</v>
      </c>
      <c r="F2444" s="270">
        <f>D2444*E2444</f>
        <v>0</v>
      </c>
    </row>
    <row r="2445" spans="2:6" x14ac:dyDescent="0.25">
      <c r="B2445" s="266" t="str">
        <f>CUADRILLAS!A80</f>
        <v>1Ay Raso</v>
      </c>
      <c r="C2445" s="267"/>
      <c r="D2445" s="268"/>
      <c r="E2445" s="269">
        <f>CUADRILLAS!B80</f>
        <v>70786</v>
      </c>
      <c r="F2445" s="270">
        <f>D2445*E2445</f>
        <v>0</v>
      </c>
    </row>
    <row r="2446" spans="2:6" x14ac:dyDescent="0.25">
      <c r="B2446" s="266"/>
      <c r="C2446" s="267"/>
      <c r="D2446" s="268"/>
      <c r="E2446" s="271"/>
      <c r="F2446" s="270">
        <f>D2446*E2446</f>
        <v>0</v>
      </c>
    </row>
    <row r="2447" spans="2:6" x14ac:dyDescent="0.25">
      <c r="B2447" s="272"/>
      <c r="C2447" s="273"/>
      <c r="D2447" s="268"/>
      <c r="E2447" s="271"/>
      <c r="F2447" s="270">
        <f>D2447*E2447</f>
        <v>0</v>
      </c>
    </row>
    <row r="2448" spans="2:6" ht="15.75" thickBot="1" x14ac:dyDescent="0.3">
      <c r="B2448" s="611" t="s">
        <v>287</v>
      </c>
      <c r="C2448" s="612"/>
      <c r="D2448" s="612"/>
      <c r="E2448" s="613"/>
      <c r="F2448" s="274">
        <f>SUM(F2444:F2447)</f>
        <v>0</v>
      </c>
    </row>
    <row r="2449" spans="2:6" x14ac:dyDescent="0.25">
      <c r="B2449" s="594" t="s">
        <v>278</v>
      </c>
      <c r="C2449" s="595"/>
      <c r="D2449" s="595"/>
      <c r="E2449" s="595"/>
      <c r="F2449" s="596"/>
    </row>
    <row r="2450" spans="2:6" x14ac:dyDescent="0.25">
      <c r="B2450" s="272" t="s">
        <v>279</v>
      </c>
      <c r="C2450" s="273" t="s">
        <v>280</v>
      </c>
      <c r="D2450" s="268">
        <v>0.05</v>
      </c>
      <c r="E2450" s="271">
        <f>F2448</f>
        <v>0</v>
      </c>
      <c r="F2450" s="270">
        <f>D2450*E2450</f>
        <v>0</v>
      </c>
    </row>
    <row r="2451" spans="2:6" ht="15.75" thickBot="1" x14ac:dyDescent="0.3">
      <c r="B2451" s="611" t="s">
        <v>288</v>
      </c>
      <c r="C2451" s="612"/>
      <c r="D2451" s="612"/>
      <c r="E2451" s="613"/>
      <c r="F2451" s="274">
        <f>SUM(F2450)</f>
        <v>0</v>
      </c>
    </row>
    <row r="2452" spans="2:6" x14ac:dyDescent="0.25">
      <c r="B2452" s="594" t="s">
        <v>281</v>
      </c>
      <c r="C2452" s="595"/>
      <c r="D2452" s="595"/>
      <c r="E2452" s="595"/>
      <c r="F2452" s="596"/>
    </row>
    <row r="2453" spans="2:6" ht="22.5" x14ac:dyDescent="0.25">
      <c r="B2453" s="272" t="str">
        <f>INSUMOS!B436</f>
        <v>Compactador Rodillo DD-24 + Operador + Combustible</v>
      </c>
      <c r="C2453" s="273" t="s">
        <v>599</v>
      </c>
      <c r="D2453" s="268">
        <v>0.01</v>
      </c>
      <c r="E2453" s="271">
        <f>INSUMOS!D432</f>
        <v>155000</v>
      </c>
      <c r="F2453" s="259">
        <f t="shared" ref="F2453:F2464" si="134">D2453*E2453</f>
        <v>1550</v>
      </c>
    </row>
    <row r="2454" spans="2:6" x14ac:dyDescent="0.25">
      <c r="B2454" s="272" t="str">
        <f>INSUMOS!B286</f>
        <v>Motoniveladora</v>
      </c>
      <c r="C2454" s="273" t="s">
        <v>599</v>
      </c>
      <c r="D2454" s="268">
        <v>0.01</v>
      </c>
      <c r="E2454" s="271">
        <f>INSUMOS!D286</f>
        <v>168975</v>
      </c>
      <c r="F2454" s="259">
        <f t="shared" si="134"/>
        <v>1689.75</v>
      </c>
    </row>
    <row r="2455" spans="2:6" x14ac:dyDescent="0.25">
      <c r="B2455" s="272"/>
      <c r="C2455" s="273"/>
      <c r="D2455" s="268"/>
      <c r="E2455" s="271"/>
      <c r="F2455" s="259">
        <f t="shared" si="134"/>
        <v>0</v>
      </c>
    </row>
    <row r="2456" spans="2:6" x14ac:dyDescent="0.25">
      <c r="B2456" s="272"/>
      <c r="C2456" s="273"/>
      <c r="D2456" s="268"/>
      <c r="E2456" s="271"/>
      <c r="F2456" s="259">
        <f t="shared" si="134"/>
        <v>0</v>
      </c>
    </row>
    <row r="2457" spans="2:6" x14ac:dyDescent="0.25">
      <c r="B2457" s="272"/>
      <c r="C2457" s="273"/>
      <c r="D2457" s="268"/>
      <c r="E2457" s="271"/>
      <c r="F2457" s="259">
        <f t="shared" si="134"/>
        <v>0</v>
      </c>
    </row>
    <row r="2458" spans="2:6" x14ac:dyDescent="0.25">
      <c r="B2458" s="272"/>
      <c r="C2458" s="273"/>
      <c r="D2458" s="268"/>
      <c r="E2458" s="271"/>
      <c r="F2458" s="259">
        <f t="shared" si="134"/>
        <v>0</v>
      </c>
    </row>
    <row r="2459" spans="2:6" x14ac:dyDescent="0.25">
      <c r="B2459" s="272"/>
      <c r="C2459" s="273"/>
      <c r="D2459" s="268"/>
      <c r="E2459" s="271"/>
      <c r="F2459" s="259">
        <f t="shared" si="134"/>
        <v>0</v>
      </c>
    </row>
    <row r="2460" spans="2:6" x14ac:dyDescent="0.25">
      <c r="B2460" s="272"/>
      <c r="C2460" s="273"/>
      <c r="D2460" s="268"/>
      <c r="E2460" s="271"/>
      <c r="F2460" s="259">
        <f t="shared" si="134"/>
        <v>0</v>
      </c>
    </row>
    <row r="2461" spans="2:6" x14ac:dyDescent="0.25">
      <c r="B2461" s="272"/>
      <c r="C2461" s="273"/>
      <c r="D2461" s="268"/>
      <c r="E2461" s="271"/>
      <c r="F2461" s="259">
        <f t="shared" si="134"/>
        <v>0</v>
      </c>
    </row>
    <row r="2462" spans="2:6" x14ac:dyDescent="0.25">
      <c r="B2462" s="272"/>
      <c r="C2462" s="273"/>
      <c r="D2462" s="268"/>
      <c r="E2462" s="271"/>
      <c r="F2462" s="259">
        <f t="shared" si="134"/>
        <v>0</v>
      </c>
    </row>
    <row r="2463" spans="2:6" x14ac:dyDescent="0.25">
      <c r="B2463" s="272"/>
      <c r="C2463" s="273"/>
      <c r="D2463" s="268"/>
      <c r="E2463" s="271"/>
      <c r="F2463" s="259">
        <f t="shared" si="134"/>
        <v>0</v>
      </c>
    </row>
    <row r="2464" spans="2:6" x14ac:dyDescent="0.25">
      <c r="B2464" s="272"/>
      <c r="C2464" s="273"/>
      <c r="D2464" s="268"/>
      <c r="E2464" s="271"/>
      <c r="F2464" s="259">
        <f t="shared" si="134"/>
        <v>0</v>
      </c>
    </row>
    <row r="2465" spans="2:6" ht="15.75" thickBot="1" x14ac:dyDescent="0.3">
      <c r="B2465" s="611" t="s">
        <v>289</v>
      </c>
      <c r="C2465" s="612"/>
      <c r="D2465" s="612"/>
      <c r="E2465" s="613"/>
      <c r="F2465" s="274">
        <f>SUM(F2453:F2464)</f>
        <v>3239.75</v>
      </c>
    </row>
    <row r="2466" spans="2:6" x14ac:dyDescent="0.25">
      <c r="B2466" s="594" t="s">
        <v>290</v>
      </c>
      <c r="C2466" s="595"/>
      <c r="D2466" s="595"/>
      <c r="E2466" s="595"/>
      <c r="F2466" s="596"/>
    </row>
    <row r="2467" spans="2:6" x14ac:dyDescent="0.25">
      <c r="B2467" s="272" t="s">
        <v>919</v>
      </c>
      <c r="C2467" s="273" t="s">
        <v>49</v>
      </c>
      <c r="D2467" s="275">
        <v>1</v>
      </c>
      <c r="E2467" s="276">
        <f>2000000/'PRESUPUESTO CALLE 58 SUR'!D66</f>
        <v>5839.4160583941602</v>
      </c>
      <c r="F2467" s="259">
        <f>D2467*E2467</f>
        <v>5839.4160583941602</v>
      </c>
    </row>
    <row r="2468" spans="2:6" x14ac:dyDescent="0.25">
      <c r="B2468" s="277"/>
      <c r="C2468" s="278"/>
      <c r="D2468" s="279"/>
      <c r="E2468" s="280"/>
      <c r="F2468" s="259">
        <f>D2468*E2468</f>
        <v>0</v>
      </c>
    </row>
    <row r="2469" spans="2:6" x14ac:dyDescent="0.25">
      <c r="B2469" s="277"/>
      <c r="C2469" s="278"/>
      <c r="D2469" s="279"/>
      <c r="E2469" s="280"/>
      <c r="F2469" s="259">
        <f>D2469*E2469</f>
        <v>0</v>
      </c>
    </row>
    <row r="2470" spans="2:6" ht="15.75" thickBot="1" x14ac:dyDescent="0.3">
      <c r="B2470" s="611" t="s">
        <v>291</v>
      </c>
      <c r="C2470" s="612"/>
      <c r="D2470" s="612"/>
      <c r="E2470" s="613"/>
      <c r="F2470" s="285">
        <f>SUM(F2467:F2469)</f>
        <v>5839.4160583941602</v>
      </c>
    </row>
    <row r="2471" spans="2:6" ht="15.75" thickBot="1" x14ac:dyDescent="0.3">
      <c r="B2471" s="600" t="s">
        <v>282</v>
      </c>
      <c r="C2471" s="601"/>
      <c r="D2471" s="601"/>
      <c r="E2471" s="601"/>
      <c r="F2471" s="286">
        <f>ROUND(F2442+F2448+F2451+F2465+F2470,0)</f>
        <v>9079</v>
      </c>
    </row>
    <row r="2472" spans="2:6" ht="15.75" thickBot="1" x14ac:dyDescent="0.3"/>
    <row r="2473" spans="2:6" ht="15.75" thickBot="1" x14ac:dyDescent="0.3">
      <c r="B2473" s="602" t="s">
        <v>276</v>
      </c>
      <c r="C2473" s="603"/>
      <c r="D2473" s="603"/>
      <c r="E2473" s="603"/>
      <c r="F2473" s="604"/>
    </row>
    <row r="2474" spans="2:6" ht="15.75" thickBot="1" x14ac:dyDescent="0.3">
      <c r="B2474" s="605" t="s">
        <v>104</v>
      </c>
      <c r="C2474" s="606"/>
      <c r="D2474" s="607"/>
      <c r="E2474" s="282" t="s">
        <v>105</v>
      </c>
      <c r="F2474" s="283" t="s">
        <v>103</v>
      </c>
    </row>
    <row r="2475" spans="2:6" ht="64.150000000000006" customHeight="1" thickBot="1" x14ac:dyDescent="0.3">
      <c r="B2475" s="608" t="str">
        <f>'PRESUPUESTO CALLE 58 SUR'!B67</f>
        <v>Suministro, transporte y colocación de BASE GRANULAR, reacomodado con medios mecánicos y compactado al 100% mínimo del ensayo del proctor modificado, según normas para la construcción de pavimentos del INVIAS, y todo lo necesario para su correcta construcción y funcionamiento. Su medida será tomada en sitio ya compactado.</v>
      </c>
      <c r="C2475" s="609"/>
      <c r="D2475" s="610"/>
      <c r="E2475" s="449" t="str">
        <f>'PRESUPUESTO CALLE 58 SUR'!C67</f>
        <v>m3</v>
      </c>
      <c r="F2475" s="448">
        <f>'PRESUPUESTO CALLE 58 SUR'!A67</f>
        <v>10.3</v>
      </c>
    </row>
    <row r="2476" spans="2:6" ht="15.75" thickBot="1" x14ac:dyDescent="0.3">
      <c r="B2476" s="250" t="s">
        <v>8</v>
      </c>
      <c r="C2476" s="251" t="s">
        <v>9</v>
      </c>
      <c r="D2476" s="252" t="s">
        <v>10</v>
      </c>
      <c r="E2476" s="253" t="s">
        <v>283</v>
      </c>
      <c r="F2476" s="254" t="s">
        <v>284</v>
      </c>
    </row>
    <row r="2477" spans="2:6" x14ac:dyDescent="0.25">
      <c r="B2477" s="594" t="s">
        <v>285</v>
      </c>
      <c r="C2477" s="595"/>
      <c r="D2477" s="595"/>
      <c r="E2477" s="595"/>
      <c r="F2477" s="596"/>
    </row>
    <row r="2478" spans="2:6" x14ac:dyDescent="0.25">
      <c r="B2478" s="255" t="str">
        <f>SUBANALISIS!H4</f>
        <v>BASE GRANULAR</v>
      </c>
      <c r="C2478" s="256" t="s">
        <v>117</v>
      </c>
      <c r="D2478" s="257">
        <v>1.3</v>
      </c>
      <c r="E2478" s="258">
        <f>SUBANALISIS!I4</f>
        <v>79254</v>
      </c>
      <c r="F2478" s="259">
        <f t="shared" ref="F2478:F2489" si="135">D2478*E2478</f>
        <v>103030.2</v>
      </c>
    </row>
    <row r="2479" spans="2:6" x14ac:dyDescent="0.25">
      <c r="B2479" s="260"/>
      <c r="C2479" s="256"/>
      <c r="D2479" s="257"/>
      <c r="E2479" s="258"/>
      <c r="F2479" s="259">
        <f t="shared" si="135"/>
        <v>0</v>
      </c>
    </row>
    <row r="2480" spans="2:6" x14ac:dyDescent="0.25">
      <c r="B2480" s="261"/>
      <c r="C2480" s="256"/>
      <c r="D2480" s="257"/>
      <c r="E2480" s="258"/>
      <c r="F2480" s="259">
        <f t="shared" si="135"/>
        <v>0</v>
      </c>
    </row>
    <row r="2481" spans="2:6" x14ac:dyDescent="0.25">
      <c r="B2481" s="261"/>
      <c r="C2481" s="256"/>
      <c r="D2481" s="257"/>
      <c r="E2481" s="258"/>
      <c r="F2481" s="259">
        <f t="shared" si="135"/>
        <v>0</v>
      </c>
    </row>
    <row r="2482" spans="2:6" x14ac:dyDescent="0.25">
      <c r="B2482" s="261"/>
      <c r="C2482" s="256"/>
      <c r="D2482" s="257"/>
      <c r="E2482" s="258"/>
      <c r="F2482" s="259">
        <f t="shared" si="135"/>
        <v>0</v>
      </c>
    </row>
    <row r="2483" spans="2:6" x14ac:dyDescent="0.25">
      <c r="B2483" s="261"/>
      <c r="C2483" s="256"/>
      <c r="D2483" s="257"/>
      <c r="E2483" s="258"/>
      <c r="F2483" s="259">
        <f t="shared" si="135"/>
        <v>0</v>
      </c>
    </row>
    <row r="2484" spans="2:6" x14ac:dyDescent="0.25">
      <c r="B2484" s="261"/>
      <c r="C2484" s="256"/>
      <c r="D2484" s="257"/>
      <c r="E2484" s="258"/>
      <c r="F2484" s="259">
        <f t="shared" si="135"/>
        <v>0</v>
      </c>
    </row>
    <row r="2485" spans="2:6" x14ac:dyDescent="0.25">
      <c r="B2485" s="261"/>
      <c r="C2485" s="256"/>
      <c r="D2485" s="257"/>
      <c r="E2485" s="258"/>
      <c r="F2485" s="259">
        <f t="shared" si="135"/>
        <v>0</v>
      </c>
    </row>
    <row r="2486" spans="2:6" x14ac:dyDescent="0.25">
      <c r="B2486" s="261"/>
      <c r="C2486" s="256"/>
      <c r="D2486" s="257"/>
      <c r="E2486" s="258"/>
      <c r="F2486" s="259">
        <f t="shared" si="135"/>
        <v>0</v>
      </c>
    </row>
    <row r="2487" spans="2:6" x14ac:dyDescent="0.25">
      <c r="B2487" s="261"/>
      <c r="C2487" s="256"/>
      <c r="D2487" s="257"/>
      <c r="E2487" s="258"/>
      <c r="F2487" s="259">
        <f t="shared" si="135"/>
        <v>0</v>
      </c>
    </row>
    <row r="2488" spans="2:6" x14ac:dyDescent="0.25">
      <c r="B2488" s="261"/>
      <c r="C2488" s="256"/>
      <c r="D2488" s="257"/>
      <c r="E2488" s="258"/>
      <c r="F2488" s="259">
        <f t="shared" si="135"/>
        <v>0</v>
      </c>
    </row>
    <row r="2489" spans="2:6" x14ac:dyDescent="0.25">
      <c r="B2489" s="262"/>
      <c r="C2489" s="263"/>
      <c r="D2489" s="264"/>
      <c r="E2489" s="265"/>
      <c r="F2489" s="259">
        <f t="shared" si="135"/>
        <v>0</v>
      </c>
    </row>
    <row r="2490" spans="2:6" ht="15.75" thickBot="1" x14ac:dyDescent="0.3">
      <c r="B2490" s="611" t="s">
        <v>286</v>
      </c>
      <c r="C2490" s="612"/>
      <c r="D2490" s="612"/>
      <c r="E2490" s="613"/>
      <c r="F2490" s="284">
        <f>SUM(F2478:F2489)</f>
        <v>103030.2</v>
      </c>
    </row>
    <row r="2491" spans="2:6" x14ac:dyDescent="0.25">
      <c r="B2491" s="594" t="s">
        <v>277</v>
      </c>
      <c r="C2491" s="595"/>
      <c r="D2491" s="595"/>
      <c r="E2491" s="595"/>
      <c r="F2491" s="596"/>
    </row>
    <row r="2492" spans="2:6" x14ac:dyDescent="0.25">
      <c r="B2492" s="266" t="str">
        <f>CUADRILLAS!A91</f>
        <v>Cuadrilla Exc y Llenos. (1ayE + 2ay)</v>
      </c>
      <c r="C2492" s="267" t="s">
        <v>110</v>
      </c>
      <c r="D2492" s="268">
        <v>0.08</v>
      </c>
      <c r="E2492" s="269">
        <f>CUADRILLAS!B91</f>
        <v>215672</v>
      </c>
      <c r="F2492" s="270">
        <f>D2492*E2492</f>
        <v>17253.760000000002</v>
      </c>
    </row>
    <row r="2493" spans="2:6" x14ac:dyDescent="0.25">
      <c r="B2493" s="266"/>
      <c r="C2493" s="267"/>
      <c r="D2493" s="268"/>
      <c r="E2493" s="269"/>
      <c r="F2493" s="270">
        <f>D2493*E2493</f>
        <v>0</v>
      </c>
    </row>
    <row r="2494" spans="2:6" x14ac:dyDescent="0.25">
      <c r="B2494" s="266"/>
      <c r="C2494" s="267"/>
      <c r="D2494" s="268"/>
      <c r="E2494" s="271"/>
      <c r="F2494" s="270">
        <f>D2494*E2494</f>
        <v>0</v>
      </c>
    </row>
    <row r="2495" spans="2:6" x14ac:dyDescent="0.25">
      <c r="B2495" s="272"/>
      <c r="C2495" s="273"/>
      <c r="D2495" s="268"/>
      <c r="E2495" s="271"/>
      <c r="F2495" s="270">
        <f>D2495*E2495</f>
        <v>0</v>
      </c>
    </row>
    <row r="2496" spans="2:6" ht="15.75" thickBot="1" x14ac:dyDescent="0.3">
      <c r="B2496" s="611" t="s">
        <v>287</v>
      </c>
      <c r="C2496" s="612"/>
      <c r="D2496" s="612"/>
      <c r="E2496" s="613"/>
      <c r="F2496" s="274">
        <f>SUM(F2492:F2495)</f>
        <v>17253.760000000002</v>
      </c>
    </row>
    <row r="2497" spans="2:6" x14ac:dyDescent="0.25">
      <c r="B2497" s="594" t="s">
        <v>278</v>
      </c>
      <c r="C2497" s="595"/>
      <c r="D2497" s="595"/>
      <c r="E2497" s="595"/>
      <c r="F2497" s="596"/>
    </row>
    <row r="2498" spans="2:6" x14ac:dyDescent="0.25">
      <c r="B2498" s="272" t="s">
        <v>279</v>
      </c>
      <c r="C2498" s="273" t="s">
        <v>280</v>
      </c>
      <c r="D2498" s="268">
        <v>0.05</v>
      </c>
      <c r="E2498" s="271">
        <f>F2496</f>
        <v>17253.760000000002</v>
      </c>
      <c r="F2498" s="270">
        <f>D2498*E2498</f>
        <v>862.6880000000001</v>
      </c>
    </row>
    <row r="2499" spans="2:6" ht="15.75" thickBot="1" x14ac:dyDescent="0.3">
      <c r="B2499" s="611" t="s">
        <v>288</v>
      </c>
      <c r="C2499" s="612"/>
      <c r="D2499" s="612"/>
      <c r="E2499" s="613"/>
      <c r="F2499" s="274">
        <f>SUM(F2498)</f>
        <v>862.6880000000001</v>
      </c>
    </row>
    <row r="2500" spans="2:6" x14ac:dyDescent="0.25">
      <c r="B2500" s="594" t="s">
        <v>281</v>
      </c>
      <c r="C2500" s="595"/>
      <c r="D2500" s="595"/>
      <c r="E2500" s="595"/>
      <c r="F2500" s="596"/>
    </row>
    <row r="2501" spans="2:6" x14ac:dyDescent="0.25">
      <c r="B2501" s="272" t="str">
        <f>INSUMOS!B286</f>
        <v>Motoniveladora</v>
      </c>
      <c r="C2501" s="273" t="s">
        <v>599</v>
      </c>
      <c r="D2501" s="268">
        <v>0.06</v>
      </c>
      <c r="E2501" s="271">
        <f>INSUMOS!D286</f>
        <v>168975</v>
      </c>
      <c r="F2501" s="259">
        <f t="shared" ref="F2501:F2512" si="136">D2501*E2501</f>
        <v>10138.5</v>
      </c>
    </row>
    <row r="2502" spans="2:6" ht="26.45" customHeight="1" x14ac:dyDescent="0.25">
      <c r="B2502" s="272" t="str">
        <f>INSUMOS!B432</f>
        <v>Compactador Rodillo DD-24 + Operador + Combustible</v>
      </c>
      <c r="C2502" s="273" t="s">
        <v>599</v>
      </c>
      <c r="D2502" s="268">
        <v>0.04</v>
      </c>
      <c r="E2502" s="271">
        <f>INSUMOS!D432</f>
        <v>155000</v>
      </c>
      <c r="F2502" s="259">
        <f t="shared" si="136"/>
        <v>6200</v>
      </c>
    </row>
    <row r="2503" spans="2:6" x14ac:dyDescent="0.25">
      <c r="B2503" s="272" t="str">
        <f>INSUMOS!B290</f>
        <v>Compactador tipo Canguro. Incluye - transporte.</v>
      </c>
      <c r="C2503" s="273" t="s">
        <v>599</v>
      </c>
      <c r="D2503" s="268">
        <v>0.09</v>
      </c>
      <c r="E2503" s="271">
        <f>INSUMOS!D290</f>
        <v>66640</v>
      </c>
      <c r="F2503" s="259">
        <f t="shared" si="136"/>
        <v>5997.5999999999995</v>
      </c>
    </row>
    <row r="2504" spans="2:6" x14ac:dyDescent="0.25">
      <c r="B2504" s="272" t="str">
        <f>INSUMOS!B291</f>
        <v>Combustible equipos + transporte</v>
      </c>
      <c r="C2504" s="273" t="s">
        <v>886</v>
      </c>
      <c r="D2504" s="268">
        <v>0.2</v>
      </c>
      <c r="E2504" s="271">
        <f>INSUMOS!D291</f>
        <v>15000</v>
      </c>
      <c r="F2504" s="259">
        <f t="shared" si="136"/>
        <v>3000</v>
      </c>
    </row>
    <row r="2505" spans="2:6" x14ac:dyDescent="0.25">
      <c r="B2505" s="272"/>
      <c r="C2505" s="273"/>
      <c r="D2505" s="268"/>
      <c r="E2505" s="271"/>
      <c r="F2505" s="259">
        <f t="shared" si="136"/>
        <v>0</v>
      </c>
    </row>
    <row r="2506" spans="2:6" x14ac:dyDescent="0.25">
      <c r="B2506" s="272"/>
      <c r="C2506" s="273"/>
      <c r="D2506" s="268"/>
      <c r="E2506" s="271"/>
      <c r="F2506" s="259">
        <f t="shared" si="136"/>
        <v>0</v>
      </c>
    </row>
    <row r="2507" spans="2:6" x14ac:dyDescent="0.25">
      <c r="B2507" s="272"/>
      <c r="C2507" s="273"/>
      <c r="D2507" s="268"/>
      <c r="E2507" s="271"/>
      <c r="F2507" s="259">
        <f t="shared" si="136"/>
        <v>0</v>
      </c>
    </row>
    <row r="2508" spans="2:6" x14ac:dyDescent="0.25">
      <c r="B2508" s="272"/>
      <c r="C2508" s="273"/>
      <c r="D2508" s="268"/>
      <c r="E2508" s="271"/>
      <c r="F2508" s="259">
        <f t="shared" si="136"/>
        <v>0</v>
      </c>
    </row>
    <row r="2509" spans="2:6" x14ac:dyDescent="0.25">
      <c r="B2509" s="272"/>
      <c r="C2509" s="273"/>
      <c r="D2509" s="268"/>
      <c r="E2509" s="271"/>
      <c r="F2509" s="259">
        <f t="shared" si="136"/>
        <v>0</v>
      </c>
    </row>
    <row r="2510" spans="2:6" x14ac:dyDescent="0.25">
      <c r="B2510" s="272"/>
      <c r="C2510" s="273"/>
      <c r="D2510" s="268"/>
      <c r="E2510" s="271"/>
      <c r="F2510" s="259">
        <f t="shared" si="136"/>
        <v>0</v>
      </c>
    </row>
    <row r="2511" spans="2:6" x14ac:dyDescent="0.25">
      <c r="B2511" s="272"/>
      <c r="C2511" s="273"/>
      <c r="D2511" s="268"/>
      <c r="E2511" s="271"/>
      <c r="F2511" s="259">
        <f t="shared" si="136"/>
        <v>0</v>
      </c>
    </row>
    <row r="2512" spans="2:6" x14ac:dyDescent="0.25">
      <c r="B2512" s="272"/>
      <c r="C2512" s="273"/>
      <c r="D2512" s="268"/>
      <c r="E2512" s="271"/>
      <c r="F2512" s="259">
        <f t="shared" si="136"/>
        <v>0</v>
      </c>
    </row>
    <row r="2513" spans="2:6" ht="15.75" thickBot="1" x14ac:dyDescent="0.3">
      <c r="B2513" s="611" t="s">
        <v>289</v>
      </c>
      <c r="C2513" s="612"/>
      <c r="D2513" s="612"/>
      <c r="E2513" s="613"/>
      <c r="F2513" s="274">
        <f>SUM(F2501:F2512)</f>
        <v>25336.1</v>
      </c>
    </row>
    <row r="2514" spans="2:6" x14ac:dyDescent="0.25">
      <c r="B2514" s="594" t="s">
        <v>290</v>
      </c>
      <c r="C2514" s="595"/>
      <c r="D2514" s="595"/>
      <c r="E2514" s="595"/>
      <c r="F2514" s="596"/>
    </row>
    <row r="2515" spans="2:6" x14ac:dyDescent="0.25">
      <c r="B2515" s="272" t="s">
        <v>903</v>
      </c>
      <c r="C2515" s="273" t="s">
        <v>117</v>
      </c>
      <c r="D2515" s="275">
        <v>1.3</v>
      </c>
      <c r="E2515" s="276">
        <v>15000</v>
      </c>
      <c r="F2515" s="259">
        <f>D2515*E2515</f>
        <v>19500</v>
      </c>
    </row>
    <row r="2516" spans="2:6" x14ac:dyDescent="0.25">
      <c r="B2516" s="277" t="s">
        <v>918</v>
      </c>
      <c r="C2516" s="278" t="s">
        <v>49</v>
      </c>
      <c r="D2516" s="279">
        <v>1</v>
      </c>
      <c r="E2516" s="280">
        <v>10000</v>
      </c>
      <c r="F2516" s="259">
        <f>D2516*E2516</f>
        <v>10000</v>
      </c>
    </row>
    <row r="2517" spans="2:6" x14ac:dyDescent="0.25">
      <c r="B2517" s="277" t="s">
        <v>1013</v>
      </c>
      <c r="C2517" s="278" t="s">
        <v>117</v>
      </c>
      <c r="D2517" s="279">
        <f>D2478</f>
        <v>1.3</v>
      </c>
      <c r="E2517" s="280">
        <f>SUBANALISIS!J1</f>
        <v>72000</v>
      </c>
      <c r="F2517" s="259">
        <f>D2517*E2517</f>
        <v>93600</v>
      </c>
    </row>
    <row r="2518" spans="2:6" ht="15.75" thickBot="1" x14ac:dyDescent="0.3">
      <c r="B2518" s="611" t="s">
        <v>291</v>
      </c>
      <c r="C2518" s="612"/>
      <c r="D2518" s="612"/>
      <c r="E2518" s="613"/>
      <c r="F2518" s="285">
        <f>SUM(F2515:F2517)</f>
        <v>123100</v>
      </c>
    </row>
    <row r="2519" spans="2:6" ht="15.75" thickBot="1" x14ac:dyDescent="0.3">
      <c r="B2519" s="600" t="s">
        <v>282</v>
      </c>
      <c r="C2519" s="601"/>
      <c r="D2519" s="601"/>
      <c r="E2519" s="601"/>
      <c r="F2519" s="286">
        <f>ROUND(F2490+F2496+F2499+F2513+F2518,0)</f>
        <v>269583</v>
      </c>
    </row>
    <row r="2520" spans="2:6" ht="15.75" thickBot="1" x14ac:dyDescent="0.3"/>
    <row r="2521" spans="2:6" ht="15.75" thickBot="1" x14ac:dyDescent="0.3">
      <c r="B2521" s="602" t="s">
        <v>276</v>
      </c>
      <c r="C2521" s="603"/>
      <c r="D2521" s="603"/>
      <c r="E2521" s="603"/>
      <c r="F2521" s="604"/>
    </row>
    <row r="2522" spans="2:6" ht="15.75" thickBot="1" x14ac:dyDescent="0.3">
      <c r="B2522" s="605" t="s">
        <v>104</v>
      </c>
      <c r="C2522" s="606"/>
      <c r="D2522" s="607"/>
      <c r="E2522" s="282" t="s">
        <v>105</v>
      </c>
      <c r="F2522" s="283" t="s">
        <v>103</v>
      </c>
    </row>
    <row r="2523" spans="2:6" ht="64.150000000000006" customHeight="1" thickBot="1" x14ac:dyDescent="0.3">
      <c r="B2523" s="608" t="str">
        <f>'PRESUPUESTO CALLE 58 SUR'!B68</f>
        <v>Suministro, transporte y colocación de mezcla asfáltica en caliente MCD-19 para pavimento según normas para la construcción de pavimentos del INVIAS. Compactada con medios mecánicos. Incluye todo lo necesario para su correcta construcción y funcionamiento. La excavación y la base se pagarán por su respectivo ítem.</v>
      </c>
      <c r="C2523" s="609"/>
      <c r="D2523" s="610"/>
      <c r="E2523" s="449" t="str">
        <f>'PRESUPUESTO CALLE 58 SUR'!C68</f>
        <v>m3</v>
      </c>
      <c r="F2523" s="448">
        <f>'PRESUPUESTO CALLE 58 SUR'!A68</f>
        <v>10.4</v>
      </c>
    </row>
    <row r="2524" spans="2:6" ht="15.75" thickBot="1" x14ac:dyDescent="0.3">
      <c r="B2524" s="250" t="s">
        <v>8</v>
      </c>
      <c r="C2524" s="251" t="s">
        <v>9</v>
      </c>
      <c r="D2524" s="252" t="s">
        <v>10</v>
      </c>
      <c r="E2524" s="253" t="s">
        <v>283</v>
      </c>
      <c r="F2524" s="254" t="s">
        <v>284</v>
      </c>
    </row>
    <row r="2525" spans="2:6" x14ac:dyDescent="0.25">
      <c r="B2525" s="594" t="s">
        <v>285</v>
      </c>
      <c r="C2525" s="595"/>
      <c r="D2525" s="595"/>
      <c r="E2525" s="595"/>
      <c r="F2525" s="596"/>
    </row>
    <row r="2526" spans="2:6" ht="22.5" x14ac:dyDescent="0.25">
      <c r="B2526" s="255" t="s">
        <v>955</v>
      </c>
      <c r="C2526" s="256" t="s">
        <v>117</v>
      </c>
      <c r="D2526" s="257">
        <v>1.05</v>
      </c>
      <c r="E2526" s="258">
        <v>1323365</v>
      </c>
      <c r="F2526" s="259">
        <f t="shared" ref="F2526:F2537" si="137">D2526*E2526</f>
        <v>1389533.25</v>
      </c>
    </row>
    <row r="2527" spans="2:6" x14ac:dyDescent="0.25">
      <c r="B2527" s="260"/>
      <c r="C2527" s="256"/>
      <c r="D2527" s="257"/>
      <c r="E2527" s="258"/>
      <c r="F2527" s="259">
        <f t="shared" si="137"/>
        <v>0</v>
      </c>
    </row>
    <row r="2528" spans="2:6" x14ac:dyDescent="0.25">
      <c r="B2528" s="261"/>
      <c r="C2528" s="256"/>
      <c r="D2528" s="257"/>
      <c r="E2528" s="258"/>
      <c r="F2528" s="259">
        <f t="shared" si="137"/>
        <v>0</v>
      </c>
    </row>
    <row r="2529" spans="2:6" x14ac:dyDescent="0.25">
      <c r="B2529" s="261"/>
      <c r="C2529" s="256"/>
      <c r="D2529" s="257"/>
      <c r="E2529" s="258"/>
      <c r="F2529" s="259">
        <f t="shared" si="137"/>
        <v>0</v>
      </c>
    </row>
    <row r="2530" spans="2:6" x14ac:dyDescent="0.25">
      <c r="B2530" s="261"/>
      <c r="C2530" s="256"/>
      <c r="D2530" s="257"/>
      <c r="E2530" s="258"/>
      <c r="F2530" s="259">
        <f t="shared" si="137"/>
        <v>0</v>
      </c>
    </row>
    <row r="2531" spans="2:6" x14ac:dyDescent="0.25">
      <c r="B2531" s="261"/>
      <c r="C2531" s="256"/>
      <c r="D2531" s="257"/>
      <c r="E2531" s="258"/>
      <c r="F2531" s="259">
        <f t="shared" si="137"/>
        <v>0</v>
      </c>
    </row>
    <row r="2532" spans="2:6" x14ac:dyDescent="0.25">
      <c r="B2532" s="261"/>
      <c r="C2532" s="256"/>
      <c r="D2532" s="257"/>
      <c r="E2532" s="258"/>
      <c r="F2532" s="259">
        <f t="shared" si="137"/>
        <v>0</v>
      </c>
    </row>
    <row r="2533" spans="2:6" x14ac:dyDescent="0.25">
      <c r="B2533" s="261"/>
      <c r="C2533" s="256"/>
      <c r="D2533" s="257"/>
      <c r="E2533" s="258"/>
      <c r="F2533" s="259">
        <f t="shared" si="137"/>
        <v>0</v>
      </c>
    </row>
    <row r="2534" spans="2:6" x14ac:dyDescent="0.25">
      <c r="B2534" s="261"/>
      <c r="C2534" s="256"/>
      <c r="D2534" s="257"/>
      <c r="E2534" s="258"/>
      <c r="F2534" s="259">
        <f t="shared" si="137"/>
        <v>0</v>
      </c>
    </row>
    <row r="2535" spans="2:6" x14ac:dyDescent="0.25">
      <c r="B2535" s="261"/>
      <c r="C2535" s="256"/>
      <c r="D2535" s="257"/>
      <c r="E2535" s="258"/>
      <c r="F2535" s="259">
        <f t="shared" si="137"/>
        <v>0</v>
      </c>
    </row>
    <row r="2536" spans="2:6" x14ac:dyDescent="0.25">
      <c r="B2536" s="261"/>
      <c r="C2536" s="256"/>
      <c r="D2536" s="257"/>
      <c r="E2536" s="258"/>
      <c r="F2536" s="259">
        <f t="shared" si="137"/>
        <v>0</v>
      </c>
    </row>
    <row r="2537" spans="2:6" x14ac:dyDescent="0.25">
      <c r="B2537" s="262"/>
      <c r="C2537" s="263"/>
      <c r="D2537" s="264"/>
      <c r="E2537" s="265"/>
      <c r="F2537" s="259">
        <f t="shared" si="137"/>
        <v>0</v>
      </c>
    </row>
    <row r="2538" spans="2:6" ht="15.75" thickBot="1" x14ac:dyDescent="0.3">
      <c r="B2538" s="611" t="s">
        <v>286</v>
      </c>
      <c r="C2538" s="612"/>
      <c r="D2538" s="612"/>
      <c r="E2538" s="613"/>
      <c r="F2538" s="284">
        <f>SUM(F2526:F2537)</f>
        <v>1389533.25</v>
      </c>
    </row>
    <row r="2539" spans="2:6" x14ac:dyDescent="0.25">
      <c r="B2539" s="594" t="s">
        <v>277</v>
      </c>
      <c r="C2539" s="595"/>
      <c r="D2539" s="595"/>
      <c r="E2539" s="595"/>
      <c r="F2539" s="596"/>
    </row>
    <row r="2540" spans="2:6" x14ac:dyDescent="0.25">
      <c r="B2540" s="266"/>
      <c r="C2540" s="267"/>
      <c r="D2540" s="268"/>
      <c r="E2540" s="269"/>
      <c r="F2540" s="270">
        <f>D2540*E2540</f>
        <v>0</v>
      </c>
    </row>
    <row r="2541" spans="2:6" x14ac:dyDescent="0.25">
      <c r="B2541" s="266"/>
      <c r="C2541" s="267"/>
      <c r="D2541" s="268"/>
      <c r="E2541" s="269"/>
      <c r="F2541" s="270">
        <f>D2541*E2541</f>
        <v>0</v>
      </c>
    </row>
    <row r="2542" spans="2:6" x14ac:dyDescent="0.25">
      <c r="B2542" s="266"/>
      <c r="C2542" s="267"/>
      <c r="D2542" s="268"/>
      <c r="E2542" s="271"/>
      <c r="F2542" s="270">
        <f>D2542*E2542</f>
        <v>0</v>
      </c>
    </row>
    <row r="2543" spans="2:6" x14ac:dyDescent="0.25">
      <c r="B2543" s="272"/>
      <c r="C2543" s="273"/>
      <c r="D2543" s="268"/>
      <c r="E2543" s="271"/>
      <c r="F2543" s="270">
        <f>D2543*E2543</f>
        <v>0</v>
      </c>
    </row>
    <row r="2544" spans="2:6" ht="15.75" thickBot="1" x14ac:dyDescent="0.3">
      <c r="B2544" s="611" t="s">
        <v>287</v>
      </c>
      <c r="C2544" s="612"/>
      <c r="D2544" s="612"/>
      <c r="E2544" s="613"/>
      <c r="F2544" s="274">
        <f>SUM(F2540:F2543)</f>
        <v>0</v>
      </c>
    </row>
    <row r="2545" spans="2:6" x14ac:dyDescent="0.25">
      <c r="B2545" s="594" t="s">
        <v>278</v>
      </c>
      <c r="C2545" s="595"/>
      <c r="D2545" s="595"/>
      <c r="E2545" s="595"/>
      <c r="F2545" s="596"/>
    </row>
    <row r="2546" spans="2:6" x14ac:dyDescent="0.25">
      <c r="B2546" s="272" t="s">
        <v>279</v>
      </c>
      <c r="C2546" s="273" t="s">
        <v>280</v>
      </c>
      <c r="D2546" s="268">
        <v>0.05</v>
      </c>
      <c r="E2546" s="271">
        <f>F2544</f>
        <v>0</v>
      </c>
      <c r="F2546" s="270">
        <f>D2546*E2546</f>
        <v>0</v>
      </c>
    </row>
    <row r="2547" spans="2:6" ht="15.75" thickBot="1" x14ac:dyDescent="0.3">
      <c r="B2547" s="611" t="s">
        <v>288</v>
      </c>
      <c r="C2547" s="612"/>
      <c r="D2547" s="612"/>
      <c r="E2547" s="613"/>
      <c r="F2547" s="274">
        <f>SUM(F2546)</f>
        <v>0</v>
      </c>
    </row>
    <row r="2548" spans="2:6" x14ac:dyDescent="0.25">
      <c r="B2548" s="594" t="s">
        <v>281</v>
      </c>
      <c r="C2548" s="595"/>
      <c r="D2548" s="595"/>
      <c r="E2548" s="595"/>
      <c r="F2548" s="596"/>
    </row>
    <row r="2549" spans="2:6" x14ac:dyDescent="0.25">
      <c r="B2549" s="272"/>
      <c r="C2549" s="273"/>
      <c r="D2549" s="268"/>
      <c r="E2549" s="271"/>
      <c r="F2549" s="259">
        <f t="shared" ref="F2549:F2560" si="138">D2549*E2549</f>
        <v>0</v>
      </c>
    </row>
    <row r="2550" spans="2:6" x14ac:dyDescent="0.25">
      <c r="B2550" s="272"/>
      <c r="C2550" s="273"/>
      <c r="D2550" s="268"/>
      <c r="E2550" s="271"/>
      <c r="F2550" s="259">
        <f t="shared" si="138"/>
        <v>0</v>
      </c>
    </row>
    <row r="2551" spans="2:6" x14ac:dyDescent="0.25">
      <c r="B2551" s="272"/>
      <c r="C2551" s="273"/>
      <c r="D2551" s="268"/>
      <c r="E2551" s="271"/>
      <c r="F2551" s="259">
        <f t="shared" si="138"/>
        <v>0</v>
      </c>
    </row>
    <row r="2552" spans="2:6" x14ac:dyDescent="0.25">
      <c r="B2552" s="272"/>
      <c r="C2552" s="273"/>
      <c r="D2552" s="268"/>
      <c r="E2552" s="271"/>
      <c r="F2552" s="259">
        <f t="shared" si="138"/>
        <v>0</v>
      </c>
    </row>
    <row r="2553" spans="2:6" x14ac:dyDescent="0.25">
      <c r="B2553" s="272"/>
      <c r="C2553" s="273"/>
      <c r="D2553" s="268"/>
      <c r="E2553" s="271"/>
      <c r="F2553" s="259">
        <f t="shared" si="138"/>
        <v>0</v>
      </c>
    </row>
    <row r="2554" spans="2:6" x14ac:dyDescent="0.25">
      <c r="B2554" s="272"/>
      <c r="C2554" s="273"/>
      <c r="D2554" s="268"/>
      <c r="E2554" s="271"/>
      <c r="F2554" s="259">
        <f t="shared" si="138"/>
        <v>0</v>
      </c>
    </row>
    <row r="2555" spans="2:6" x14ac:dyDescent="0.25">
      <c r="B2555" s="272"/>
      <c r="C2555" s="273"/>
      <c r="D2555" s="268"/>
      <c r="E2555" s="271"/>
      <c r="F2555" s="259">
        <f t="shared" si="138"/>
        <v>0</v>
      </c>
    </row>
    <row r="2556" spans="2:6" x14ac:dyDescent="0.25">
      <c r="B2556" s="272"/>
      <c r="C2556" s="273"/>
      <c r="D2556" s="268"/>
      <c r="E2556" s="271"/>
      <c r="F2556" s="259">
        <f t="shared" si="138"/>
        <v>0</v>
      </c>
    </row>
    <row r="2557" spans="2:6" x14ac:dyDescent="0.25">
      <c r="B2557" s="272"/>
      <c r="C2557" s="273"/>
      <c r="D2557" s="268"/>
      <c r="E2557" s="271"/>
      <c r="F2557" s="259">
        <f t="shared" si="138"/>
        <v>0</v>
      </c>
    </row>
    <row r="2558" spans="2:6" x14ac:dyDescent="0.25">
      <c r="B2558" s="272"/>
      <c r="C2558" s="273"/>
      <c r="D2558" s="268"/>
      <c r="E2558" s="271"/>
      <c r="F2558" s="259">
        <f t="shared" si="138"/>
        <v>0</v>
      </c>
    </row>
    <row r="2559" spans="2:6" x14ac:dyDescent="0.25">
      <c r="B2559" s="272"/>
      <c r="C2559" s="273"/>
      <c r="D2559" s="268"/>
      <c r="E2559" s="271"/>
      <c r="F2559" s="259">
        <f t="shared" si="138"/>
        <v>0</v>
      </c>
    </row>
    <row r="2560" spans="2:6" x14ac:dyDescent="0.25">
      <c r="B2560" s="272"/>
      <c r="C2560" s="273"/>
      <c r="D2560" s="268"/>
      <c r="E2560" s="271"/>
      <c r="F2560" s="259">
        <f t="shared" si="138"/>
        <v>0</v>
      </c>
    </row>
    <row r="2561" spans="2:6" ht="15.75" thickBot="1" x14ac:dyDescent="0.3">
      <c r="B2561" s="611" t="s">
        <v>289</v>
      </c>
      <c r="C2561" s="612"/>
      <c r="D2561" s="612"/>
      <c r="E2561" s="613"/>
      <c r="F2561" s="274">
        <f>SUM(F2549:F2560)</f>
        <v>0</v>
      </c>
    </row>
    <row r="2562" spans="2:6" x14ac:dyDescent="0.25">
      <c r="B2562" s="594" t="s">
        <v>290</v>
      </c>
      <c r="C2562" s="595"/>
      <c r="D2562" s="595"/>
      <c r="E2562" s="595"/>
      <c r="F2562" s="596"/>
    </row>
    <row r="2563" spans="2:6" x14ac:dyDescent="0.25">
      <c r="B2563" s="272" t="s">
        <v>956</v>
      </c>
      <c r="C2563" s="273" t="s">
        <v>117</v>
      </c>
      <c r="D2563" s="275">
        <v>0</v>
      </c>
      <c r="E2563" s="276">
        <v>100000</v>
      </c>
      <c r="F2563" s="259">
        <f>D2563*E2563</f>
        <v>0</v>
      </c>
    </row>
    <row r="2564" spans="2:6" x14ac:dyDescent="0.25">
      <c r="B2564" s="277"/>
      <c r="C2564" s="278"/>
      <c r="D2564" s="279"/>
      <c r="E2564" s="280"/>
      <c r="F2564" s="259">
        <f>D2564*E2564</f>
        <v>0</v>
      </c>
    </row>
    <row r="2565" spans="2:6" x14ac:dyDescent="0.25">
      <c r="B2565" s="277"/>
      <c r="C2565" s="278"/>
      <c r="D2565" s="279"/>
      <c r="E2565" s="280"/>
      <c r="F2565" s="259">
        <f>D2565*E2565</f>
        <v>0</v>
      </c>
    </row>
    <row r="2566" spans="2:6" ht="15.75" thickBot="1" x14ac:dyDescent="0.3">
      <c r="B2566" s="611" t="s">
        <v>291</v>
      </c>
      <c r="C2566" s="612"/>
      <c r="D2566" s="612"/>
      <c r="E2566" s="613"/>
      <c r="F2566" s="285">
        <f>SUM(F2563:F2565)</f>
        <v>0</v>
      </c>
    </row>
    <row r="2567" spans="2:6" ht="15.75" thickBot="1" x14ac:dyDescent="0.3">
      <c r="B2567" s="600" t="s">
        <v>282</v>
      </c>
      <c r="C2567" s="601"/>
      <c r="D2567" s="601"/>
      <c r="E2567" s="601"/>
      <c r="F2567" s="286">
        <f>ROUND(F2538+F2544+F2547+F2561+F2566,0)</f>
        <v>1389533</v>
      </c>
    </row>
    <row r="2568" spans="2:6" ht="15.75" thickBot="1" x14ac:dyDescent="0.3"/>
    <row r="2569" spans="2:6" ht="15.75" thickBot="1" x14ac:dyDescent="0.3">
      <c r="B2569" s="602" t="s">
        <v>276</v>
      </c>
      <c r="C2569" s="603"/>
      <c r="D2569" s="603"/>
      <c r="E2569" s="603"/>
      <c r="F2569" s="604"/>
    </row>
    <row r="2570" spans="2:6" ht="15.75" thickBot="1" x14ac:dyDescent="0.3">
      <c r="B2570" s="605" t="s">
        <v>104</v>
      </c>
      <c r="C2570" s="606"/>
      <c r="D2570" s="607"/>
      <c r="E2570" s="282" t="s">
        <v>105</v>
      </c>
      <c r="F2570" s="283" t="s">
        <v>103</v>
      </c>
    </row>
    <row r="2571" spans="2:6" ht="70.150000000000006" customHeight="1" thickBot="1" x14ac:dyDescent="0.3">
      <c r="B2571" s="608" t="str">
        <f>'PRESUPUESTO CALLE 58 SUR'!B69</f>
        <v>Suministro, transporte y colocación de cordón prefabricado de 0.15 x 0.45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C2571" s="609"/>
      <c r="D2571" s="610"/>
      <c r="E2571" s="449" t="str">
        <f>'PRESUPUESTO CALLE 58 SUR'!C69</f>
        <v>m</v>
      </c>
      <c r="F2571" s="448">
        <f>'PRESUPUESTO CALLE 58 SUR'!A69</f>
        <v>10.5</v>
      </c>
    </row>
    <row r="2572" spans="2:6" ht="15.75" thickBot="1" x14ac:dyDescent="0.3">
      <c r="B2572" s="250" t="s">
        <v>8</v>
      </c>
      <c r="C2572" s="251" t="s">
        <v>9</v>
      </c>
      <c r="D2572" s="252" t="s">
        <v>10</v>
      </c>
      <c r="E2572" s="253" t="s">
        <v>283</v>
      </c>
      <c r="F2572" s="254" t="s">
        <v>284</v>
      </c>
    </row>
    <row r="2573" spans="2:6" x14ac:dyDescent="0.25">
      <c r="B2573" s="594" t="s">
        <v>285</v>
      </c>
      <c r="C2573" s="595"/>
      <c r="D2573" s="595"/>
      <c r="E2573" s="595"/>
      <c r="F2573" s="596"/>
    </row>
    <row r="2574" spans="2:6" ht="22.5" x14ac:dyDescent="0.25">
      <c r="B2574" s="255" t="str">
        <f>INSUMOS!B438</f>
        <v>Cordon prefabricado de 0.80X0.15X0.35, tres caras (U50)</v>
      </c>
      <c r="C2574" s="256" t="s">
        <v>17</v>
      </c>
      <c r="D2574" s="257">
        <f>1.4*1.05</f>
        <v>1.47</v>
      </c>
      <c r="E2574" s="258">
        <f>INSUMOS!F438</f>
        <v>54457</v>
      </c>
      <c r="F2574" s="259">
        <f t="shared" ref="F2574:F2585" si="139">D2574*E2574</f>
        <v>80051.789999999994</v>
      </c>
    </row>
    <row r="2575" spans="2:6" x14ac:dyDescent="0.25">
      <c r="B2575" s="459" t="str">
        <f>SUBANALISIS!A25</f>
        <v>Mort.1:4 En obra</v>
      </c>
      <c r="C2575" s="256" t="s">
        <v>117</v>
      </c>
      <c r="D2575" s="257">
        <v>2.5000000000000001E-2</v>
      </c>
      <c r="E2575" s="258">
        <f>SUBANALISIS!F25</f>
        <v>537281.20913600002</v>
      </c>
      <c r="F2575" s="259">
        <f t="shared" si="139"/>
        <v>13432.030228400001</v>
      </c>
    </row>
    <row r="2576" spans="2:6" x14ac:dyDescent="0.25">
      <c r="B2576" s="261"/>
      <c r="C2576" s="256"/>
      <c r="D2576" s="257"/>
      <c r="E2576" s="258"/>
      <c r="F2576" s="259">
        <f t="shared" si="139"/>
        <v>0</v>
      </c>
    </row>
    <row r="2577" spans="2:6" x14ac:dyDescent="0.25">
      <c r="B2577" s="261"/>
      <c r="C2577" s="256"/>
      <c r="D2577" s="257"/>
      <c r="E2577" s="258"/>
      <c r="F2577" s="259">
        <f t="shared" si="139"/>
        <v>0</v>
      </c>
    </row>
    <row r="2578" spans="2:6" x14ac:dyDescent="0.25">
      <c r="B2578" s="261"/>
      <c r="C2578" s="256"/>
      <c r="D2578" s="257"/>
      <c r="E2578" s="258"/>
      <c r="F2578" s="259">
        <f t="shared" si="139"/>
        <v>0</v>
      </c>
    </row>
    <row r="2579" spans="2:6" x14ac:dyDescent="0.25">
      <c r="B2579" s="261"/>
      <c r="C2579" s="256"/>
      <c r="D2579" s="257"/>
      <c r="E2579" s="258"/>
      <c r="F2579" s="259">
        <f t="shared" si="139"/>
        <v>0</v>
      </c>
    </row>
    <row r="2580" spans="2:6" x14ac:dyDescent="0.25">
      <c r="B2580" s="261"/>
      <c r="C2580" s="256"/>
      <c r="D2580" s="257"/>
      <c r="E2580" s="258"/>
      <c r="F2580" s="259">
        <f t="shared" si="139"/>
        <v>0</v>
      </c>
    </row>
    <row r="2581" spans="2:6" x14ac:dyDescent="0.25">
      <c r="B2581" s="261"/>
      <c r="C2581" s="256"/>
      <c r="D2581" s="257"/>
      <c r="E2581" s="258"/>
      <c r="F2581" s="259">
        <f t="shared" si="139"/>
        <v>0</v>
      </c>
    </row>
    <row r="2582" spans="2:6" x14ac:dyDescent="0.25">
      <c r="B2582" s="261"/>
      <c r="C2582" s="256"/>
      <c r="D2582" s="257"/>
      <c r="E2582" s="258"/>
      <c r="F2582" s="259">
        <f t="shared" si="139"/>
        <v>0</v>
      </c>
    </row>
    <row r="2583" spans="2:6" x14ac:dyDescent="0.25">
      <c r="B2583" s="261"/>
      <c r="C2583" s="256"/>
      <c r="D2583" s="257"/>
      <c r="E2583" s="258"/>
      <c r="F2583" s="259">
        <f t="shared" si="139"/>
        <v>0</v>
      </c>
    </row>
    <row r="2584" spans="2:6" x14ac:dyDescent="0.25">
      <c r="B2584" s="261"/>
      <c r="C2584" s="256"/>
      <c r="D2584" s="257"/>
      <c r="E2584" s="258"/>
      <c r="F2584" s="259">
        <f t="shared" si="139"/>
        <v>0</v>
      </c>
    </row>
    <row r="2585" spans="2:6" x14ac:dyDescent="0.25">
      <c r="B2585" s="262"/>
      <c r="C2585" s="263"/>
      <c r="D2585" s="264"/>
      <c r="E2585" s="265"/>
      <c r="F2585" s="259">
        <f t="shared" si="139"/>
        <v>0</v>
      </c>
    </row>
    <row r="2586" spans="2:6" ht="15.75" thickBot="1" x14ac:dyDescent="0.3">
      <c r="B2586" s="611" t="s">
        <v>286</v>
      </c>
      <c r="C2586" s="612"/>
      <c r="D2586" s="612"/>
      <c r="E2586" s="613"/>
      <c r="F2586" s="284">
        <f>SUM(F2574:F2585)</f>
        <v>93483.8202284</v>
      </c>
    </row>
    <row r="2587" spans="2:6" x14ac:dyDescent="0.25">
      <c r="B2587" s="594" t="s">
        <v>277</v>
      </c>
      <c r="C2587" s="595"/>
      <c r="D2587" s="595"/>
      <c r="E2587" s="595"/>
      <c r="F2587" s="596"/>
    </row>
    <row r="2588" spans="2:6" x14ac:dyDescent="0.25">
      <c r="B2588" s="266" t="str">
        <f>CUADRILLAS!A78</f>
        <v>Cuad. 1of + 1 ay Ent</v>
      </c>
      <c r="C2588" s="267" t="s">
        <v>110</v>
      </c>
      <c r="D2588" s="268">
        <v>0.12</v>
      </c>
      <c r="E2588" s="269">
        <f>CUADRILLAS!B78</f>
        <v>211165</v>
      </c>
      <c r="F2588" s="270">
        <f>D2588*E2588</f>
        <v>25339.8</v>
      </c>
    </row>
    <row r="2589" spans="2:6" x14ac:dyDescent="0.25">
      <c r="B2589" s="266"/>
      <c r="C2589" s="267"/>
      <c r="D2589" s="268"/>
      <c r="E2589" s="269"/>
      <c r="F2589" s="270">
        <f>D2589*E2589</f>
        <v>0</v>
      </c>
    </row>
    <row r="2590" spans="2:6" x14ac:dyDescent="0.25">
      <c r="B2590" s="266"/>
      <c r="C2590" s="267"/>
      <c r="D2590" s="268"/>
      <c r="E2590" s="271"/>
      <c r="F2590" s="270">
        <f>D2590*E2590</f>
        <v>0</v>
      </c>
    </row>
    <row r="2591" spans="2:6" x14ac:dyDescent="0.25">
      <c r="B2591" s="272"/>
      <c r="C2591" s="273"/>
      <c r="D2591" s="268"/>
      <c r="E2591" s="271"/>
      <c r="F2591" s="270">
        <f>D2591*E2591</f>
        <v>0</v>
      </c>
    </row>
    <row r="2592" spans="2:6" ht="15.75" thickBot="1" x14ac:dyDescent="0.3">
      <c r="B2592" s="611" t="s">
        <v>287</v>
      </c>
      <c r="C2592" s="612"/>
      <c r="D2592" s="612"/>
      <c r="E2592" s="613"/>
      <c r="F2592" s="274">
        <f>SUM(F2588:F2591)</f>
        <v>25339.8</v>
      </c>
    </row>
    <row r="2593" spans="2:6" x14ac:dyDescent="0.25">
      <c r="B2593" s="594" t="s">
        <v>278</v>
      </c>
      <c r="C2593" s="595"/>
      <c r="D2593" s="595"/>
      <c r="E2593" s="595"/>
      <c r="F2593" s="596"/>
    </row>
    <row r="2594" spans="2:6" x14ac:dyDescent="0.25">
      <c r="B2594" s="272" t="s">
        <v>279</v>
      </c>
      <c r="C2594" s="273" t="s">
        <v>280</v>
      </c>
      <c r="D2594" s="268">
        <v>0.05</v>
      </c>
      <c r="E2594" s="271">
        <f>F2592</f>
        <v>25339.8</v>
      </c>
      <c r="F2594" s="270">
        <f>D2594*E2594</f>
        <v>1266.99</v>
      </c>
    </row>
    <row r="2595" spans="2:6" ht="15.75" thickBot="1" x14ac:dyDescent="0.3">
      <c r="B2595" s="611" t="s">
        <v>288</v>
      </c>
      <c r="C2595" s="612"/>
      <c r="D2595" s="612"/>
      <c r="E2595" s="613"/>
      <c r="F2595" s="274">
        <f>SUM(F2594)</f>
        <v>1266.99</v>
      </c>
    </row>
    <row r="2596" spans="2:6" x14ac:dyDescent="0.25">
      <c r="B2596" s="594" t="s">
        <v>281</v>
      </c>
      <c r="C2596" s="595"/>
      <c r="D2596" s="595"/>
      <c r="E2596" s="595"/>
      <c r="F2596" s="596"/>
    </row>
    <row r="2597" spans="2:6" x14ac:dyDescent="0.25">
      <c r="B2597" s="272"/>
      <c r="C2597" s="273"/>
      <c r="D2597" s="268"/>
      <c r="E2597" s="271"/>
      <c r="F2597" s="259">
        <f t="shared" ref="F2597:F2608" si="140">D2597*E2597</f>
        <v>0</v>
      </c>
    </row>
    <row r="2598" spans="2:6" x14ac:dyDescent="0.25">
      <c r="B2598" s="272"/>
      <c r="C2598" s="273"/>
      <c r="D2598" s="268"/>
      <c r="E2598" s="271"/>
      <c r="F2598" s="259">
        <f t="shared" si="140"/>
        <v>0</v>
      </c>
    </row>
    <row r="2599" spans="2:6" x14ac:dyDescent="0.25">
      <c r="B2599" s="272"/>
      <c r="C2599" s="273"/>
      <c r="D2599" s="268"/>
      <c r="E2599" s="271"/>
      <c r="F2599" s="259">
        <f t="shared" si="140"/>
        <v>0</v>
      </c>
    </row>
    <row r="2600" spans="2:6" x14ac:dyDescent="0.25">
      <c r="B2600" s="272"/>
      <c r="C2600" s="273"/>
      <c r="D2600" s="268"/>
      <c r="E2600" s="271"/>
      <c r="F2600" s="259">
        <f t="shared" si="140"/>
        <v>0</v>
      </c>
    </row>
    <row r="2601" spans="2:6" x14ac:dyDescent="0.25">
      <c r="B2601" s="272"/>
      <c r="C2601" s="273"/>
      <c r="D2601" s="268"/>
      <c r="E2601" s="271"/>
      <c r="F2601" s="259">
        <f t="shared" si="140"/>
        <v>0</v>
      </c>
    </row>
    <row r="2602" spans="2:6" x14ac:dyDescent="0.25">
      <c r="B2602" s="272"/>
      <c r="C2602" s="273"/>
      <c r="D2602" s="268"/>
      <c r="E2602" s="271"/>
      <c r="F2602" s="259">
        <f t="shared" si="140"/>
        <v>0</v>
      </c>
    </row>
    <row r="2603" spans="2:6" x14ac:dyDescent="0.25">
      <c r="B2603" s="272"/>
      <c r="C2603" s="273"/>
      <c r="D2603" s="268"/>
      <c r="E2603" s="271"/>
      <c r="F2603" s="259">
        <f t="shared" si="140"/>
        <v>0</v>
      </c>
    </row>
    <row r="2604" spans="2:6" x14ac:dyDescent="0.25">
      <c r="B2604" s="272"/>
      <c r="C2604" s="273"/>
      <c r="D2604" s="268"/>
      <c r="E2604" s="271"/>
      <c r="F2604" s="259">
        <f t="shared" si="140"/>
        <v>0</v>
      </c>
    </row>
    <row r="2605" spans="2:6" x14ac:dyDescent="0.25">
      <c r="B2605" s="272"/>
      <c r="C2605" s="273"/>
      <c r="D2605" s="268"/>
      <c r="E2605" s="271"/>
      <c r="F2605" s="259">
        <f t="shared" si="140"/>
        <v>0</v>
      </c>
    </row>
    <row r="2606" spans="2:6" x14ac:dyDescent="0.25">
      <c r="B2606" s="272"/>
      <c r="C2606" s="273"/>
      <c r="D2606" s="268"/>
      <c r="E2606" s="271"/>
      <c r="F2606" s="259">
        <f t="shared" si="140"/>
        <v>0</v>
      </c>
    </row>
    <row r="2607" spans="2:6" x14ac:dyDescent="0.25">
      <c r="B2607" s="272"/>
      <c r="C2607" s="273"/>
      <c r="D2607" s="268"/>
      <c r="E2607" s="271"/>
      <c r="F2607" s="259">
        <f t="shared" si="140"/>
        <v>0</v>
      </c>
    </row>
    <row r="2608" spans="2:6" x14ac:dyDescent="0.25">
      <c r="B2608" s="272"/>
      <c r="C2608" s="273"/>
      <c r="D2608" s="268"/>
      <c r="E2608" s="271"/>
      <c r="F2608" s="259">
        <f t="shared" si="140"/>
        <v>0</v>
      </c>
    </row>
    <row r="2609" spans="2:11" ht="15.75" thickBot="1" x14ac:dyDescent="0.3">
      <c r="B2609" s="611" t="s">
        <v>289</v>
      </c>
      <c r="C2609" s="612"/>
      <c r="D2609" s="612"/>
      <c r="E2609" s="613"/>
      <c r="F2609" s="274">
        <f>SUM(F2597:F2608)</f>
        <v>0</v>
      </c>
    </row>
    <row r="2610" spans="2:11" x14ac:dyDescent="0.25">
      <c r="B2610" s="594" t="s">
        <v>290</v>
      </c>
      <c r="C2610" s="595"/>
      <c r="D2610" s="595"/>
      <c r="E2610" s="595"/>
      <c r="F2610" s="596"/>
    </row>
    <row r="2611" spans="2:11" x14ac:dyDescent="0.25">
      <c r="B2611" s="272" t="s">
        <v>957</v>
      </c>
      <c r="C2611" s="273" t="s">
        <v>17</v>
      </c>
      <c r="D2611" s="275">
        <f>D2574</f>
        <v>1.47</v>
      </c>
      <c r="E2611" s="276">
        <v>1971.4285714285713</v>
      </c>
      <c r="F2611" s="259">
        <f>D2611*E2611</f>
        <v>2898</v>
      </c>
    </row>
    <row r="2612" spans="2:11" x14ac:dyDescent="0.25">
      <c r="B2612" s="277"/>
      <c r="C2612" s="278"/>
      <c r="D2612" s="279"/>
      <c r="E2612" s="280"/>
      <c r="F2612" s="259">
        <f>D2612*E2612</f>
        <v>0</v>
      </c>
    </row>
    <row r="2613" spans="2:11" x14ac:dyDescent="0.25">
      <c r="B2613" s="277"/>
      <c r="C2613" s="278"/>
      <c r="D2613" s="279"/>
      <c r="E2613" s="280"/>
      <c r="F2613" s="259">
        <f>D2613*E2613</f>
        <v>0</v>
      </c>
    </row>
    <row r="2614" spans="2:11" ht="15.75" thickBot="1" x14ac:dyDescent="0.3">
      <c r="B2614" s="611" t="s">
        <v>291</v>
      </c>
      <c r="C2614" s="612"/>
      <c r="D2614" s="612"/>
      <c r="E2614" s="613"/>
      <c r="F2614" s="285">
        <f>SUM(F2611:F2613)</f>
        <v>2898</v>
      </c>
    </row>
    <row r="2615" spans="2:11" ht="15.75" thickBot="1" x14ac:dyDescent="0.3">
      <c r="B2615" s="600" t="s">
        <v>282</v>
      </c>
      <c r="C2615" s="601"/>
      <c r="D2615" s="601"/>
      <c r="E2615" s="601"/>
      <c r="F2615" s="286">
        <f>ROUND(F2586+F2592+F2595+F2609+F2614,0)</f>
        <v>122989</v>
      </c>
    </row>
    <row r="2616" spans="2:11" ht="15.75" thickBot="1" x14ac:dyDescent="0.3"/>
    <row r="2617" spans="2:11" ht="15.75" thickBot="1" x14ac:dyDescent="0.3">
      <c r="B2617" s="602" t="s">
        <v>276</v>
      </c>
      <c r="C2617" s="603"/>
      <c r="D2617" s="603"/>
      <c r="E2617" s="603"/>
      <c r="F2617" s="604"/>
    </row>
    <row r="2618" spans="2:11" ht="15.75" thickBot="1" x14ac:dyDescent="0.3">
      <c r="B2618" s="605" t="s">
        <v>104</v>
      </c>
      <c r="C2618" s="606"/>
      <c r="D2618" s="607"/>
      <c r="E2618" s="282" t="s">
        <v>105</v>
      </c>
      <c r="F2618" s="283" t="s">
        <v>103</v>
      </c>
    </row>
    <row r="2619" spans="2:11" ht="60.6" customHeight="1" thickBot="1" x14ac:dyDescent="0.3">
      <c r="B2619" s="608" t="str">
        <f>'PRESUPUESTO CALLE 58 SUR'!B70</f>
        <v>Suministro, transporte y colocación de emulsión asfáltica catiónica de rompimiento lento C.R.L. y/o LIGA para imprimación de superficie a pavimentar según normas para la construcción de pavimentos del INVIAS. Incluye todo lo necesario para su correcta construcción y funcionamiento.</v>
      </c>
      <c r="C2619" s="609"/>
      <c r="D2619" s="610"/>
      <c r="E2619" s="449" t="str">
        <f>'PRESUPUESTO CALLE 58 SUR'!C70</f>
        <v>m2</v>
      </c>
      <c r="F2619" s="448">
        <f>'PRESUPUESTO CALLE 58 SUR'!A70</f>
        <v>10.6</v>
      </c>
    </row>
    <row r="2620" spans="2:11" ht="15.75" thickBot="1" x14ac:dyDescent="0.3">
      <c r="B2620" s="250" t="s">
        <v>8</v>
      </c>
      <c r="C2620" s="251" t="s">
        <v>9</v>
      </c>
      <c r="D2620" s="252" t="s">
        <v>10</v>
      </c>
      <c r="E2620" s="253" t="s">
        <v>283</v>
      </c>
      <c r="F2620" s="254" t="s">
        <v>284</v>
      </c>
    </row>
    <row r="2621" spans="2:11" x14ac:dyDescent="0.25">
      <c r="B2621" s="594" t="s">
        <v>285</v>
      </c>
      <c r="C2621" s="595"/>
      <c r="D2621" s="595"/>
      <c r="E2621" s="595"/>
      <c r="F2621" s="596"/>
    </row>
    <row r="2622" spans="2:11" x14ac:dyDescent="0.25">
      <c r="B2622" s="255"/>
      <c r="C2622" s="256"/>
      <c r="D2622" s="257"/>
      <c r="E2622" s="258"/>
      <c r="F2622" s="259">
        <f t="shared" ref="F2622:F2633" si="141">D2622*E2622</f>
        <v>0</v>
      </c>
      <c r="H2622" s="502"/>
      <c r="I2622" s="502"/>
      <c r="J2622" s="502"/>
      <c r="K2622" s="502"/>
    </row>
    <row r="2623" spans="2:11" x14ac:dyDescent="0.25">
      <c r="B2623" s="260" t="str">
        <f>INSUMOS!B434</f>
        <v>Emulsión Asfáltica + transporte a obra</v>
      </c>
      <c r="C2623" s="256" t="s">
        <v>1021</v>
      </c>
      <c r="D2623" s="257">
        <v>2</v>
      </c>
      <c r="E2623" s="258">
        <f>INSUMOS!E434</f>
        <v>3164.8648648648646</v>
      </c>
      <c r="F2623" s="259">
        <f t="shared" si="141"/>
        <v>6329.7297297297291</v>
      </c>
      <c r="H2623" s="502"/>
      <c r="I2623" s="502"/>
      <c r="J2623" s="502"/>
      <c r="K2623" s="502"/>
    </row>
    <row r="2624" spans="2:11" x14ac:dyDescent="0.25">
      <c r="B2624" s="261"/>
      <c r="C2624" s="256"/>
      <c r="D2624" s="257"/>
      <c r="E2624" s="258"/>
      <c r="F2624" s="259">
        <f t="shared" si="141"/>
        <v>0</v>
      </c>
      <c r="H2624" s="502"/>
      <c r="I2624" s="502"/>
      <c r="J2624" s="502"/>
      <c r="K2624" s="502"/>
    </row>
    <row r="2625" spans="2:11" x14ac:dyDescent="0.25">
      <c r="B2625" s="261"/>
      <c r="C2625" s="256"/>
      <c r="D2625" s="257"/>
      <c r="E2625" s="258"/>
      <c r="F2625" s="259">
        <f t="shared" si="141"/>
        <v>0</v>
      </c>
      <c r="H2625" s="502"/>
      <c r="I2625" s="502"/>
      <c r="J2625" s="502"/>
      <c r="K2625" s="502"/>
    </row>
    <row r="2626" spans="2:11" x14ac:dyDescent="0.25">
      <c r="B2626" s="261"/>
      <c r="C2626" s="256"/>
      <c r="D2626" s="257"/>
      <c r="E2626" s="258"/>
      <c r="F2626" s="259">
        <f t="shared" si="141"/>
        <v>0</v>
      </c>
      <c r="H2626" s="502"/>
      <c r="I2626" s="502"/>
      <c r="J2626" s="502"/>
      <c r="K2626" s="502"/>
    </row>
    <row r="2627" spans="2:11" x14ac:dyDescent="0.25">
      <c r="B2627" s="261"/>
      <c r="C2627" s="256"/>
      <c r="D2627" s="257"/>
      <c r="E2627" s="258"/>
      <c r="F2627" s="259">
        <f t="shared" si="141"/>
        <v>0</v>
      </c>
      <c r="H2627" s="502"/>
      <c r="I2627" s="502"/>
      <c r="J2627" s="502"/>
      <c r="K2627" s="502"/>
    </row>
    <row r="2628" spans="2:11" x14ac:dyDescent="0.25">
      <c r="B2628" s="261"/>
      <c r="C2628" s="256"/>
      <c r="D2628" s="257"/>
      <c r="E2628" s="258"/>
      <c r="F2628" s="259">
        <f t="shared" si="141"/>
        <v>0</v>
      </c>
      <c r="H2628" s="502"/>
      <c r="I2628" s="502"/>
      <c r="J2628" s="502"/>
      <c r="K2628" s="502"/>
    </row>
    <row r="2629" spans="2:11" x14ac:dyDescent="0.25">
      <c r="B2629" s="261"/>
      <c r="C2629" s="256"/>
      <c r="D2629" s="257"/>
      <c r="E2629" s="258"/>
      <c r="F2629" s="259">
        <f t="shared" si="141"/>
        <v>0</v>
      </c>
      <c r="H2629" s="502"/>
      <c r="I2629" s="502"/>
      <c r="J2629" s="502"/>
      <c r="K2629" s="502"/>
    </row>
    <row r="2630" spans="2:11" x14ac:dyDescent="0.25">
      <c r="B2630" s="261"/>
      <c r="C2630" s="256"/>
      <c r="D2630" s="257"/>
      <c r="E2630" s="258"/>
      <c r="F2630" s="259">
        <f t="shared" si="141"/>
        <v>0</v>
      </c>
      <c r="H2630" s="502"/>
      <c r="I2630" s="502"/>
      <c r="J2630" s="502"/>
      <c r="K2630" s="502"/>
    </row>
    <row r="2631" spans="2:11" x14ac:dyDescent="0.25">
      <c r="B2631" s="261"/>
      <c r="C2631" s="256"/>
      <c r="D2631" s="257"/>
      <c r="E2631" s="258"/>
      <c r="F2631" s="259">
        <f t="shared" si="141"/>
        <v>0</v>
      </c>
    </row>
    <row r="2632" spans="2:11" x14ac:dyDescent="0.25">
      <c r="B2632" s="261"/>
      <c r="C2632" s="256"/>
      <c r="D2632" s="257"/>
      <c r="E2632" s="258"/>
      <c r="F2632" s="259">
        <f t="shared" si="141"/>
        <v>0</v>
      </c>
    </row>
    <row r="2633" spans="2:11" x14ac:dyDescent="0.25">
      <c r="B2633" s="262"/>
      <c r="C2633" s="263"/>
      <c r="D2633" s="264"/>
      <c r="E2633" s="265"/>
      <c r="F2633" s="259">
        <f t="shared" si="141"/>
        <v>0</v>
      </c>
    </row>
    <row r="2634" spans="2:11" ht="15.75" thickBot="1" x14ac:dyDescent="0.3">
      <c r="B2634" s="611" t="s">
        <v>286</v>
      </c>
      <c r="C2634" s="612"/>
      <c r="D2634" s="612"/>
      <c r="E2634" s="613"/>
      <c r="F2634" s="284">
        <f>SUM(F2622:F2633)</f>
        <v>6329.7297297297291</v>
      </c>
    </row>
    <row r="2635" spans="2:11" x14ac:dyDescent="0.25">
      <c r="B2635" s="594" t="s">
        <v>277</v>
      </c>
      <c r="C2635" s="595"/>
      <c r="D2635" s="595"/>
      <c r="E2635" s="595"/>
      <c r="F2635" s="596"/>
    </row>
    <row r="2636" spans="2:11" x14ac:dyDescent="0.25">
      <c r="B2636" s="266" t="str">
        <f>CUADRILLAS!A84</f>
        <v>1Ay Entendido</v>
      </c>
      <c r="C2636" s="267" t="s">
        <v>110</v>
      </c>
      <c r="D2636" s="268">
        <v>1.67E-2</v>
      </c>
      <c r="E2636" s="269">
        <f>CUADRILLAS!B84</f>
        <v>85000</v>
      </c>
      <c r="F2636" s="270">
        <f>D2636*E2636</f>
        <v>1419.5</v>
      </c>
    </row>
    <row r="2637" spans="2:11" x14ac:dyDescent="0.25">
      <c r="B2637" s="266"/>
      <c r="C2637" s="267"/>
      <c r="D2637" s="268"/>
      <c r="E2637" s="269"/>
      <c r="F2637" s="270">
        <f>D2637*E2637</f>
        <v>0</v>
      </c>
    </row>
    <row r="2638" spans="2:11" x14ac:dyDescent="0.25">
      <c r="B2638" s="266"/>
      <c r="C2638" s="267"/>
      <c r="D2638" s="268"/>
      <c r="E2638" s="271"/>
      <c r="F2638" s="270">
        <f>D2638*E2638</f>
        <v>0</v>
      </c>
    </row>
    <row r="2639" spans="2:11" x14ac:dyDescent="0.25">
      <c r="B2639" s="272"/>
      <c r="C2639" s="273"/>
      <c r="D2639" s="268"/>
      <c r="E2639" s="271"/>
      <c r="F2639" s="270">
        <f>D2639*E2639</f>
        <v>0</v>
      </c>
    </row>
    <row r="2640" spans="2:11" ht="15.75" thickBot="1" x14ac:dyDescent="0.3">
      <c r="B2640" s="611" t="s">
        <v>287</v>
      </c>
      <c r="C2640" s="612"/>
      <c r="D2640" s="612"/>
      <c r="E2640" s="613"/>
      <c r="F2640" s="274">
        <f>SUM(F2636:F2639)</f>
        <v>1419.5</v>
      </c>
    </row>
    <row r="2641" spans="2:6" x14ac:dyDescent="0.25">
      <c r="B2641" s="594" t="s">
        <v>278</v>
      </c>
      <c r="C2641" s="595"/>
      <c r="D2641" s="595"/>
      <c r="E2641" s="595"/>
      <c r="F2641" s="596"/>
    </row>
    <row r="2642" spans="2:6" x14ac:dyDescent="0.25">
      <c r="B2642" s="272" t="s">
        <v>279</v>
      </c>
      <c r="C2642" s="273" t="s">
        <v>280</v>
      </c>
      <c r="D2642" s="268">
        <v>0.05</v>
      </c>
      <c r="E2642" s="271">
        <f>F2640</f>
        <v>1419.5</v>
      </c>
      <c r="F2642" s="270">
        <f>D2642*E2642</f>
        <v>70.975000000000009</v>
      </c>
    </row>
    <row r="2643" spans="2:6" ht="15.75" thickBot="1" x14ac:dyDescent="0.3">
      <c r="B2643" s="611" t="s">
        <v>288</v>
      </c>
      <c r="C2643" s="612"/>
      <c r="D2643" s="612"/>
      <c r="E2643" s="613"/>
      <c r="F2643" s="274">
        <f>SUM(F2642)</f>
        <v>70.975000000000009</v>
      </c>
    </row>
    <row r="2644" spans="2:6" x14ac:dyDescent="0.25">
      <c r="B2644" s="594" t="s">
        <v>281</v>
      </c>
      <c r="C2644" s="595"/>
      <c r="D2644" s="595"/>
      <c r="E2644" s="595"/>
      <c r="F2644" s="596"/>
    </row>
    <row r="2645" spans="2:6" ht="22.5" x14ac:dyDescent="0.25">
      <c r="B2645" s="272" t="str">
        <f>INSUMOS!B430</f>
        <v xml:space="preserve">Camión de slurry, volumen de depósito de emulsión 4m3 a 6 m3, ancho aproximado 7 m </v>
      </c>
      <c r="C2645" s="273" t="s">
        <v>110</v>
      </c>
      <c r="D2645" s="268">
        <v>7.0000000000000001E-3</v>
      </c>
      <c r="E2645" s="271">
        <f>INSUMOS!D430</f>
        <v>110000</v>
      </c>
      <c r="F2645" s="259">
        <f t="shared" ref="F2645:F2656" si="142">D2645*E2645</f>
        <v>770</v>
      </c>
    </row>
    <row r="2646" spans="2:6" x14ac:dyDescent="0.25">
      <c r="B2646" s="272"/>
      <c r="C2646" s="273"/>
      <c r="D2646" s="268"/>
      <c r="E2646" s="271"/>
      <c r="F2646" s="259">
        <f t="shared" si="142"/>
        <v>0</v>
      </c>
    </row>
    <row r="2647" spans="2:6" x14ac:dyDescent="0.25">
      <c r="B2647" s="272"/>
      <c r="C2647" s="273"/>
      <c r="D2647" s="268"/>
      <c r="E2647" s="271"/>
      <c r="F2647" s="259">
        <f t="shared" si="142"/>
        <v>0</v>
      </c>
    </row>
    <row r="2648" spans="2:6" x14ac:dyDescent="0.25">
      <c r="B2648" s="272"/>
      <c r="C2648" s="273"/>
      <c r="D2648" s="268"/>
      <c r="E2648" s="271"/>
      <c r="F2648" s="259">
        <f t="shared" si="142"/>
        <v>0</v>
      </c>
    </row>
    <row r="2649" spans="2:6" x14ac:dyDescent="0.25">
      <c r="B2649" s="272"/>
      <c r="C2649" s="273"/>
      <c r="D2649" s="268"/>
      <c r="E2649" s="271"/>
      <c r="F2649" s="259">
        <f t="shared" si="142"/>
        <v>0</v>
      </c>
    </row>
    <row r="2650" spans="2:6" x14ac:dyDescent="0.25">
      <c r="B2650" s="272"/>
      <c r="C2650" s="273"/>
      <c r="D2650" s="268"/>
      <c r="E2650" s="271"/>
      <c r="F2650" s="259">
        <f t="shared" si="142"/>
        <v>0</v>
      </c>
    </row>
    <row r="2651" spans="2:6" x14ac:dyDescent="0.25">
      <c r="B2651" s="272"/>
      <c r="C2651" s="273"/>
      <c r="D2651" s="268"/>
      <c r="E2651" s="271"/>
      <c r="F2651" s="259">
        <f t="shared" si="142"/>
        <v>0</v>
      </c>
    </row>
    <row r="2652" spans="2:6" x14ac:dyDescent="0.25">
      <c r="B2652" s="272"/>
      <c r="C2652" s="273"/>
      <c r="D2652" s="268"/>
      <c r="E2652" s="271"/>
      <c r="F2652" s="259">
        <f t="shared" si="142"/>
        <v>0</v>
      </c>
    </row>
    <row r="2653" spans="2:6" x14ac:dyDescent="0.25">
      <c r="B2653" s="272"/>
      <c r="C2653" s="273"/>
      <c r="D2653" s="268"/>
      <c r="E2653" s="271"/>
      <c r="F2653" s="259">
        <f t="shared" si="142"/>
        <v>0</v>
      </c>
    </row>
    <row r="2654" spans="2:6" x14ac:dyDescent="0.25">
      <c r="B2654" s="272"/>
      <c r="C2654" s="273"/>
      <c r="D2654" s="268"/>
      <c r="E2654" s="271"/>
      <c r="F2654" s="259">
        <f t="shared" si="142"/>
        <v>0</v>
      </c>
    </row>
    <row r="2655" spans="2:6" x14ac:dyDescent="0.25">
      <c r="B2655" s="272"/>
      <c r="C2655" s="273"/>
      <c r="D2655" s="268"/>
      <c r="E2655" s="271"/>
      <c r="F2655" s="259">
        <f t="shared" si="142"/>
        <v>0</v>
      </c>
    </row>
    <row r="2656" spans="2:6" x14ac:dyDescent="0.25">
      <c r="B2656" s="272"/>
      <c r="C2656" s="273"/>
      <c r="D2656" s="268"/>
      <c r="E2656" s="271"/>
      <c r="F2656" s="259">
        <f t="shared" si="142"/>
        <v>0</v>
      </c>
    </row>
    <row r="2657" spans="2:6" ht="15.75" thickBot="1" x14ac:dyDescent="0.3">
      <c r="B2657" s="611" t="s">
        <v>289</v>
      </c>
      <c r="C2657" s="612"/>
      <c r="D2657" s="612"/>
      <c r="E2657" s="613"/>
      <c r="F2657" s="274">
        <f>SUM(F2645:F2656)</f>
        <v>770</v>
      </c>
    </row>
    <row r="2658" spans="2:6" x14ac:dyDescent="0.25">
      <c r="B2658" s="594" t="s">
        <v>290</v>
      </c>
      <c r="C2658" s="595"/>
      <c r="D2658" s="595"/>
      <c r="E2658" s="595"/>
      <c r="F2658" s="596"/>
    </row>
    <row r="2659" spans="2:6" x14ac:dyDescent="0.25">
      <c r="B2659" s="272" t="s">
        <v>958</v>
      </c>
      <c r="C2659" s="273" t="s">
        <v>115</v>
      </c>
      <c r="D2659" s="275">
        <v>0</v>
      </c>
      <c r="E2659" s="276">
        <v>1000</v>
      </c>
      <c r="F2659" s="259">
        <f>D2659*E2659</f>
        <v>0</v>
      </c>
    </row>
    <row r="2660" spans="2:6" x14ac:dyDescent="0.25">
      <c r="B2660" s="277"/>
      <c r="C2660" s="278"/>
      <c r="D2660" s="279"/>
      <c r="E2660" s="280"/>
      <c r="F2660" s="259">
        <f>D2660*E2660</f>
        <v>0</v>
      </c>
    </row>
    <row r="2661" spans="2:6" x14ac:dyDescent="0.25">
      <c r="B2661" s="277"/>
      <c r="C2661" s="278"/>
      <c r="D2661" s="279"/>
      <c r="E2661" s="280"/>
      <c r="F2661" s="259">
        <f>D2661*E2661</f>
        <v>0</v>
      </c>
    </row>
    <row r="2662" spans="2:6" ht="15.75" thickBot="1" x14ac:dyDescent="0.3">
      <c r="B2662" s="611" t="s">
        <v>291</v>
      </c>
      <c r="C2662" s="612"/>
      <c r="D2662" s="612"/>
      <c r="E2662" s="613"/>
      <c r="F2662" s="285">
        <f>SUM(F2659:F2661)</f>
        <v>0</v>
      </c>
    </row>
    <row r="2663" spans="2:6" ht="15.75" thickBot="1" x14ac:dyDescent="0.3">
      <c r="B2663" s="600" t="s">
        <v>282</v>
      </c>
      <c r="C2663" s="601"/>
      <c r="D2663" s="601"/>
      <c r="E2663" s="601"/>
      <c r="F2663" s="286">
        <f>ROUND(F2634+F2640+F2643+F2657+F2662,0)</f>
        <v>8590</v>
      </c>
    </row>
    <row r="2664" spans="2:6" ht="15.75" thickBot="1" x14ac:dyDescent="0.3"/>
    <row r="2665" spans="2:6" ht="15.75" thickBot="1" x14ac:dyDescent="0.3">
      <c r="B2665" s="602" t="s">
        <v>276</v>
      </c>
      <c r="C2665" s="603"/>
      <c r="D2665" s="603"/>
      <c r="E2665" s="603"/>
      <c r="F2665" s="604"/>
    </row>
    <row r="2666" spans="2:6" ht="15.75" thickBot="1" x14ac:dyDescent="0.3">
      <c r="B2666" s="605" t="s">
        <v>104</v>
      </c>
      <c r="C2666" s="606"/>
      <c r="D2666" s="607"/>
      <c r="E2666" s="282" t="s">
        <v>105</v>
      </c>
      <c r="F2666" s="283" t="s">
        <v>103</v>
      </c>
    </row>
    <row r="2667" spans="2:6" ht="45.6" customHeight="1" thickBot="1" x14ac:dyDescent="0.3">
      <c r="B2667" s="608" t="str">
        <f>'PRESUPUESTO CALLE 58 SUR'!B74</f>
        <v>DESCAPOTE A MANO. Incluye el desenraice si es necesario, cargue transporte y botada de material sobrante en botaderos oficiales. Medido en sitio.</v>
      </c>
      <c r="C2667" s="609"/>
      <c r="D2667" s="610"/>
      <c r="E2667" s="449" t="str">
        <f>'PRESUPUESTO CALLE 58 SUR'!C74</f>
        <v>m2</v>
      </c>
      <c r="F2667" s="448">
        <f>'PRESUPUESTO CALLE 58 SUR'!A74</f>
        <v>12.1</v>
      </c>
    </row>
    <row r="2668" spans="2:6" ht="15.75" thickBot="1" x14ac:dyDescent="0.3">
      <c r="B2668" s="250" t="s">
        <v>8</v>
      </c>
      <c r="C2668" s="251" t="s">
        <v>9</v>
      </c>
      <c r="D2668" s="252" t="s">
        <v>10</v>
      </c>
      <c r="E2668" s="253" t="s">
        <v>283</v>
      </c>
      <c r="F2668" s="254" t="s">
        <v>284</v>
      </c>
    </row>
    <row r="2669" spans="2:6" x14ac:dyDescent="0.25">
      <c r="B2669" s="594" t="s">
        <v>285</v>
      </c>
      <c r="C2669" s="595"/>
      <c r="D2669" s="595"/>
      <c r="E2669" s="595"/>
      <c r="F2669" s="596"/>
    </row>
    <row r="2670" spans="2:6" x14ac:dyDescent="0.25">
      <c r="B2670" s="255"/>
      <c r="C2670" s="256"/>
      <c r="D2670" s="257"/>
      <c r="E2670" s="258"/>
      <c r="F2670" s="259">
        <f t="shared" ref="F2670:F2681" si="143">D2670*E2670</f>
        <v>0</v>
      </c>
    </row>
    <row r="2671" spans="2:6" x14ac:dyDescent="0.25">
      <c r="B2671" s="260"/>
      <c r="C2671" s="256"/>
      <c r="D2671" s="257"/>
      <c r="E2671" s="258"/>
      <c r="F2671" s="259">
        <f t="shared" si="143"/>
        <v>0</v>
      </c>
    </row>
    <row r="2672" spans="2:6" x14ac:dyDescent="0.25">
      <c r="B2672" s="261"/>
      <c r="C2672" s="256"/>
      <c r="D2672" s="257"/>
      <c r="E2672" s="258"/>
      <c r="F2672" s="259">
        <f t="shared" si="143"/>
        <v>0</v>
      </c>
    </row>
    <row r="2673" spans="2:6" x14ac:dyDescent="0.25">
      <c r="B2673" s="261"/>
      <c r="C2673" s="256"/>
      <c r="D2673" s="257"/>
      <c r="E2673" s="258"/>
      <c r="F2673" s="259">
        <f t="shared" si="143"/>
        <v>0</v>
      </c>
    </row>
    <row r="2674" spans="2:6" x14ac:dyDescent="0.25">
      <c r="B2674" s="261"/>
      <c r="C2674" s="256"/>
      <c r="D2674" s="257"/>
      <c r="E2674" s="258"/>
      <c r="F2674" s="259">
        <f t="shared" si="143"/>
        <v>0</v>
      </c>
    </row>
    <row r="2675" spans="2:6" x14ac:dyDescent="0.25">
      <c r="B2675" s="261"/>
      <c r="C2675" s="256"/>
      <c r="D2675" s="257"/>
      <c r="E2675" s="258"/>
      <c r="F2675" s="259">
        <f t="shared" si="143"/>
        <v>0</v>
      </c>
    </row>
    <row r="2676" spans="2:6" x14ac:dyDescent="0.25">
      <c r="B2676" s="261"/>
      <c r="C2676" s="256"/>
      <c r="D2676" s="257"/>
      <c r="E2676" s="258"/>
      <c r="F2676" s="259">
        <f t="shared" si="143"/>
        <v>0</v>
      </c>
    </row>
    <row r="2677" spans="2:6" x14ac:dyDescent="0.25">
      <c r="B2677" s="261"/>
      <c r="C2677" s="256"/>
      <c r="D2677" s="257"/>
      <c r="E2677" s="258"/>
      <c r="F2677" s="259">
        <f t="shared" si="143"/>
        <v>0</v>
      </c>
    </row>
    <row r="2678" spans="2:6" x14ac:dyDescent="0.25">
      <c r="B2678" s="261"/>
      <c r="C2678" s="256"/>
      <c r="D2678" s="257"/>
      <c r="E2678" s="258"/>
      <c r="F2678" s="259">
        <f t="shared" si="143"/>
        <v>0</v>
      </c>
    </row>
    <row r="2679" spans="2:6" x14ac:dyDescent="0.25">
      <c r="B2679" s="261"/>
      <c r="C2679" s="256"/>
      <c r="D2679" s="257"/>
      <c r="E2679" s="258"/>
      <c r="F2679" s="259">
        <f t="shared" si="143"/>
        <v>0</v>
      </c>
    </row>
    <row r="2680" spans="2:6" x14ac:dyDescent="0.25">
      <c r="B2680" s="261"/>
      <c r="C2680" s="256"/>
      <c r="D2680" s="257"/>
      <c r="E2680" s="258"/>
      <c r="F2680" s="259">
        <f t="shared" si="143"/>
        <v>0</v>
      </c>
    </row>
    <row r="2681" spans="2:6" x14ac:dyDescent="0.25">
      <c r="B2681" s="262"/>
      <c r="C2681" s="263"/>
      <c r="D2681" s="264"/>
      <c r="E2681" s="265"/>
      <c r="F2681" s="259">
        <f t="shared" si="143"/>
        <v>0</v>
      </c>
    </row>
    <row r="2682" spans="2:6" ht="15.75" thickBot="1" x14ac:dyDescent="0.3">
      <c r="B2682" s="611" t="s">
        <v>286</v>
      </c>
      <c r="C2682" s="612"/>
      <c r="D2682" s="612"/>
      <c r="E2682" s="613"/>
      <c r="F2682" s="284">
        <f>SUM(F2670:F2681)</f>
        <v>0</v>
      </c>
    </row>
    <row r="2683" spans="2:6" x14ac:dyDescent="0.25">
      <c r="B2683" s="594" t="s">
        <v>277</v>
      </c>
      <c r="C2683" s="595"/>
      <c r="D2683" s="595"/>
      <c r="E2683" s="595"/>
      <c r="F2683" s="596"/>
    </row>
    <row r="2684" spans="2:6" x14ac:dyDescent="0.25">
      <c r="B2684" s="266" t="str">
        <f>CUADRILLAS!A80</f>
        <v>1Ay Raso</v>
      </c>
      <c r="C2684" s="267" t="s">
        <v>110</v>
      </c>
      <c r="D2684" s="268">
        <v>0.12264661251597687</v>
      </c>
      <c r="E2684" s="269">
        <f>CUADRILLAS!B80</f>
        <v>70786</v>
      </c>
      <c r="F2684" s="270">
        <f>D2684*E2684</f>
        <v>8681.6631135559383</v>
      </c>
    </row>
    <row r="2685" spans="2:6" x14ac:dyDescent="0.25">
      <c r="B2685" s="266"/>
      <c r="C2685" s="267"/>
      <c r="D2685" s="268"/>
      <c r="E2685" s="269"/>
      <c r="F2685" s="270">
        <f>D2685*E2685</f>
        <v>0</v>
      </c>
    </row>
    <row r="2686" spans="2:6" x14ac:dyDescent="0.25">
      <c r="B2686" s="266"/>
      <c r="C2686" s="267"/>
      <c r="D2686" s="268"/>
      <c r="E2686" s="271"/>
      <c r="F2686" s="270">
        <f>D2686*E2686</f>
        <v>0</v>
      </c>
    </row>
    <row r="2687" spans="2:6" x14ac:dyDescent="0.25">
      <c r="B2687" s="272"/>
      <c r="C2687" s="273"/>
      <c r="D2687" s="268"/>
      <c r="E2687" s="271"/>
      <c r="F2687" s="270">
        <f>D2687*E2687</f>
        <v>0</v>
      </c>
    </row>
    <row r="2688" spans="2:6" ht="15.75" thickBot="1" x14ac:dyDescent="0.3">
      <c r="B2688" s="611" t="s">
        <v>287</v>
      </c>
      <c r="C2688" s="612"/>
      <c r="D2688" s="612"/>
      <c r="E2688" s="613"/>
      <c r="F2688" s="274">
        <f>SUM(F2684:F2687)</f>
        <v>8681.6631135559383</v>
      </c>
    </row>
    <row r="2689" spans="2:6" x14ac:dyDescent="0.25">
      <c r="B2689" s="594" t="s">
        <v>278</v>
      </c>
      <c r="C2689" s="595"/>
      <c r="D2689" s="595"/>
      <c r="E2689" s="595"/>
      <c r="F2689" s="596"/>
    </row>
    <row r="2690" spans="2:6" x14ac:dyDescent="0.25">
      <c r="B2690" s="272" t="s">
        <v>279</v>
      </c>
      <c r="C2690" s="273" t="s">
        <v>280</v>
      </c>
      <c r="D2690" s="268">
        <v>0.05</v>
      </c>
      <c r="E2690" s="271">
        <f>F2688</f>
        <v>8681.6631135559383</v>
      </c>
      <c r="F2690" s="270">
        <f>D2690*E2690</f>
        <v>434.08315567779692</v>
      </c>
    </row>
    <row r="2691" spans="2:6" ht="15.75" thickBot="1" x14ac:dyDescent="0.3">
      <c r="B2691" s="611" t="s">
        <v>288</v>
      </c>
      <c r="C2691" s="612"/>
      <c r="D2691" s="612"/>
      <c r="E2691" s="613"/>
      <c r="F2691" s="274">
        <f>SUM(F2690)</f>
        <v>434.08315567779692</v>
      </c>
    </row>
    <row r="2692" spans="2:6" x14ac:dyDescent="0.25">
      <c r="B2692" s="594" t="s">
        <v>281</v>
      </c>
      <c r="C2692" s="595"/>
      <c r="D2692" s="595"/>
      <c r="E2692" s="595"/>
      <c r="F2692" s="596"/>
    </row>
    <row r="2693" spans="2:6" x14ac:dyDescent="0.25">
      <c r="B2693" s="272"/>
      <c r="C2693" s="273"/>
      <c r="D2693" s="268"/>
      <c r="E2693" s="271"/>
      <c r="F2693" s="259">
        <f t="shared" ref="F2693:F2704" si="144">D2693*E2693</f>
        <v>0</v>
      </c>
    </row>
    <row r="2694" spans="2:6" x14ac:dyDescent="0.25">
      <c r="B2694" s="272"/>
      <c r="C2694" s="273"/>
      <c r="D2694" s="268"/>
      <c r="E2694" s="271"/>
      <c r="F2694" s="259">
        <f t="shared" si="144"/>
        <v>0</v>
      </c>
    </row>
    <row r="2695" spans="2:6" x14ac:dyDescent="0.25">
      <c r="B2695" s="272"/>
      <c r="C2695" s="273"/>
      <c r="D2695" s="268"/>
      <c r="E2695" s="271"/>
      <c r="F2695" s="259">
        <f t="shared" si="144"/>
        <v>0</v>
      </c>
    </row>
    <row r="2696" spans="2:6" x14ac:dyDescent="0.25">
      <c r="B2696" s="272"/>
      <c r="C2696" s="273"/>
      <c r="D2696" s="268"/>
      <c r="E2696" s="271"/>
      <c r="F2696" s="259">
        <f t="shared" si="144"/>
        <v>0</v>
      </c>
    </row>
    <row r="2697" spans="2:6" x14ac:dyDescent="0.25">
      <c r="B2697" s="272"/>
      <c r="C2697" s="273"/>
      <c r="D2697" s="268"/>
      <c r="E2697" s="271"/>
      <c r="F2697" s="259">
        <f t="shared" si="144"/>
        <v>0</v>
      </c>
    </row>
    <row r="2698" spans="2:6" x14ac:dyDescent="0.25">
      <c r="B2698" s="272"/>
      <c r="C2698" s="273"/>
      <c r="D2698" s="268"/>
      <c r="E2698" s="271"/>
      <c r="F2698" s="259">
        <f t="shared" si="144"/>
        <v>0</v>
      </c>
    </row>
    <row r="2699" spans="2:6" x14ac:dyDescent="0.25">
      <c r="B2699" s="272"/>
      <c r="C2699" s="273"/>
      <c r="D2699" s="268"/>
      <c r="E2699" s="271"/>
      <c r="F2699" s="259">
        <f t="shared" si="144"/>
        <v>0</v>
      </c>
    </row>
    <row r="2700" spans="2:6" x14ac:dyDescent="0.25">
      <c r="B2700" s="272"/>
      <c r="C2700" s="273"/>
      <c r="D2700" s="268"/>
      <c r="E2700" s="271"/>
      <c r="F2700" s="259">
        <f t="shared" si="144"/>
        <v>0</v>
      </c>
    </row>
    <row r="2701" spans="2:6" x14ac:dyDescent="0.25">
      <c r="B2701" s="272"/>
      <c r="C2701" s="273"/>
      <c r="D2701" s="268"/>
      <c r="E2701" s="271"/>
      <c r="F2701" s="259">
        <f t="shared" si="144"/>
        <v>0</v>
      </c>
    </row>
    <row r="2702" spans="2:6" x14ac:dyDescent="0.25">
      <c r="B2702" s="272"/>
      <c r="C2702" s="273"/>
      <c r="D2702" s="268"/>
      <c r="E2702" s="271"/>
      <c r="F2702" s="259">
        <f t="shared" si="144"/>
        <v>0</v>
      </c>
    </row>
    <row r="2703" spans="2:6" x14ac:dyDescent="0.25">
      <c r="B2703" s="272"/>
      <c r="C2703" s="273"/>
      <c r="D2703" s="268"/>
      <c r="E2703" s="271"/>
      <c r="F2703" s="259">
        <f t="shared" si="144"/>
        <v>0</v>
      </c>
    </row>
    <row r="2704" spans="2:6" x14ac:dyDescent="0.25">
      <c r="B2704" s="272"/>
      <c r="C2704" s="273"/>
      <c r="D2704" s="268"/>
      <c r="E2704" s="271"/>
      <c r="F2704" s="259">
        <f t="shared" si="144"/>
        <v>0</v>
      </c>
    </row>
    <row r="2705" spans="2:6" ht="15.75" thickBot="1" x14ac:dyDescent="0.3">
      <c r="B2705" s="611" t="s">
        <v>289</v>
      </c>
      <c r="C2705" s="612"/>
      <c r="D2705" s="612"/>
      <c r="E2705" s="613"/>
      <c r="F2705" s="274">
        <f>SUM(F2693:F2704)</f>
        <v>0</v>
      </c>
    </row>
    <row r="2706" spans="2:6" x14ac:dyDescent="0.25">
      <c r="B2706" s="594" t="s">
        <v>290</v>
      </c>
      <c r="C2706" s="595"/>
      <c r="D2706" s="595"/>
      <c r="E2706" s="595"/>
      <c r="F2706" s="596"/>
    </row>
    <row r="2707" spans="2:6" x14ac:dyDescent="0.25">
      <c r="B2707" s="272" t="s">
        <v>879</v>
      </c>
      <c r="C2707" s="273" t="s">
        <v>117</v>
      </c>
      <c r="D2707" s="275"/>
      <c r="E2707" s="276"/>
      <c r="F2707" s="259">
        <f>D2707*E2707</f>
        <v>0</v>
      </c>
    </row>
    <row r="2708" spans="2:6" x14ac:dyDescent="0.25">
      <c r="B2708" s="277"/>
      <c r="C2708" s="278"/>
      <c r="D2708" s="279"/>
      <c r="E2708" s="280"/>
      <c r="F2708" s="259">
        <f>D2708*E2708</f>
        <v>0</v>
      </c>
    </row>
    <row r="2709" spans="2:6" x14ac:dyDescent="0.25">
      <c r="B2709" s="277"/>
      <c r="C2709" s="278"/>
      <c r="D2709" s="279"/>
      <c r="E2709" s="280"/>
      <c r="F2709" s="259">
        <f>D2709*E2709</f>
        <v>0</v>
      </c>
    </row>
    <row r="2710" spans="2:6" ht="15.75" thickBot="1" x14ac:dyDescent="0.3">
      <c r="B2710" s="611" t="s">
        <v>291</v>
      </c>
      <c r="C2710" s="612"/>
      <c r="D2710" s="612"/>
      <c r="E2710" s="613"/>
      <c r="F2710" s="285">
        <f>SUM(F2707:F2709)</f>
        <v>0</v>
      </c>
    </row>
    <row r="2711" spans="2:6" ht="15.75" thickBot="1" x14ac:dyDescent="0.3">
      <c r="B2711" s="600" t="s">
        <v>282</v>
      </c>
      <c r="C2711" s="601"/>
      <c r="D2711" s="601"/>
      <c r="E2711" s="601"/>
      <c r="F2711" s="286">
        <f>ROUND(F2682+F2688+F2691+F2705+F2710,0)</f>
        <v>9116</v>
      </c>
    </row>
    <row r="2712" spans="2:6" ht="15.75" thickBot="1" x14ac:dyDescent="0.3"/>
    <row r="2713" spans="2:6" ht="15.75" thickBot="1" x14ac:dyDescent="0.3">
      <c r="B2713" s="602" t="s">
        <v>276</v>
      </c>
      <c r="C2713" s="603"/>
      <c r="D2713" s="603"/>
      <c r="E2713" s="603"/>
      <c r="F2713" s="604"/>
    </row>
    <row r="2714" spans="2:6" ht="15.75" thickBot="1" x14ac:dyDescent="0.3">
      <c r="B2714" s="605" t="s">
        <v>104</v>
      </c>
      <c r="C2714" s="606"/>
      <c r="D2714" s="607"/>
      <c r="E2714" s="282" t="s">
        <v>105</v>
      </c>
      <c r="F2714" s="283" t="s">
        <v>103</v>
      </c>
    </row>
    <row r="2715" spans="2:6" ht="48.6" customHeight="1" thickBot="1" x14ac:dyDescent="0.3">
      <c r="B2715" s="608" t="str">
        <f>'PRESUPUESTO CALLE 58 SUR'!B75</f>
        <v>Extracción de tocon y raices de arbol, cargue, transporte y botada de materiales sobrantes en botaderos oficiales o donde lo indique la interventoría.</v>
      </c>
      <c r="C2715" s="609"/>
      <c r="D2715" s="610"/>
      <c r="E2715" s="449" t="str">
        <f>'PRESUPUESTO CALLE 58 SUR'!C75</f>
        <v>un</v>
      </c>
      <c r="F2715" s="448">
        <f>'PRESUPUESTO CALLE 58 SUR'!A75</f>
        <v>12.2</v>
      </c>
    </row>
    <row r="2716" spans="2:6" ht="15.75" thickBot="1" x14ac:dyDescent="0.3">
      <c r="B2716" s="250" t="s">
        <v>8</v>
      </c>
      <c r="C2716" s="251" t="s">
        <v>9</v>
      </c>
      <c r="D2716" s="252" t="s">
        <v>10</v>
      </c>
      <c r="E2716" s="253" t="s">
        <v>283</v>
      </c>
      <c r="F2716" s="254" t="s">
        <v>284</v>
      </c>
    </row>
    <row r="2717" spans="2:6" x14ac:dyDescent="0.25">
      <c r="B2717" s="594" t="s">
        <v>285</v>
      </c>
      <c r="C2717" s="595"/>
      <c r="D2717" s="595"/>
      <c r="E2717" s="595"/>
      <c r="F2717" s="596"/>
    </row>
    <row r="2718" spans="2:6" x14ac:dyDescent="0.25">
      <c r="B2718" s="255"/>
      <c r="C2718" s="256"/>
      <c r="D2718" s="257"/>
      <c r="E2718" s="258"/>
      <c r="F2718" s="259">
        <f t="shared" ref="F2718:F2729" si="145">D2718*E2718</f>
        <v>0</v>
      </c>
    </row>
    <row r="2719" spans="2:6" x14ac:dyDescent="0.25">
      <c r="B2719" s="260"/>
      <c r="C2719" s="256"/>
      <c r="D2719" s="257"/>
      <c r="E2719" s="258"/>
      <c r="F2719" s="259">
        <f t="shared" si="145"/>
        <v>0</v>
      </c>
    </row>
    <row r="2720" spans="2:6" x14ac:dyDescent="0.25">
      <c r="B2720" s="261"/>
      <c r="C2720" s="256"/>
      <c r="D2720" s="257"/>
      <c r="E2720" s="258"/>
      <c r="F2720" s="259">
        <f t="shared" si="145"/>
        <v>0</v>
      </c>
    </row>
    <row r="2721" spans="2:6" x14ac:dyDescent="0.25">
      <c r="B2721" s="261"/>
      <c r="C2721" s="256"/>
      <c r="D2721" s="257"/>
      <c r="E2721" s="258"/>
      <c r="F2721" s="259">
        <f t="shared" si="145"/>
        <v>0</v>
      </c>
    </row>
    <row r="2722" spans="2:6" x14ac:dyDescent="0.25">
      <c r="B2722" s="261"/>
      <c r="C2722" s="256"/>
      <c r="D2722" s="257"/>
      <c r="E2722" s="258"/>
      <c r="F2722" s="259">
        <f t="shared" si="145"/>
        <v>0</v>
      </c>
    </row>
    <row r="2723" spans="2:6" x14ac:dyDescent="0.25">
      <c r="B2723" s="261"/>
      <c r="C2723" s="256"/>
      <c r="D2723" s="257"/>
      <c r="E2723" s="258"/>
      <c r="F2723" s="259">
        <f t="shared" si="145"/>
        <v>0</v>
      </c>
    </row>
    <row r="2724" spans="2:6" x14ac:dyDescent="0.25">
      <c r="B2724" s="261"/>
      <c r="C2724" s="256"/>
      <c r="D2724" s="257"/>
      <c r="E2724" s="258"/>
      <c r="F2724" s="259">
        <f t="shared" si="145"/>
        <v>0</v>
      </c>
    </row>
    <row r="2725" spans="2:6" x14ac:dyDescent="0.25">
      <c r="B2725" s="261"/>
      <c r="C2725" s="256"/>
      <c r="D2725" s="257"/>
      <c r="E2725" s="258"/>
      <c r="F2725" s="259">
        <f t="shared" si="145"/>
        <v>0</v>
      </c>
    </row>
    <row r="2726" spans="2:6" x14ac:dyDescent="0.25">
      <c r="B2726" s="261"/>
      <c r="C2726" s="256"/>
      <c r="D2726" s="257"/>
      <c r="E2726" s="258"/>
      <c r="F2726" s="259">
        <f t="shared" si="145"/>
        <v>0</v>
      </c>
    </row>
    <row r="2727" spans="2:6" x14ac:dyDescent="0.25">
      <c r="B2727" s="261"/>
      <c r="C2727" s="256"/>
      <c r="D2727" s="257"/>
      <c r="E2727" s="258"/>
      <c r="F2727" s="259">
        <f t="shared" si="145"/>
        <v>0</v>
      </c>
    </row>
    <row r="2728" spans="2:6" x14ac:dyDescent="0.25">
      <c r="B2728" s="261"/>
      <c r="C2728" s="256"/>
      <c r="D2728" s="257"/>
      <c r="E2728" s="258"/>
      <c r="F2728" s="259">
        <f t="shared" si="145"/>
        <v>0</v>
      </c>
    </row>
    <row r="2729" spans="2:6" x14ac:dyDescent="0.25">
      <c r="B2729" s="262"/>
      <c r="C2729" s="263"/>
      <c r="D2729" s="264"/>
      <c r="E2729" s="265"/>
      <c r="F2729" s="259">
        <f t="shared" si="145"/>
        <v>0</v>
      </c>
    </row>
    <row r="2730" spans="2:6" ht="15.75" thickBot="1" x14ac:dyDescent="0.3">
      <c r="B2730" s="611" t="s">
        <v>286</v>
      </c>
      <c r="C2730" s="612"/>
      <c r="D2730" s="612"/>
      <c r="E2730" s="613"/>
      <c r="F2730" s="284">
        <f>SUM(F2718:F2729)</f>
        <v>0</v>
      </c>
    </row>
    <row r="2731" spans="2:6" x14ac:dyDescent="0.25">
      <c r="B2731" s="594" t="s">
        <v>277</v>
      </c>
      <c r="C2731" s="595"/>
      <c r="D2731" s="595"/>
      <c r="E2731" s="595"/>
      <c r="F2731" s="596"/>
    </row>
    <row r="2732" spans="2:6" x14ac:dyDescent="0.25">
      <c r="B2732" s="536" t="str">
        <f>CUADRILLAS!A79</f>
        <v>Cuad. 1of + 1ay</v>
      </c>
      <c r="C2732" s="537" t="s">
        <v>110</v>
      </c>
      <c r="D2732" s="528">
        <v>0.5</v>
      </c>
      <c r="E2732" s="538">
        <f>CUADRILLAS!B79</f>
        <v>207851</v>
      </c>
      <c r="F2732" s="539">
        <f>D2732*E2732</f>
        <v>103925.5</v>
      </c>
    </row>
    <row r="2733" spans="2:6" x14ac:dyDescent="0.25">
      <c r="B2733" s="266"/>
      <c r="C2733" s="267"/>
      <c r="D2733" s="268"/>
      <c r="E2733" s="269"/>
      <c r="F2733" s="270">
        <f>D2733*E2733</f>
        <v>0</v>
      </c>
    </row>
    <row r="2734" spans="2:6" x14ac:dyDescent="0.25">
      <c r="B2734" s="266"/>
      <c r="C2734" s="267"/>
      <c r="D2734" s="268"/>
      <c r="E2734" s="271"/>
      <c r="F2734" s="270">
        <f>D2734*E2734</f>
        <v>0</v>
      </c>
    </row>
    <row r="2735" spans="2:6" x14ac:dyDescent="0.25">
      <c r="B2735" s="272"/>
      <c r="C2735" s="273"/>
      <c r="D2735" s="268"/>
      <c r="E2735" s="271"/>
      <c r="F2735" s="270">
        <f>D2735*E2735</f>
        <v>0</v>
      </c>
    </row>
    <row r="2736" spans="2:6" ht="15.75" thickBot="1" x14ac:dyDescent="0.3">
      <c r="B2736" s="611" t="s">
        <v>287</v>
      </c>
      <c r="C2736" s="612"/>
      <c r="D2736" s="612"/>
      <c r="E2736" s="613"/>
      <c r="F2736" s="274">
        <f>SUM(F2732:F2735)</f>
        <v>103925.5</v>
      </c>
    </row>
    <row r="2737" spans="2:6" x14ac:dyDescent="0.25">
      <c r="B2737" s="594" t="s">
        <v>278</v>
      </c>
      <c r="C2737" s="595"/>
      <c r="D2737" s="595"/>
      <c r="E2737" s="595"/>
      <c r="F2737" s="596"/>
    </row>
    <row r="2738" spans="2:6" x14ac:dyDescent="0.25">
      <c r="B2738" s="272" t="s">
        <v>279</v>
      </c>
      <c r="C2738" s="273" t="s">
        <v>280</v>
      </c>
      <c r="D2738" s="268">
        <v>0.05</v>
      </c>
      <c r="E2738" s="271">
        <f>F2736</f>
        <v>103925.5</v>
      </c>
      <c r="F2738" s="270">
        <f>D2738*E2738</f>
        <v>5196.2750000000005</v>
      </c>
    </row>
    <row r="2739" spans="2:6" ht="15.75" thickBot="1" x14ac:dyDescent="0.3">
      <c r="B2739" s="611" t="s">
        <v>288</v>
      </c>
      <c r="C2739" s="612"/>
      <c r="D2739" s="612"/>
      <c r="E2739" s="613"/>
      <c r="F2739" s="274">
        <f>SUM(F2738)</f>
        <v>5196.2750000000005</v>
      </c>
    </row>
    <row r="2740" spans="2:6" x14ac:dyDescent="0.25">
      <c r="B2740" s="594" t="s">
        <v>281</v>
      </c>
      <c r="C2740" s="595"/>
      <c r="D2740" s="595"/>
      <c r="E2740" s="595"/>
      <c r="F2740" s="596"/>
    </row>
    <row r="2741" spans="2:6" x14ac:dyDescent="0.25">
      <c r="B2741" s="272" t="str">
        <f>INSUMOS!B284</f>
        <v>Retroexcavadora sobre llantas New Holland LB75</v>
      </c>
      <c r="C2741" s="273" t="s">
        <v>599</v>
      </c>
      <c r="D2741" s="268">
        <v>0.5</v>
      </c>
      <c r="E2741" s="271">
        <f>INSUMOS!D284</f>
        <v>95000</v>
      </c>
      <c r="F2741" s="259">
        <f t="shared" ref="F2741:F2752" si="146">D2741*E2741</f>
        <v>47500</v>
      </c>
    </row>
    <row r="2742" spans="2:6" x14ac:dyDescent="0.25">
      <c r="B2742" s="272"/>
      <c r="C2742" s="273"/>
      <c r="D2742" s="268"/>
      <c r="E2742" s="271"/>
      <c r="F2742" s="259">
        <f t="shared" si="146"/>
        <v>0</v>
      </c>
    </row>
    <row r="2743" spans="2:6" x14ac:dyDescent="0.25">
      <c r="B2743" s="272"/>
      <c r="C2743" s="273"/>
      <c r="D2743" s="268"/>
      <c r="E2743" s="271"/>
      <c r="F2743" s="259">
        <f t="shared" si="146"/>
        <v>0</v>
      </c>
    </row>
    <row r="2744" spans="2:6" x14ac:dyDescent="0.25">
      <c r="B2744" s="272"/>
      <c r="C2744" s="273"/>
      <c r="D2744" s="268"/>
      <c r="E2744" s="271"/>
      <c r="F2744" s="259">
        <f t="shared" si="146"/>
        <v>0</v>
      </c>
    </row>
    <row r="2745" spans="2:6" x14ac:dyDescent="0.25">
      <c r="B2745" s="272"/>
      <c r="C2745" s="273"/>
      <c r="D2745" s="268"/>
      <c r="E2745" s="271"/>
      <c r="F2745" s="259">
        <f t="shared" si="146"/>
        <v>0</v>
      </c>
    </row>
    <row r="2746" spans="2:6" x14ac:dyDescent="0.25">
      <c r="B2746" s="272"/>
      <c r="C2746" s="273"/>
      <c r="D2746" s="268"/>
      <c r="E2746" s="271"/>
      <c r="F2746" s="259">
        <f t="shared" si="146"/>
        <v>0</v>
      </c>
    </row>
    <row r="2747" spans="2:6" x14ac:dyDescent="0.25">
      <c r="B2747" s="272"/>
      <c r="C2747" s="273"/>
      <c r="D2747" s="268"/>
      <c r="E2747" s="271"/>
      <c r="F2747" s="259">
        <f t="shared" si="146"/>
        <v>0</v>
      </c>
    </row>
    <row r="2748" spans="2:6" x14ac:dyDescent="0.25">
      <c r="B2748" s="272"/>
      <c r="C2748" s="273"/>
      <c r="D2748" s="268"/>
      <c r="E2748" s="271"/>
      <c r="F2748" s="259">
        <f t="shared" si="146"/>
        <v>0</v>
      </c>
    </row>
    <row r="2749" spans="2:6" x14ac:dyDescent="0.25">
      <c r="B2749" s="272"/>
      <c r="C2749" s="273"/>
      <c r="D2749" s="268"/>
      <c r="E2749" s="271"/>
      <c r="F2749" s="259">
        <f t="shared" si="146"/>
        <v>0</v>
      </c>
    </row>
    <row r="2750" spans="2:6" x14ac:dyDescent="0.25">
      <c r="B2750" s="272"/>
      <c r="C2750" s="273"/>
      <c r="D2750" s="268"/>
      <c r="E2750" s="271"/>
      <c r="F2750" s="259">
        <f t="shared" si="146"/>
        <v>0</v>
      </c>
    </row>
    <row r="2751" spans="2:6" x14ac:dyDescent="0.25">
      <c r="B2751" s="272"/>
      <c r="C2751" s="273"/>
      <c r="D2751" s="268"/>
      <c r="E2751" s="271"/>
      <c r="F2751" s="259">
        <f t="shared" si="146"/>
        <v>0</v>
      </c>
    </row>
    <row r="2752" spans="2:6" x14ac:dyDescent="0.25">
      <c r="B2752" s="272"/>
      <c r="C2752" s="273"/>
      <c r="D2752" s="268"/>
      <c r="E2752" s="271"/>
      <c r="F2752" s="259">
        <f t="shared" si="146"/>
        <v>0</v>
      </c>
    </row>
    <row r="2753" spans="2:6" ht="15.75" thickBot="1" x14ac:dyDescent="0.3">
      <c r="B2753" s="611" t="s">
        <v>289</v>
      </c>
      <c r="C2753" s="612"/>
      <c r="D2753" s="612"/>
      <c r="E2753" s="613"/>
      <c r="F2753" s="274">
        <f>SUM(F2741:F2752)</f>
        <v>47500</v>
      </c>
    </row>
    <row r="2754" spans="2:6" x14ac:dyDescent="0.25">
      <c r="B2754" s="594" t="s">
        <v>290</v>
      </c>
      <c r="C2754" s="595"/>
      <c r="D2754" s="595"/>
      <c r="E2754" s="595"/>
      <c r="F2754" s="596"/>
    </row>
    <row r="2755" spans="2:6" x14ac:dyDescent="0.25">
      <c r="B2755" s="272" t="s">
        <v>879</v>
      </c>
      <c r="C2755" s="273" t="s">
        <v>117</v>
      </c>
      <c r="D2755" s="275">
        <v>1</v>
      </c>
      <c r="E2755" s="276">
        <v>15000</v>
      </c>
      <c r="F2755" s="259">
        <f>D2755*E2755</f>
        <v>15000</v>
      </c>
    </row>
    <row r="2756" spans="2:6" x14ac:dyDescent="0.25">
      <c r="B2756" s="277" t="str">
        <f>CUADRILLAS!A103</f>
        <v>Cargue Manual-Transporte-Botada</v>
      </c>
      <c r="C2756" s="278" t="s">
        <v>117</v>
      </c>
      <c r="D2756" s="279">
        <v>1</v>
      </c>
      <c r="E2756" s="533">
        <f>CUADRILLAS!B103</f>
        <v>58198</v>
      </c>
      <c r="F2756" s="259">
        <f>D2756*E2756</f>
        <v>58198</v>
      </c>
    </row>
    <row r="2757" spans="2:6" x14ac:dyDescent="0.25">
      <c r="B2757" s="277"/>
      <c r="C2757" s="278"/>
      <c r="D2757" s="279"/>
      <c r="E2757" s="280"/>
      <c r="F2757" s="259">
        <f>D2757*E2757</f>
        <v>0</v>
      </c>
    </row>
    <row r="2758" spans="2:6" ht="15.75" thickBot="1" x14ac:dyDescent="0.3">
      <c r="B2758" s="611" t="s">
        <v>291</v>
      </c>
      <c r="C2758" s="612"/>
      <c r="D2758" s="612"/>
      <c r="E2758" s="613"/>
      <c r="F2758" s="285">
        <f>SUM(F2755:F2757)</f>
        <v>73198</v>
      </c>
    </row>
    <row r="2759" spans="2:6" ht="15.75" thickBot="1" x14ac:dyDescent="0.3">
      <c r="B2759" s="600" t="s">
        <v>282</v>
      </c>
      <c r="C2759" s="601"/>
      <c r="D2759" s="601"/>
      <c r="E2759" s="601"/>
      <c r="F2759" s="286">
        <f>ROUND(F2730+F2736+F2739+F2753+F2758,0)</f>
        <v>229820</v>
      </c>
    </row>
    <row r="2760" spans="2:6" ht="15.75" thickBot="1" x14ac:dyDescent="0.3"/>
    <row r="2761" spans="2:6" ht="15.75" thickBot="1" x14ac:dyDescent="0.3">
      <c r="B2761" s="602" t="s">
        <v>276</v>
      </c>
      <c r="C2761" s="603"/>
      <c r="D2761" s="603"/>
      <c r="E2761" s="603"/>
      <c r="F2761" s="604"/>
    </row>
    <row r="2762" spans="2:6" ht="15.75" thickBot="1" x14ac:dyDescent="0.3">
      <c r="B2762" s="605" t="s">
        <v>104</v>
      </c>
      <c r="C2762" s="606"/>
      <c r="D2762" s="607"/>
      <c r="E2762" s="282" t="s">
        <v>105</v>
      </c>
      <c r="F2762" s="283" t="s">
        <v>103</v>
      </c>
    </row>
    <row r="2763" spans="2:6" ht="50.45" customHeight="1" thickBot="1" x14ac:dyDescent="0.3">
      <c r="B2763" s="608" t="str">
        <f>'PRESUPUESTO CALLE 58 SUR'!B76</f>
        <v>Llenos con material proveniente de la excavación debidamente compactados en zona de laderas en la quebrada y/o su afluente, incluye conformación, acarrero y Sobre-Acarreo interno de materiales para lugares de dificil acceso, en altura. pendiente, escalas y/o senderos en piedra o en tierra. Entre 0 a 100 m.</v>
      </c>
      <c r="C2763" s="609"/>
      <c r="D2763" s="610"/>
      <c r="E2763" s="449" t="str">
        <f>'PRESUPUESTO CALLE 58 SUR'!C76</f>
        <v>m3</v>
      </c>
      <c r="F2763" s="448">
        <f>'PRESUPUESTO CALLE 58 SUR'!A76</f>
        <v>12.3</v>
      </c>
    </row>
    <row r="2764" spans="2:6" ht="15.75" thickBot="1" x14ac:dyDescent="0.3">
      <c r="B2764" s="250" t="s">
        <v>8</v>
      </c>
      <c r="C2764" s="251" t="s">
        <v>9</v>
      </c>
      <c r="D2764" s="252" t="s">
        <v>10</v>
      </c>
      <c r="E2764" s="253" t="s">
        <v>283</v>
      </c>
      <c r="F2764" s="254" t="s">
        <v>284</v>
      </c>
    </row>
    <row r="2765" spans="2:6" x14ac:dyDescent="0.25">
      <c r="B2765" s="594" t="s">
        <v>285</v>
      </c>
      <c r="C2765" s="595"/>
      <c r="D2765" s="595"/>
      <c r="E2765" s="595"/>
      <c r="F2765" s="596"/>
    </row>
    <row r="2766" spans="2:6" x14ac:dyDescent="0.25">
      <c r="B2766" s="255"/>
      <c r="C2766" s="256"/>
      <c r="D2766" s="257"/>
      <c r="E2766" s="258"/>
      <c r="F2766" s="259">
        <f t="shared" ref="F2766:F2777" si="147">D2766*E2766</f>
        <v>0</v>
      </c>
    </row>
    <row r="2767" spans="2:6" x14ac:dyDescent="0.25">
      <c r="B2767" s="260"/>
      <c r="C2767" s="256"/>
      <c r="D2767" s="257"/>
      <c r="E2767" s="258"/>
      <c r="F2767" s="259">
        <f t="shared" si="147"/>
        <v>0</v>
      </c>
    </row>
    <row r="2768" spans="2:6" x14ac:dyDescent="0.25">
      <c r="B2768" s="261"/>
      <c r="C2768" s="256"/>
      <c r="D2768" s="257"/>
      <c r="E2768" s="258"/>
      <c r="F2768" s="259">
        <f t="shared" si="147"/>
        <v>0</v>
      </c>
    </row>
    <row r="2769" spans="2:6" x14ac:dyDescent="0.25">
      <c r="B2769" s="261"/>
      <c r="C2769" s="256"/>
      <c r="D2769" s="257"/>
      <c r="E2769" s="258"/>
      <c r="F2769" s="259">
        <f t="shared" si="147"/>
        <v>0</v>
      </c>
    </row>
    <row r="2770" spans="2:6" x14ac:dyDescent="0.25">
      <c r="B2770" s="261"/>
      <c r="C2770" s="256"/>
      <c r="D2770" s="257"/>
      <c r="E2770" s="258"/>
      <c r="F2770" s="259">
        <f t="shared" si="147"/>
        <v>0</v>
      </c>
    </row>
    <row r="2771" spans="2:6" x14ac:dyDescent="0.25">
      <c r="B2771" s="261"/>
      <c r="C2771" s="256"/>
      <c r="D2771" s="257"/>
      <c r="E2771" s="258"/>
      <c r="F2771" s="259">
        <f t="shared" si="147"/>
        <v>0</v>
      </c>
    </row>
    <row r="2772" spans="2:6" x14ac:dyDescent="0.25">
      <c r="B2772" s="261"/>
      <c r="C2772" s="256"/>
      <c r="D2772" s="257"/>
      <c r="E2772" s="258"/>
      <c r="F2772" s="259">
        <f t="shared" si="147"/>
        <v>0</v>
      </c>
    </row>
    <row r="2773" spans="2:6" x14ac:dyDescent="0.25">
      <c r="B2773" s="261"/>
      <c r="C2773" s="256"/>
      <c r="D2773" s="257"/>
      <c r="E2773" s="258"/>
      <c r="F2773" s="259">
        <f t="shared" si="147"/>
        <v>0</v>
      </c>
    </row>
    <row r="2774" spans="2:6" x14ac:dyDescent="0.25">
      <c r="B2774" s="261"/>
      <c r="C2774" s="256"/>
      <c r="D2774" s="257"/>
      <c r="E2774" s="258"/>
      <c r="F2774" s="259">
        <f t="shared" si="147"/>
        <v>0</v>
      </c>
    </row>
    <row r="2775" spans="2:6" x14ac:dyDescent="0.25">
      <c r="B2775" s="261"/>
      <c r="C2775" s="256"/>
      <c r="D2775" s="257"/>
      <c r="E2775" s="258"/>
      <c r="F2775" s="259">
        <f t="shared" si="147"/>
        <v>0</v>
      </c>
    </row>
    <row r="2776" spans="2:6" x14ac:dyDescent="0.25">
      <c r="B2776" s="261"/>
      <c r="C2776" s="256"/>
      <c r="D2776" s="257"/>
      <c r="E2776" s="258"/>
      <c r="F2776" s="259">
        <f t="shared" si="147"/>
        <v>0</v>
      </c>
    </row>
    <row r="2777" spans="2:6" x14ac:dyDescent="0.25">
      <c r="B2777" s="262"/>
      <c r="C2777" s="263"/>
      <c r="D2777" s="264"/>
      <c r="E2777" s="265"/>
      <c r="F2777" s="259">
        <f t="shared" si="147"/>
        <v>0</v>
      </c>
    </row>
    <row r="2778" spans="2:6" ht="15.75" thickBot="1" x14ac:dyDescent="0.3">
      <c r="B2778" s="611" t="s">
        <v>286</v>
      </c>
      <c r="C2778" s="612"/>
      <c r="D2778" s="612"/>
      <c r="E2778" s="613"/>
      <c r="F2778" s="284">
        <f>SUM(F2766:F2777)</f>
        <v>0</v>
      </c>
    </row>
    <row r="2779" spans="2:6" x14ac:dyDescent="0.25">
      <c r="B2779" s="594" t="s">
        <v>277</v>
      </c>
      <c r="C2779" s="595"/>
      <c r="D2779" s="595"/>
      <c r="E2779" s="595"/>
      <c r="F2779" s="596"/>
    </row>
    <row r="2780" spans="2:6" x14ac:dyDescent="0.25">
      <c r="B2780" s="266" t="str">
        <f>CUADRILLAS!A83</f>
        <v>Cuadrilla Sobreacarreo, - 2Ayu.</v>
      </c>
      <c r="C2780" s="267" t="s">
        <v>110</v>
      </c>
      <c r="D2780" s="268">
        <v>0.2</v>
      </c>
      <c r="E2780" s="269">
        <f>CUADRILLAS!B83</f>
        <v>141572</v>
      </c>
      <c r="F2780" s="270">
        <f>D2780*E2780</f>
        <v>28314.400000000001</v>
      </c>
    </row>
    <row r="2781" spans="2:6" x14ac:dyDescent="0.25">
      <c r="B2781" s="266" t="str">
        <f>CUADRILLAS!A91</f>
        <v>Cuadrilla Exc y Llenos. (1ayE + 2ay)</v>
      </c>
      <c r="C2781" s="267" t="s">
        <v>110</v>
      </c>
      <c r="D2781" s="268">
        <v>0.08</v>
      </c>
      <c r="E2781" s="269">
        <f>CUADRILLAS!B91</f>
        <v>215672</v>
      </c>
      <c r="F2781" s="270">
        <f>D2781*E2781</f>
        <v>17253.760000000002</v>
      </c>
    </row>
    <row r="2782" spans="2:6" x14ac:dyDescent="0.25">
      <c r="B2782" s="266"/>
      <c r="C2782" s="267"/>
      <c r="D2782" s="268"/>
      <c r="E2782" s="271"/>
      <c r="F2782" s="270">
        <f>D2782*E2782</f>
        <v>0</v>
      </c>
    </row>
    <row r="2783" spans="2:6" x14ac:dyDescent="0.25">
      <c r="B2783" s="272"/>
      <c r="C2783" s="273"/>
      <c r="D2783" s="268"/>
      <c r="E2783" s="271"/>
      <c r="F2783" s="270">
        <f>D2783*E2783</f>
        <v>0</v>
      </c>
    </row>
    <row r="2784" spans="2:6" ht="15.75" thickBot="1" x14ac:dyDescent="0.3">
      <c r="B2784" s="611" t="s">
        <v>287</v>
      </c>
      <c r="C2784" s="612"/>
      <c r="D2784" s="612"/>
      <c r="E2784" s="613"/>
      <c r="F2784" s="274">
        <f>SUM(F2780:F2783)</f>
        <v>45568.160000000003</v>
      </c>
    </row>
    <row r="2785" spans="2:6" x14ac:dyDescent="0.25">
      <c r="B2785" s="594" t="s">
        <v>278</v>
      </c>
      <c r="C2785" s="595"/>
      <c r="D2785" s="595"/>
      <c r="E2785" s="595"/>
      <c r="F2785" s="596"/>
    </row>
    <row r="2786" spans="2:6" x14ac:dyDescent="0.25">
      <c r="B2786" s="272" t="s">
        <v>279</v>
      </c>
      <c r="C2786" s="273" t="s">
        <v>280</v>
      </c>
      <c r="D2786" s="268">
        <v>0.05</v>
      </c>
      <c r="E2786" s="271">
        <f>F2784</f>
        <v>45568.160000000003</v>
      </c>
      <c r="F2786" s="270">
        <f>D2786*E2786</f>
        <v>2278.4080000000004</v>
      </c>
    </row>
    <row r="2787" spans="2:6" ht="15.75" thickBot="1" x14ac:dyDescent="0.3">
      <c r="B2787" s="611" t="s">
        <v>288</v>
      </c>
      <c r="C2787" s="612"/>
      <c r="D2787" s="612"/>
      <c r="E2787" s="613"/>
      <c r="F2787" s="274">
        <f>SUM(F2786)</f>
        <v>2278.4080000000004</v>
      </c>
    </row>
    <row r="2788" spans="2:6" x14ac:dyDescent="0.25">
      <c r="B2788" s="594" t="s">
        <v>281</v>
      </c>
      <c r="C2788" s="595"/>
      <c r="D2788" s="595"/>
      <c r="E2788" s="595"/>
      <c r="F2788" s="596"/>
    </row>
    <row r="2789" spans="2:6" x14ac:dyDescent="0.25">
      <c r="B2789" s="272" t="str">
        <f>INSUMOS!B290</f>
        <v>Compactador tipo Canguro. Incluye - transporte.</v>
      </c>
      <c r="C2789" s="273" t="s">
        <v>110</v>
      </c>
      <c r="D2789" s="268">
        <v>0.1</v>
      </c>
      <c r="E2789" s="271">
        <f>INSUMOS!D290</f>
        <v>66640</v>
      </c>
      <c r="F2789" s="259">
        <f t="shared" ref="F2789:F2800" si="148">D2789*E2789</f>
        <v>6664</v>
      </c>
    </row>
    <row r="2790" spans="2:6" x14ac:dyDescent="0.25">
      <c r="B2790" s="272"/>
      <c r="C2790" s="273"/>
      <c r="D2790" s="268"/>
      <c r="E2790" s="271"/>
      <c r="F2790" s="259">
        <f t="shared" si="148"/>
        <v>0</v>
      </c>
    </row>
    <row r="2791" spans="2:6" x14ac:dyDescent="0.25">
      <c r="B2791" s="272"/>
      <c r="C2791" s="273"/>
      <c r="D2791" s="268"/>
      <c r="E2791" s="271"/>
      <c r="F2791" s="259">
        <f t="shared" si="148"/>
        <v>0</v>
      </c>
    </row>
    <row r="2792" spans="2:6" x14ac:dyDescent="0.25">
      <c r="B2792" s="272"/>
      <c r="C2792" s="273"/>
      <c r="D2792" s="268"/>
      <c r="E2792" s="271"/>
      <c r="F2792" s="259">
        <f t="shared" si="148"/>
        <v>0</v>
      </c>
    </row>
    <row r="2793" spans="2:6" x14ac:dyDescent="0.25">
      <c r="B2793" s="272"/>
      <c r="C2793" s="273"/>
      <c r="D2793" s="268"/>
      <c r="E2793" s="271"/>
      <c r="F2793" s="259">
        <f t="shared" si="148"/>
        <v>0</v>
      </c>
    </row>
    <row r="2794" spans="2:6" x14ac:dyDescent="0.25">
      <c r="B2794" s="272"/>
      <c r="C2794" s="273"/>
      <c r="D2794" s="268"/>
      <c r="E2794" s="271"/>
      <c r="F2794" s="259">
        <f t="shared" si="148"/>
        <v>0</v>
      </c>
    </row>
    <row r="2795" spans="2:6" x14ac:dyDescent="0.25">
      <c r="B2795" s="272"/>
      <c r="C2795" s="273"/>
      <c r="D2795" s="268"/>
      <c r="E2795" s="271"/>
      <c r="F2795" s="259">
        <f t="shared" si="148"/>
        <v>0</v>
      </c>
    </row>
    <row r="2796" spans="2:6" x14ac:dyDescent="0.25">
      <c r="B2796" s="272"/>
      <c r="C2796" s="273"/>
      <c r="D2796" s="268"/>
      <c r="E2796" s="271"/>
      <c r="F2796" s="259">
        <f t="shared" si="148"/>
        <v>0</v>
      </c>
    </row>
    <row r="2797" spans="2:6" x14ac:dyDescent="0.25">
      <c r="B2797" s="272"/>
      <c r="C2797" s="273"/>
      <c r="D2797" s="268"/>
      <c r="E2797" s="271"/>
      <c r="F2797" s="259">
        <f t="shared" si="148"/>
        <v>0</v>
      </c>
    </row>
    <row r="2798" spans="2:6" x14ac:dyDescent="0.25">
      <c r="B2798" s="272"/>
      <c r="C2798" s="273"/>
      <c r="D2798" s="268"/>
      <c r="E2798" s="271"/>
      <c r="F2798" s="259">
        <f t="shared" si="148"/>
        <v>0</v>
      </c>
    </row>
    <row r="2799" spans="2:6" x14ac:dyDescent="0.25">
      <c r="B2799" s="272"/>
      <c r="C2799" s="273"/>
      <c r="D2799" s="268"/>
      <c r="E2799" s="271"/>
      <c r="F2799" s="259">
        <f t="shared" si="148"/>
        <v>0</v>
      </c>
    </row>
    <row r="2800" spans="2:6" x14ac:dyDescent="0.25">
      <c r="B2800" s="272"/>
      <c r="C2800" s="273"/>
      <c r="D2800" s="268"/>
      <c r="E2800" s="271"/>
      <c r="F2800" s="259">
        <f t="shared" si="148"/>
        <v>0</v>
      </c>
    </row>
    <row r="2801" spans="2:6" ht="15.75" thickBot="1" x14ac:dyDescent="0.3">
      <c r="B2801" s="611" t="s">
        <v>289</v>
      </c>
      <c r="C2801" s="612"/>
      <c r="D2801" s="612"/>
      <c r="E2801" s="613"/>
      <c r="F2801" s="274">
        <f>SUM(F2789:F2800)</f>
        <v>6664</v>
      </c>
    </row>
    <row r="2802" spans="2:6" x14ac:dyDescent="0.25">
      <c r="B2802" s="594" t="s">
        <v>290</v>
      </c>
      <c r="C2802" s="595"/>
      <c r="D2802" s="595"/>
      <c r="E2802" s="595"/>
      <c r="F2802" s="596"/>
    </row>
    <row r="2803" spans="2:6" x14ac:dyDescent="0.25">
      <c r="B2803" s="534" t="s">
        <v>879</v>
      </c>
      <c r="C2803" s="527" t="s">
        <v>117</v>
      </c>
      <c r="D2803" s="551">
        <v>1.3</v>
      </c>
      <c r="E2803" s="552">
        <v>15000</v>
      </c>
      <c r="F2803" s="529"/>
    </row>
    <row r="2804" spans="2:6" x14ac:dyDescent="0.25">
      <c r="B2804" s="277"/>
      <c r="C2804" s="278"/>
      <c r="D2804" s="279"/>
      <c r="E2804" s="280"/>
      <c r="F2804" s="259">
        <f>D2804*E2804</f>
        <v>0</v>
      </c>
    </row>
    <row r="2805" spans="2:6" x14ac:dyDescent="0.25">
      <c r="B2805" s="277"/>
      <c r="C2805" s="278"/>
      <c r="D2805" s="279"/>
      <c r="E2805" s="280"/>
      <c r="F2805" s="259">
        <f>D2805*E2805</f>
        <v>0</v>
      </c>
    </row>
    <row r="2806" spans="2:6" ht="15.75" thickBot="1" x14ac:dyDescent="0.3">
      <c r="B2806" s="611" t="s">
        <v>291</v>
      </c>
      <c r="C2806" s="612"/>
      <c r="D2806" s="612"/>
      <c r="E2806" s="613"/>
      <c r="F2806" s="285">
        <f>SUM(F2803:F2805)</f>
        <v>0</v>
      </c>
    </row>
    <row r="2807" spans="2:6" ht="15.75" thickBot="1" x14ac:dyDescent="0.3">
      <c r="B2807" s="600" t="s">
        <v>282</v>
      </c>
      <c r="C2807" s="601"/>
      <c r="D2807" s="601"/>
      <c r="E2807" s="601"/>
      <c r="F2807" s="286">
        <f>ROUND(F2778+F2784+F2787+F2801+F2806,0)</f>
        <v>54511</v>
      </c>
    </row>
    <row r="2808" spans="2:6" ht="15.75" thickBot="1" x14ac:dyDescent="0.3"/>
    <row r="2809" spans="2:6" ht="15.75" thickBot="1" x14ac:dyDescent="0.3">
      <c r="B2809" s="602" t="s">
        <v>276</v>
      </c>
      <c r="C2809" s="603"/>
      <c r="D2809" s="603"/>
      <c r="E2809" s="603"/>
      <c r="F2809" s="604"/>
    </row>
    <row r="2810" spans="2:6" ht="15.75" thickBot="1" x14ac:dyDescent="0.3">
      <c r="B2810" s="605" t="s">
        <v>104</v>
      </c>
      <c r="C2810" s="606"/>
      <c r="D2810" s="607"/>
      <c r="E2810" s="282" t="s">
        <v>105</v>
      </c>
      <c r="F2810" s="283" t="s">
        <v>103</v>
      </c>
    </row>
    <row r="2811" spans="2:6" ht="39" customHeight="1" thickBot="1" x14ac:dyDescent="0.3">
      <c r="B2811" s="608" t="str">
        <f>'PRESUPUESTO CALLE 58 SUR'!B77</f>
        <v>Retiro de filtro existente. No incluye botada, incluye transporte interno hasta sitio donde lo indique Interventoría.</v>
      </c>
      <c r="C2811" s="609"/>
      <c r="D2811" s="610"/>
      <c r="E2811" s="449" t="str">
        <f>'PRESUPUESTO CALLE 58 SUR'!C77</f>
        <v>m</v>
      </c>
      <c r="F2811" s="448">
        <f>'PRESUPUESTO CALLE 58 SUR'!A77</f>
        <v>12.4</v>
      </c>
    </row>
    <row r="2812" spans="2:6" ht="15.75" thickBot="1" x14ac:dyDescent="0.3">
      <c r="B2812" s="250" t="s">
        <v>8</v>
      </c>
      <c r="C2812" s="251" t="s">
        <v>9</v>
      </c>
      <c r="D2812" s="252" t="s">
        <v>10</v>
      </c>
      <c r="E2812" s="253" t="s">
        <v>283</v>
      </c>
      <c r="F2812" s="254" t="s">
        <v>284</v>
      </c>
    </row>
    <row r="2813" spans="2:6" x14ac:dyDescent="0.25">
      <c r="B2813" s="594" t="s">
        <v>285</v>
      </c>
      <c r="C2813" s="595"/>
      <c r="D2813" s="595"/>
      <c r="E2813" s="595"/>
      <c r="F2813" s="596"/>
    </row>
    <row r="2814" spans="2:6" x14ac:dyDescent="0.25">
      <c r="B2814" s="255"/>
      <c r="C2814" s="256"/>
      <c r="D2814" s="257"/>
      <c r="E2814" s="258"/>
      <c r="F2814" s="259">
        <f t="shared" ref="F2814:F2825" si="149">D2814*E2814</f>
        <v>0</v>
      </c>
    </row>
    <row r="2815" spans="2:6" x14ac:dyDescent="0.25">
      <c r="B2815" s="260"/>
      <c r="C2815" s="256"/>
      <c r="D2815" s="257"/>
      <c r="E2815" s="258"/>
      <c r="F2815" s="259">
        <f t="shared" si="149"/>
        <v>0</v>
      </c>
    </row>
    <row r="2816" spans="2:6" x14ac:dyDescent="0.25">
      <c r="B2816" s="261"/>
      <c r="C2816" s="256"/>
      <c r="D2816" s="257"/>
      <c r="E2816" s="258"/>
      <c r="F2816" s="259">
        <f t="shared" si="149"/>
        <v>0</v>
      </c>
    </row>
    <row r="2817" spans="2:6" x14ac:dyDescent="0.25">
      <c r="B2817" s="261"/>
      <c r="C2817" s="256"/>
      <c r="D2817" s="257"/>
      <c r="E2817" s="258"/>
      <c r="F2817" s="259">
        <f t="shared" si="149"/>
        <v>0</v>
      </c>
    </row>
    <row r="2818" spans="2:6" x14ac:dyDescent="0.25">
      <c r="B2818" s="261"/>
      <c r="C2818" s="256"/>
      <c r="D2818" s="257"/>
      <c r="E2818" s="258"/>
      <c r="F2818" s="259">
        <f t="shared" si="149"/>
        <v>0</v>
      </c>
    </row>
    <row r="2819" spans="2:6" x14ac:dyDescent="0.25">
      <c r="B2819" s="261"/>
      <c r="C2819" s="256"/>
      <c r="D2819" s="257"/>
      <c r="E2819" s="258"/>
      <c r="F2819" s="259">
        <f t="shared" si="149"/>
        <v>0</v>
      </c>
    </row>
    <row r="2820" spans="2:6" x14ac:dyDescent="0.25">
      <c r="B2820" s="261"/>
      <c r="C2820" s="256"/>
      <c r="D2820" s="257"/>
      <c r="E2820" s="258"/>
      <c r="F2820" s="259">
        <f t="shared" si="149"/>
        <v>0</v>
      </c>
    </row>
    <row r="2821" spans="2:6" x14ac:dyDescent="0.25">
      <c r="B2821" s="261"/>
      <c r="C2821" s="256"/>
      <c r="D2821" s="257"/>
      <c r="E2821" s="258"/>
      <c r="F2821" s="259">
        <f t="shared" si="149"/>
        <v>0</v>
      </c>
    </row>
    <row r="2822" spans="2:6" x14ac:dyDescent="0.25">
      <c r="B2822" s="261"/>
      <c r="C2822" s="256"/>
      <c r="D2822" s="257"/>
      <c r="E2822" s="258"/>
      <c r="F2822" s="259">
        <f t="shared" si="149"/>
        <v>0</v>
      </c>
    </row>
    <row r="2823" spans="2:6" x14ac:dyDescent="0.25">
      <c r="B2823" s="261"/>
      <c r="C2823" s="256"/>
      <c r="D2823" s="257"/>
      <c r="E2823" s="258"/>
      <c r="F2823" s="259">
        <f t="shared" si="149"/>
        <v>0</v>
      </c>
    </row>
    <row r="2824" spans="2:6" x14ac:dyDescent="0.25">
      <c r="B2824" s="261"/>
      <c r="C2824" s="256"/>
      <c r="D2824" s="257"/>
      <c r="E2824" s="258"/>
      <c r="F2824" s="259">
        <f t="shared" si="149"/>
        <v>0</v>
      </c>
    </row>
    <row r="2825" spans="2:6" x14ac:dyDescent="0.25">
      <c r="B2825" s="262"/>
      <c r="C2825" s="263"/>
      <c r="D2825" s="264"/>
      <c r="E2825" s="265"/>
      <c r="F2825" s="259">
        <f t="shared" si="149"/>
        <v>0</v>
      </c>
    </row>
    <row r="2826" spans="2:6" ht="15.75" thickBot="1" x14ac:dyDescent="0.3">
      <c r="B2826" s="611" t="s">
        <v>286</v>
      </c>
      <c r="C2826" s="612"/>
      <c r="D2826" s="612"/>
      <c r="E2826" s="613"/>
      <c r="F2826" s="284">
        <f>SUM(F2814:F2825)</f>
        <v>0</v>
      </c>
    </row>
    <row r="2827" spans="2:6" x14ac:dyDescent="0.25">
      <c r="B2827" s="594" t="s">
        <v>277</v>
      </c>
      <c r="C2827" s="595"/>
      <c r="D2827" s="595"/>
      <c r="E2827" s="595"/>
      <c r="F2827" s="596"/>
    </row>
    <row r="2828" spans="2:6" x14ac:dyDescent="0.25">
      <c r="B2828" s="266" t="str">
        <f>CUADRILLAS!A79</f>
        <v>Cuad. 1of + 1ay</v>
      </c>
      <c r="C2828" s="267" t="s">
        <v>110</v>
      </c>
      <c r="D2828" s="268">
        <v>0.17499999999999999</v>
      </c>
      <c r="E2828" s="269">
        <f>CUADRILLAS!B79</f>
        <v>207851</v>
      </c>
      <c r="F2828" s="270">
        <f>D2828*E2828</f>
        <v>36373.924999999996</v>
      </c>
    </row>
    <row r="2829" spans="2:6" x14ac:dyDescent="0.25">
      <c r="B2829" s="266"/>
      <c r="C2829" s="267"/>
      <c r="D2829" s="268"/>
      <c r="E2829" s="269"/>
      <c r="F2829" s="270">
        <f>D2829*E2829</f>
        <v>0</v>
      </c>
    </row>
    <row r="2830" spans="2:6" x14ac:dyDescent="0.25">
      <c r="B2830" s="266"/>
      <c r="C2830" s="267"/>
      <c r="D2830" s="268"/>
      <c r="E2830" s="271"/>
      <c r="F2830" s="270">
        <f>D2830*E2830</f>
        <v>0</v>
      </c>
    </row>
    <row r="2831" spans="2:6" x14ac:dyDescent="0.25">
      <c r="B2831" s="272"/>
      <c r="C2831" s="273"/>
      <c r="D2831" s="268"/>
      <c r="E2831" s="271"/>
      <c r="F2831" s="270">
        <f>D2831*E2831</f>
        <v>0</v>
      </c>
    </row>
    <row r="2832" spans="2:6" ht="15.75" thickBot="1" x14ac:dyDescent="0.3">
      <c r="B2832" s="611" t="s">
        <v>287</v>
      </c>
      <c r="C2832" s="612"/>
      <c r="D2832" s="612"/>
      <c r="E2832" s="613"/>
      <c r="F2832" s="274">
        <f>SUM(F2828:F2831)</f>
        <v>36373.924999999996</v>
      </c>
    </row>
    <row r="2833" spans="2:6" x14ac:dyDescent="0.25">
      <c r="B2833" s="594" t="s">
        <v>278</v>
      </c>
      <c r="C2833" s="595"/>
      <c r="D2833" s="595"/>
      <c r="E2833" s="595"/>
      <c r="F2833" s="596"/>
    </row>
    <row r="2834" spans="2:6" x14ac:dyDescent="0.25">
      <c r="B2834" s="272" t="s">
        <v>279</v>
      </c>
      <c r="C2834" s="273" t="s">
        <v>280</v>
      </c>
      <c r="D2834" s="268">
        <v>0.05</v>
      </c>
      <c r="E2834" s="271">
        <f>F2832</f>
        <v>36373.924999999996</v>
      </c>
      <c r="F2834" s="270">
        <f>D2834*E2834</f>
        <v>1818.69625</v>
      </c>
    </row>
    <row r="2835" spans="2:6" ht="15.75" thickBot="1" x14ac:dyDescent="0.3">
      <c r="B2835" s="611" t="s">
        <v>288</v>
      </c>
      <c r="C2835" s="612"/>
      <c r="D2835" s="612"/>
      <c r="E2835" s="613"/>
      <c r="F2835" s="274">
        <f>SUM(F2834)</f>
        <v>1818.69625</v>
      </c>
    </row>
    <row r="2836" spans="2:6" x14ac:dyDescent="0.25">
      <c r="B2836" s="594" t="s">
        <v>281</v>
      </c>
      <c r="C2836" s="595"/>
      <c r="D2836" s="595"/>
      <c r="E2836" s="595"/>
      <c r="F2836" s="596"/>
    </row>
    <row r="2837" spans="2:6" x14ac:dyDescent="0.25">
      <c r="B2837" s="272"/>
      <c r="C2837" s="273"/>
      <c r="D2837" s="268"/>
      <c r="E2837" s="271"/>
      <c r="F2837" s="259">
        <f t="shared" ref="F2837:F2848" si="150">D2837*E2837</f>
        <v>0</v>
      </c>
    </row>
    <row r="2838" spans="2:6" x14ac:dyDescent="0.25">
      <c r="B2838" s="272"/>
      <c r="C2838" s="273"/>
      <c r="D2838" s="268"/>
      <c r="E2838" s="271"/>
      <c r="F2838" s="259">
        <f t="shared" si="150"/>
        <v>0</v>
      </c>
    </row>
    <row r="2839" spans="2:6" x14ac:dyDescent="0.25">
      <c r="B2839" s="272"/>
      <c r="C2839" s="273"/>
      <c r="D2839" s="268"/>
      <c r="E2839" s="271"/>
      <c r="F2839" s="259">
        <f t="shared" si="150"/>
        <v>0</v>
      </c>
    </row>
    <row r="2840" spans="2:6" x14ac:dyDescent="0.25">
      <c r="B2840" s="272"/>
      <c r="C2840" s="273"/>
      <c r="D2840" s="268"/>
      <c r="E2840" s="271"/>
      <c r="F2840" s="259">
        <f t="shared" si="150"/>
        <v>0</v>
      </c>
    </row>
    <row r="2841" spans="2:6" x14ac:dyDescent="0.25">
      <c r="B2841" s="272"/>
      <c r="C2841" s="273"/>
      <c r="D2841" s="268"/>
      <c r="E2841" s="271"/>
      <c r="F2841" s="259">
        <f t="shared" si="150"/>
        <v>0</v>
      </c>
    </row>
    <row r="2842" spans="2:6" x14ac:dyDescent="0.25">
      <c r="B2842" s="272"/>
      <c r="C2842" s="273"/>
      <c r="D2842" s="268"/>
      <c r="E2842" s="271"/>
      <c r="F2842" s="259">
        <f t="shared" si="150"/>
        <v>0</v>
      </c>
    </row>
    <row r="2843" spans="2:6" x14ac:dyDescent="0.25">
      <c r="B2843" s="272"/>
      <c r="C2843" s="273"/>
      <c r="D2843" s="268"/>
      <c r="E2843" s="271"/>
      <c r="F2843" s="259">
        <f t="shared" si="150"/>
        <v>0</v>
      </c>
    </row>
    <row r="2844" spans="2:6" x14ac:dyDescent="0.25">
      <c r="B2844" s="272"/>
      <c r="C2844" s="273"/>
      <c r="D2844" s="268"/>
      <c r="E2844" s="271"/>
      <c r="F2844" s="259">
        <f t="shared" si="150"/>
        <v>0</v>
      </c>
    </row>
    <row r="2845" spans="2:6" x14ac:dyDescent="0.25">
      <c r="B2845" s="272"/>
      <c r="C2845" s="273"/>
      <c r="D2845" s="268"/>
      <c r="E2845" s="271"/>
      <c r="F2845" s="259">
        <f t="shared" si="150"/>
        <v>0</v>
      </c>
    </row>
    <row r="2846" spans="2:6" x14ac:dyDescent="0.25">
      <c r="B2846" s="272"/>
      <c r="C2846" s="273"/>
      <c r="D2846" s="268"/>
      <c r="E2846" s="271"/>
      <c r="F2846" s="259">
        <f t="shared" si="150"/>
        <v>0</v>
      </c>
    </row>
    <row r="2847" spans="2:6" x14ac:dyDescent="0.25">
      <c r="B2847" s="272"/>
      <c r="C2847" s="273"/>
      <c r="D2847" s="268"/>
      <c r="E2847" s="271"/>
      <c r="F2847" s="259">
        <f t="shared" si="150"/>
        <v>0</v>
      </c>
    </row>
    <row r="2848" spans="2:6" x14ac:dyDescent="0.25">
      <c r="B2848" s="272"/>
      <c r="C2848" s="273"/>
      <c r="D2848" s="268"/>
      <c r="E2848" s="271"/>
      <c r="F2848" s="259">
        <f t="shared" si="150"/>
        <v>0</v>
      </c>
    </row>
    <row r="2849" spans="2:6" ht="15.75" thickBot="1" x14ac:dyDescent="0.3">
      <c r="B2849" s="611" t="s">
        <v>289</v>
      </c>
      <c r="C2849" s="612"/>
      <c r="D2849" s="612"/>
      <c r="E2849" s="613"/>
      <c r="F2849" s="274">
        <f>SUM(F2837:F2848)</f>
        <v>0</v>
      </c>
    </row>
    <row r="2850" spans="2:6" x14ac:dyDescent="0.25">
      <c r="B2850" s="594" t="s">
        <v>290</v>
      </c>
      <c r="C2850" s="595"/>
      <c r="D2850" s="595"/>
      <c r="E2850" s="595"/>
      <c r="F2850" s="596"/>
    </row>
    <row r="2851" spans="2:6" x14ac:dyDescent="0.25">
      <c r="B2851" s="272" t="s">
        <v>879</v>
      </c>
      <c r="C2851" s="273" t="s">
        <v>117</v>
      </c>
      <c r="D2851" s="275">
        <v>0.245</v>
      </c>
      <c r="E2851" s="276">
        <v>15000</v>
      </c>
      <c r="F2851" s="259">
        <f>D2851*E2851</f>
        <v>3675</v>
      </c>
    </row>
    <row r="2852" spans="2:6" x14ac:dyDescent="0.25">
      <c r="B2852" s="277"/>
      <c r="C2852" s="278"/>
      <c r="D2852" s="279"/>
      <c r="E2852" s="280"/>
      <c r="F2852" s="259">
        <f>D2852*E2852</f>
        <v>0</v>
      </c>
    </row>
    <row r="2853" spans="2:6" x14ac:dyDescent="0.25">
      <c r="B2853" s="277"/>
      <c r="C2853" s="278"/>
      <c r="D2853" s="279"/>
      <c r="E2853" s="280"/>
      <c r="F2853" s="259">
        <f>D2853*E2853</f>
        <v>0</v>
      </c>
    </row>
    <row r="2854" spans="2:6" ht="15.75" thickBot="1" x14ac:dyDescent="0.3">
      <c r="B2854" s="611" t="s">
        <v>291</v>
      </c>
      <c r="C2854" s="612"/>
      <c r="D2854" s="612"/>
      <c r="E2854" s="613"/>
      <c r="F2854" s="285">
        <f>SUM(F2851:F2853)</f>
        <v>3675</v>
      </c>
    </row>
    <row r="2855" spans="2:6" ht="15.75" thickBot="1" x14ac:dyDescent="0.3">
      <c r="B2855" s="600" t="s">
        <v>282</v>
      </c>
      <c r="C2855" s="601"/>
      <c r="D2855" s="601"/>
      <c r="E2855" s="601"/>
      <c r="F2855" s="286">
        <f>ROUND(F2826+F2832+F2835+F2849+F2854,0)</f>
        <v>41868</v>
      </c>
    </row>
    <row r="2856" spans="2:6" ht="15.75" thickBot="1" x14ac:dyDescent="0.3"/>
    <row r="2857" spans="2:6" ht="15.75" thickBot="1" x14ac:dyDescent="0.3">
      <c r="B2857" s="602" t="s">
        <v>276</v>
      </c>
      <c r="C2857" s="603"/>
      <c r="D2857" s="603"/>
      <c r="E2857" s="603"/>
      <c r="F2857" s="604"/>
    </row>
    <row r="2858" spans="2:6" ht="15.75" thickBot="1" x14ac:dyDescent="0.3">
      <c r="B2858" s="605" t="s">
        <v>104</v>
      </c>
      <c r="C2858" s="606"/>
      <c r="D2858" s="607"/>
      <c r="E2858" s="282" t="s">
        <v>105</v>
      </c>
      <c r="F2858" s="283" t="s">
        <v>103</v>
      </c>
    </row>
    <row r="2859" spans="2:6" ht="35.450000000000003" customHeight="1" thickBot="1" x14ac:dyDescent="0.3">
      <c r="B2859" s="608" t="str">
        <f>'PRESUPUESTO CALLE 58 SUR'!B78</f>
        <v>Manejo de aguas para los diferentes procesos constructivos. Incluye tubería, concreto, canecas de 55 galones.</v>
      </c>
      <c r="C2859" s="609"/>
      <c r="D2859" s="610"/>
      <c r="E2859" s="449" t="str">
        <f>'PRESUPUESTO CALLE 58 SUR'!C78</f>
        <v>glb</v>
      </c>
      <c r="F2859" s="448">
        <f>'PRESUPUESTO CALLE 58 SUR'!A78</f>
        <v>12.5</v>
      </c>
    </row>
    <row r="2860" spans="2:6" ht="15.75" thickBot="1" x14ac:dyDescent="0.3">
      <c r="B2860" s="250" t="s">
        <v>8</v>
      </c>
      <c r="C2860" s="251" t="s">
        <v>9</v>
      </c>
      <c r="D2860" s="252" t="s">
        <v>10</v>
      </c>
      <c r="E2860" s="253" t="s">
        <v>283</v>
      </c>
      <c r="F2860" s="254" t="s">
        <v>284</v>
      </c>
    </row>
    <row r="2861" spans="2:6" x14ac:dyDescent="0.25">
      <c r="B2861" s="594" t="s">
        <v>285</v>
      </c>
      <c r="C2861" s="595"/>
      <c r="D2861" s="595"/>
      <c r="E2861" s="595"/>
      <c r="F2861" s="596"/>
    </row>
    <row r="2862" spans="2:6" ht="22.5" x14ac:dyDescent="0.25">
      <c r="B2862" s="255" t="str">
        <f>INSUMOS!B36</f>
        <v>Tubería NOVAFORT x 6 metros, incluye transporte a obra, diámetro 250 mm</v>
      </c>
      <c r="C2862" s="256" t="s">
        <v>111</v>
      </c>
      <c r="D2862" s="257">
        <v>6</v>
      </c>
      <c r="E2862" s="258">
        <f>INSUMOS!D36</f>
        <v>104084.33333333333</v>
      </c>
      <c r="F2862" s="259">
        <f t="shared" ref="F2862:F2873" si="151">D2862*E2862</f>
        <v>624506</v>
      </c>
    </row>
    <row r="2863" spans="2:6" x14ac:dyDescent="0.25">
      <c r="B2863" s="260" t="str">
        <f>INSUMOS!B525</f>
        <v>Caneca por 55 galones metálica. + transporte</v>
      </c>
      <c r="C2863" s="256" t="s">
        <v>17</v>
      </c>
      <c r="D2863" s="257">
        <v>2</v>
      </c>
      <c r="E2863" s="258">
        <f>INSUMOS!D525</f>
        <v>62364</v>
      </c>
      <c r="F2863" s="259">
        <f t="shared" si="151"/>
        <v>124728</v>
      </c>
    </row>
    <row r="2864" spans="2:6" x14ac:dyDescent="0.25">
      <c r="B2864" s="255" t="str">
        <f>SUBANALISIS!A64</f>
        <v>Concr.en obra 2000 psi 3/4"</v>
      </c>
      <c r="C2864" s="256" t="s">
        <v>117</v>
      </c>
      <c r="D2864" s="257">
        <v>0.5</v>
      </c>
      <c r="E2864" s="258">
        <f>SUBANALISIS!F64</f>
        <v>533198.90610000002</v>
      </c>
      <c r="F2864" s="259">
        <f t="shared" si="151"/>
        <v>266599.45305000001</v>
      </c>
    </row>
    <row r="2865" spans="2:6" x14ac:dyDescent="0.25">
      <c r="B2865" s="261" t="str">
        <f>INSUMOS!B245</f>
        <v>Telera 90x135 + Transporte</v>
      </c>
      <c r="C2865" s="256" t="s">
        <v>17</v>
      </c>
      <c r="D2865" s="257">
        <v>3</v>
      </c>
      <c r="E2865" s="258">
        <f>INSUMOS!D245</f>
        <v>30345</v>
      </c>
      <c r="F2865" s="259">
        <f t="shared" si="151"/>
        <v>91035</v>
      </c>
    </row>
    <row r="2866" spans="2:6" x14ac:dyDescent="0.25">
      <c r="B2866" s="261" t="str">
        <f>INSUMOS!B246</f>
        <v>Media telera 45X135</v>
      </c>
      <c r="C2866" s="256" t="s">
        <v>17</v>
      </c>
      <c r="D2866" s="257">
        <v>3</v>
      </c>
      <c r="E2866" s="258">
        <f>INSUMOS!D246</f>
        <v>21420</v>
      </c>
      <c r="F2866" s="259">
        <f t="shared" si="151"/>
        <v>64260</v>
      </c>
    </row>
    <row r="2867" spans="2:6" ht="22.5" x14ac:dyDescent="0.25">
      <c r="B2867" s="261" t="str">
        <f>INSUMOS!B248</f>
        <v>Tabla madera común de 2.5 cm x 20cm x 2.80m. Incluye transporte.</v>
      </c>
      <c r="C2867" s="256" t="s">
        <v>17</v>
      </c>
      <c r="D2867" s="257">
        <v>5</v>
      </c>
      <c r="E2867" s="258">
        <f>INSUMOS!D248</f>
        <v>17255</v>
      </c>
      <c r="F2867" s="259">
        <f t="shared" si="151"/>
        <v>86275</v>
      </c>
    </row>
    <row r="2868" spans="2:6" x14ac:dyDescent="0.25">
      <c r="B2868" s="261" t="str">
        <f>INSUMOS!B205</f>
        <v>Clavo común x CAJA por 500 gr</v>
      </c>
      <c r="C2868" s="256" t="s">
        <v>576</v>
      </c>
      <c r="D2868" s="257">
        <v>5</v>
      </c>
      <c r="E2868" s="258">
        <f>INSUMOS!E205</f>
        <v>5000</v>
      </c>
      <c r="F2868" s="259">
        <f t="shared" si="151"/>
        <v>25000</v>
      </c>
    </row>
    <row r="2869" spans="2:6" x14ac:dyDescent="0.25">
      <c r="B2869" s="261"/>
      <c r="C2869" s="256"/>
      <c r="D2869" s="257"/>
      <c r="E2869" s="258"/>
      <c r="F2869" s="259">
        <f t="shared" si="151"/>
        <v>0</v>
      </c>
    </row>
    <row r="2870" spans="2:6" x14ac:dyDescent="0.25">
      <c r="B2870" s="261"/>
      <c r="C2870" s="256"/>
      <c r="D2870" s="257"/>
      <c r="E2870" s="258"/>
      <c r="F2870" s="259">
        <f t="shared" si="151"/>
        <v>0</v>
      </c>
    </row>
    <row r="2871" spans="2:6" x14ac:dyDescent="0.25">
      <c r="B2871" s="261"/>
      <c r="C2871" s="256"/>
      <c r="D2871" s="257"/>
      <c r="E2871" s="258"/>
      <c r="F2871" s="259">
        <f t="shared" si="151"/>
        <v>0</v>
      </c>
    </row>
    <row r="2872" spans="2:6" x14ac:dyDescent="0.25">
      <c r="B2872" s="261"/>
      <c r="C2872" s="256"/>
      <c r="D2872" s="257"/>
      <c r="E2872" s="258"/>
      <c r="F2872" s="259">
        <f t="shared" si="151"/>
        <v>0</v>
      </c>
    </row>
    <row r="2873" spans="2:6" x14ac:dyDescent="0.25">
      <c r="B2873" s="262"/>
      <c r="C2873" s="263"/>
      <c r="D2873" s="264"/>
      <c r="E2873" s="265"/>
      <c r="F2873" s="259">
        <f t="shared" si="151"/>
        <v>0</v>
      </c>
    </row>
    <row r="2874" spans="2:6" ht="15.75" thickBot="1" x14ac:dyDescent="0.3">
      <c r="B2874" s="611" t="s">
        <v>286</v>
      </c>
      <c r="C2874" s="612"/>
      <c r="D2874" s="612"/>
      <c r="E2874" s="613"/>
      <c r="F2874" s="284">
        <f>SUM(F2862:F2873)</f>
        <v>1282403.4530500001</v>
      </c>
    </row>
    <row r="2875" spans="2:6" x14ac:dyDescent="0.25">
      <c r="B2875" s="594" t="s">
        <v>277</v>
      </c>
      <c r="C2875" s="595"/>
      <c r="D2875" s="595"/>
      <c r="E2875" s="595"/>
      <c r="F2875" s="596"/>
    </row>
    <row r="2876" spans="2:6" x14ac:dyDescent="0.25">
      <c r="B2876" s="266" t="str">
        <f>CUADRILLAS!A87</f>
        <v>Cuadrilla labores varias (1of + 2ay)</v>
      </c>
      <c r="C2876" s="267" t="s">
        <v>110</v>
      </c>
      <c r="D2876" s="268">
        <v>10</v>
      </c>
      <c r="E2876" s="269">
        <f>CUADRILLAS!B87</f>
        <v>278637</v>
      </c>
      <c r="F2876" s="270">
        <f>D2876*E2876</f>
        <v>2786370</v>
      </c>
    </row>
    <row r="2877" spans="2:6" x14ac:dyDescent="0.25">
      <c r="B2877" s="266"/>
      <c r="C2877" s="267"/>
      <c r="D2877" s="268"/>
      <c r="E2877" s="269"/>
      <c r="F2877" s="270">
        <f>D2877*E2877</f>
        <v>0</v>
      </c>
    </row>
    <row r="2878" spans="2:6" x14ac:dyDescent="0.25">
      <c r="B2878" s="266"/>
      <c r="C2878" s="267"/>
      <c r="D2878" s="268"/>
      <c r="E2878" s="271"/>
      <c r="F2878" s="270">
        <f>D2878*E2878</f>
        <v>0</v>
      </c>
    </row>
    <row r="2879" spans="2:6" x14ac:dyDescent="0.25">
      <c r="B2879" s="272"/>
      <c r="C2879" s="273"/>
      <c r="D2879" s="268"/>
      <c r="E2879" s="271"/>
      <c r="F2879" s="270">
        <f>D2879*E2879</f>
        <v>0</v>
      </c>
    </row>
    <row r="2880" spans="2:6" ht="15.75" thickBot="1" x14ac:dyDescent="0.3">
      <c r="B2880" s="611" t="s">
        <v>287</v>
      </c>
      <c r="C2880" s="612"/>
      <c r="D2880" s="612"/>
      <c r="E2880" s="613"/>
      <c r="F2880" s="274">
        <f>SUM(F2876:F2879)</f>
        <v>2786370</v>
      </c>
    </row>
    <row r="2881" spans="2:6" x14ac:dyDescent="0.25">
      <c r="B2881" s="594" t="s">
        <v>278</v>
      </c>
      <c r="C2881" s="595"/>
      <c r="D2881" s="595"/>
      <c r="E2881" s="595"/>
      <c r="F2881" s="596"/>
    </row>
    <row r="2882" spans="2:6" x14ac:dyDescent="0.25">
      <c r="B2882" s="272" t="s">
        <v>279</v>
      </c>
      <c r="C2882" s="273" t="s">
        <v>280</v>
      </c>
      <c r="D2882" s="268">
        <v>0.05</v>
      </c>
      <c r="E2882" s="271">
        <f>F2880</f>
        <v>2786370</v>
      </c>
      <c r="F2882" s="270">
        <f>D2882*E2882</f>
        <v>139318.5</v>
      </c>
    </row>
    <row r="2883" spans="2:6" ht="15.75" thickBot="1" x14ac:dyDescent="0.3">
      <c r="B2883" s="611" t="s">
        <v>288</v>
      </c>
      <c r="C2883" s="612"/>
      <c r="D2883" s="612"/>
      <c r="E2883" s="613"/>
      <c r="F2883" s="274">
        <f>SUM(F2882)</f>
        <v>139318.5</v>
      </c>
    </row>
    <row r="2884" spans="2:6" x14ac:dyDescent="0.25">
      <c r="B2884" s="594" t="s">
        <v>281</v>
      </c>
      <c r="C2884" s="595"/>
      <c r="D2884" s="595"/>
      <c r="E2884" s="595"/>
      <c r="F2884" s="596"/>
    </row>
    <row r="2885" spans="2:6" x14ac:dyDescent="0.25">
      <c r="B2885" s="272"/>
      <c r="C2885" s="273"/>
      <c r="D2885" s="268"/>
      <c r="E2885" s="271"/>
      <c r="F2885" s="259">
        <f t="shared" ref="F2885:F2896" si="152">D2885*E2885</f>
        <v>0</v>
      </c>
    </row>
    <row r="2886" spans="2:6" x14ac:dyDescent="0.25">
      <c r="B2886" s="272"/>
      <c r="C2886" s="273"/>
      <c r="D2886" s="268"/>
      <c r="E2886" s="271"/>
      <c r="F2886" s="259">
        <f t="shared" si="152"/>
        <v>0</v>
      </c>
    </row>
    <row r="2887" spans="2:6" x14ac:dyDescent="0.25">
      <c r="B2887" s="272"/>
      <c r="C2887" s="273"/>
      <c r="D2887" s="268"/>
      <c r="E2887" s="271"/>
      <c r="F2887" s="259">
        <f t="shared" si="152"/>
        <v>0</v>
      </c>
    </row>
    <row r="2888" spans="2:6" x14ac:dyDescent="0.25">
      <c r="B2888" s="272"/>
      <c r="C2888" s="273"/>
      <c r="D2888" s="268"/>
      <c r="E2888" s="271"/>
      <c r="F2888" s="259">
        <f t="shared" si="152"/>
        <v>0</v>
      </c>
    </row>
    <row r="2889" spans="2:6" x14ac:dyDescent="0.25">
      <c r="B2889" s="272"/>
      <c r="C2889" s="273"/>
      <c r="D2889" s="268"/>
      <c r="E2889" s="271"/>
      <c r="F2889" s="259">
        <f t="shared" si="152"/>
        <v>0</v>
      </c>
    </row>
    <row r="2890" spans="2:6" x14ac:dyDescent="0.25">
      <c r="B2890" s="272"/>
      <c r="C2890" s="273"/>
      <c r="D2890" s="268"/>
      <c r="E2890" s="271"/>
      <c r="F2890" s="259">
        <f t="shared" si="152"/>
        <v>0</v>
      </c>
    </row>
    <row r="2891" spans="2:6" x14ac:dyDescent="0.25">
      <c r="B2891" s="272"/>
      <c r="C2891" s="273"/>
      <c r="D2891" s="268"/>
      <c r="E2891" s="271"/>
      <c r="F2891" s="259">
        <f t="shared" si="152"/>
        <v>0</v>
      </c>
    </row>
    <row r="2892" spans="2:6" x14ac:dyDescent="0.25">
      <c r="B2892" s="272"/>
      <c r="C2892" s="273"/>
      <c r="D2892" s="268"/>
      <c r="E2892" s="271"/>
      <c r="F2892" s="259">
        <f t="shared" si="152"/>
        <v>0</v>
      </c>
    </row>
    <row r="2893" spans="2:6" x14ac:dyDescent="0.25">
      <c r="B2893" s="272"/>
      <c r="C2893" s="273"/>
      <c r="D2893" s="268"/>
      <c r="E2893" s="271"/>
      <c r="F2893" s="259">
        <f t="shared" si="152"/>
        <v>0</v>
      </c>
    </row>
    <row r="2894" spans="2:6" x14ac:dyDescent="0.25">
      <c r="B2894" s="272"/>
      <c r="C2894" s="273"/>
      <c r="D2894" s="268"/>
      <c r="E2894" s="271"/>
      <c r="F2894" s="259">
        <f t="shared" si="152"/>
        <v>0</v>
      </c>
    </row>
    <row r="2895" spans="2:6" x14ac:dyDescent="0.25">
      <c r="B2895" s="272"/>
      <c r="C2895" s="273"/>
      <c r="D2895" s="268"/>
      <c r="E2895" s="271"/>
      <c r="F2895" s="259">
        <f t="shared" si="152"/>
        <v>0</v>
      </c>
    </row>
    <row r="2896" spans="2:6" x14ac:dyDescent="0.25">
      <c r="B2896" s="272"/>
      <c r="C2896" s="273"/>
      <c r="D2896" s="268"/>
      <c r="E2896" s="271"/>
      <c r="F2896" s="259">
        <f t="shared" si="152"/>
        <v>0</v>
      </c>
    </row>
    <row r="2897" spans="2:6" ht="15.75" thickBot="1" x14ac:dyDescent="0.3">
      <c r="B2897" s="611" t="s">
        <v>289</v>
      </c>
      <c r="C2897" s="612"/>
      <c r="D2897" s="612"/>
      <c r="E2897" s="613"/>
      <c r="F2897" s="274">
        <f>SUM(F2885:F2896)</f>
        <v>0</v>
      </c>
    </row>
    <row r="2898" spans="2:6" x14ac:dyDescent="0.25">
      <c r="B2898" s="594" t="s">
        <v>290</v>
      </c>
      <c r="C2898" s="595"/>
      <c r="D2898" s="595"/>
      <c r="E2898" s="595"/>
      <c r="F2898" s="596"/>
    </row>
    <row r="2899" spans="2:6" x14ac:dyDescent="0.25">
      <c r="B2899" s="272" t="s">
        <v>884</v>
      </c>
      <c r="C2899" s="273" t="s">
        <v>117</v>
      </c>
      <c r="D2899" s="275">
        <v>0.92</v>
      </c>
      <c r="E2899" s="276">
        <v>15000</v>
      </c>
      <c r="F2899" s="259">
        <f>D2899*E2899</f>
        <v>13800</v>
      </c>
    </row>
    <row r="2900" spans="2:6" x14ac:dyDescent="0.25">
      <c r="B2900" s="277" t="s">
        <v>884</v>
      </c>
      <c r="C2900" s="278" t="s">
        <v>49</v>
      </c>
      <c r="D2900" s="279">
        <v>0</v>
      </c>
      <c r="E2900" s="280">
        <v>50000</v>
      </c>
      <c r="F2900" s="259">
        <f>D2900*E2900</f>
        <v>0</v>
      </c>
    </row>
    <row r="2901" spans="2:6" x14ac:dyDescent="0.25">
      <c r="B2901" s="277"/>
      <c r="C2901" s="278"/>
      <c r="D2901" s="279"/>
      <c r="E2901" s="280"/>
      <c r="F2901" s="259">
        <f>D2901*E2901</f>
        <v>0</v>
      </c>
    </row>
    <row r="2902" spans="2:6" ht="15.75" thickBot="1" x14ac:dyDescent="0.3">
      <c r="B2902" s="611" t="s">
        <v>291</v>
      </c>
      <c r="C2902" s="612"/>
      <c r="D2902" s="612"/>
      <c r="E2902" s="613"/>
      <c r="F2902" s="285">
        <f>SUM(F2899:F2901)</f>
        <v>13800</v>
      </c>
    </row>
    <row r="2903" spans="2:6" ht="15.75" thickBot="1" x14ac:dyDescent="0.3">
      <c r="B2903" s="600" t="s">
        <v>282</v>
      </c>
      <c r="C2903" s="601"/>
      <c r="D2903" s="601"/>
      <c r="E2903" s="601"/>
      <c r="F2903" s="286">
        <f>ROUND(F2874+F2880+F2883+F2897+F2902,0)</f>
        <v>4221892</v>
      </c>
    </row>
    <row r="2904" spans="2:6" ht="15.75" thickBot="1" x14ac:dyDescent="0.3"/>
    <row r="2905" spans="2:6" ht="15.75" thickBot="1" x14ac:dyDescent="0.3">
      <c r="B2905" s="602" t="s">
        <v>276</v>
      </c>
      <c r="C2905" s="603"/>
      <c r="D2905" s="603"/>
      <c r="E2905" s="603"/>
      <c r="F2905" s="604"/>
    </row>
    <row r="2906" spans="2:6" ht="15.75" thickBot="1" x14ac:dyDescent="0.3">
      <c r="B2906" s="605" t="s">
        <v>104</v>
      </c>
      <c r="C2906" s="606"/>
      <c r="D2906" s="607"/>
      <c r="E2906" s="282" t="s">
        <v>105</v>
      </c>
      <c r="F2906" s="283" t="s">
        <v>103</v>
      </c>
    </row>
    <row r="2907" spans="2:6" ht="42.6" customHeight="1" thickBot="1" x14ac:dyDescent="0.3">
      <c r="B2907" s="608" t="str">
        <f>'PRESUPUESTO CALLE 58 SUR'!B81</f>
        <v>Construcción de trinchos con costales rellenos con material proveniente de la excavación, incluye transporte interno, conformación de taludes en pendiente, costales, cocida, llenado.</v>
      </c>
      <c r="C2907" s="609"/>
      <c r="D2907" s="610"/>
      <c r="E2907" s="449" t="str">
        <f>'PRESUPUESTO CALLE 58 SUR'!C81</f>
        <v>un/costal</v>
      </c>
      <c r="F2907" s="448">
        <f>'PRESUPUESTO CALLE 58 SUR'!A81</f>
        <v>12.8</v>
      </c>
    </row>
    <row r="2908" spans="2:6" ht="15.75" thickBot="1" x14ac:dyDescent="0.3">
      <c r="B2908" s="250" t="s">
        <v>8</v>
      </c>
      <c r="C2908" s="251" t="s">
        <v>9</v>
      </c>
      <c r="D2908" s="252" t="s">
        <v>10</v>
      </c>
      <c r="E2908" s="253" t="s">
        <v>283</v>
      </c>
      <c r="F2908" s="254" t="s">
        <v>284</v>
      </c>
    </row>
    <row r="2909" spans="2:6" x14ac:dyDescent="0.25">
      <c r="B2909" s="594" t="s">
        <v>285</v>
      </c>
      <c r="C2909" s="595"/>
      <c r="D2909" s="595"/>
      <c r="E2909" s="595"/>
      <c r="F2909" s="596"/>
    </row>
    <row r="2910" spans="2:6" ht="22.5" x14ac:dyDescent="0.25">
      <c r="B2910" s="255" t="str">
        <f>INSUMOS!B192</f>
        <v>Lonas o costales de fibra de 50 kilos x un + transporte</v>
      </c>
      <c r="C2910" s="256" t="s">
        <v>17</v>
      </c>
      <c r="D2910" s="257">
        <v>1</v>
      </c>
      <c r="E2910" s="258">
        <f>INSUMOS!E192</f>
        <v>1200</v>
      </c>
      <c r="F2910" s="259">
        <f t="shared" ref="F2910:F2921" si="153">D2910*E2910</f>
        <v>1200</v>
      </c>
    </row>
    <row r="2911" spans="2:6" x14ac:dyDescent="0.25">
      <c r="B2911" s="260"/>
      <c r="C2911" s="256"/>
      <c r="D2911" s="257"/>
      <c r="E2911" s="258"/>
      <c r="F2911" s="259">
        <f t="shared" si="153"/>
        <v>0</v>
      </c>
    </row>
    <row r="2912" spans="2:6" x14ac:dyDescent="0.25">
      <c r="B2912" s="261"/>
      <c r="C2912" s="256"/>
      <c r="D2912" s="257"/>
      <c r="E2912" s="258"/>
      <c r="F2912" s="259">
        <f t="shared" si="153"/>
        <v>0</v>
      </c>
    </row>
    <row r="2913" spans="2:6" x14ac:dyDescent="0.25">
      <c r="B2913" s="261"/>
      <c r="C2913" s="256"/>
      <c r="D2913" s="257"/>
      <c r="E2913" s="258"/>
      <c r="F2913" s="259">
        <f t="shared" si="153"/>
        <v>0</v>
      </c>
    </row>
    <row r="2914" spans="2:6" x14ac:dyDescent="0.25">
      <c r="B2914" s="261"/>
      <c r="C2914" s="256"/>
      <c r="D2914" s="257"/>
      <c r="E2914" s="258"/>
      <c r="F2914" s="259">
        <f t="shared" si="153"/>
        <v>0</v>
      </c>
    </row>
    <row r="2915" spans="2:6" x14ac:dyDescent="0.25">
      <c r="B2915" s="261"/>
      <c r="C2915" s="256"/>
      <c r="D2915" s="257"/>
      <c r="E2915" s="258"/>
      <c r="F2915" s="259">
        <f t="shared" si="153"/>
        <v>0</v>
      </c>
    </row>
    <row r="2916" spans="2:6" x14ac:dyDescent="0.25">
      <c r="B2916" s="261"/>
      <c r="C2916" s="256"/>
      <c r="D2916" s="257"/>
      <c r="E2916" s="258"/>
      <c r="F2916" s="259">
        <f t="shared" si="153"/>
        <v>0</v>
      </c>
    </row>
    <row r="2917" spans="2:6" x14ac:dyDescent="0.25">
      <c r="B2917" s="261"/>
      <c r="C2917" s="256"/>
      <c r="D2917" s="257"/>
      <c r="E2917" s="258"/>
      <c r="F2917" s="259">
        <f t="shared" si="153"/>
        <v>0</v>
      </c>
    </row>
    <row r="2918" spans="2:6" x14ac:dyDescent="0.25">
      <c r="B2918" s="261"/>
      <c r="C2918" s="256"/>
      <c r="D2918" s="257"/>
      <c r="E2918" s="258"/>
      <c r="F2918" s="259">
        <f t="shared" si="153"/>
        <v>0</v>
      </c>
    </row>
    <row r="2919" spans="2:6" x14ac:dyDescent="0.25">
      <c r="B2919" s="261"/>
      <c r="C2919" s="256"/>
      <c r="D2919" s="257"/>
      <c r="E2919" s="258"/>
      <c r="F2919" s="259">
        <f t="shared" si="153"/>
        <v>0</v>
      </c>
    </row>
    <row r="2920" spans="2:6" x14ac:dyDescent="0.25">
      <c r="B2920" s="261"/>
      <c r="C2920" s="256"/>
      <c r="D2920" s="257"/>
      <c r="E2920" s="258"/>
      <c r="F2920" s="259">
        <f t="shared" si="153"/>
        <v>0</v>
      </c>
    </row>
    <row r="2921" spans="2:6" x14ac:dyDescent="0.25">
      <c r="B2921" s="262"/>
      <c r="C2921" s="263"/>
      <c r="D2921" s="264"/>
      <c r="E2921" s="265"/>
      <c r="F2921" s="259">
        <f t="shared" si="153"/>
        <v>0</v>
      </c>
    </row>
    <row r="2922" spans="2:6" ht="15.75" thickBot="1" x14ac:dyDescent="0.3">
      <c r="B2922" s="611" t="s">
        <v>286</v>
      </c>
      <c r="C2922" s="612"/>
      <c r="D2922" s="612"/>
      <c r="E2922" s="613"/>
      <c r="F2922" s="284">
        <f>SUM(F2910:F2921)</f>
        <v>1200</v>
      </c>
    </row>
    <row r="2923" spans="2:6" x14ac:dyDescent="0.25">
      <c r="B2923" s="594" t="s">
        <v>277</v>
      </c>
      <c r="C2923" s="595"/>
      <c r="D2923" s="595"/>
      <c r="E2923" s="595"/>
      <c r="F2923" s="596"/>
    </row>
    <row r="2924" spans="2:6" x14ac:dyDescent="0.25">
      <c r="B2924" s="266" t="str">
        <f>CUADRILLAS!A83</f>
        <v>Cuadrilla Sobreacarreo, - 2Ayu.</v>
      </c>
      <c r="C2924" s="267" t="s">
        <v>110</v>
      </c>
      <c r="D2924" s="268">
        <v>0.04</v>
      </c>
      <c r="E2924" s="269">
        <f>CUADRILLAS!B83</f>
        <v>141572</v>
      </c>
      <c r="F2924" s="270">
        <f>D2924*E2924</f>
        <v>5662.88</v>
      </c>
    </row>
    <row r="2925" spans="2:6" x14ac:dyDescent="0.25">
      <c r="B2925" s="266"/>
      <c r="C2925" s="267"/>
      <c r="D2925" s="268"/>
      <c r="E2925" s="269"/>
      <c r="F2925" s="270">
        <f>D2925*E2925</f>
        <v>0</v>
      </c>
    </row>
    <row r="2926" spans="2:6" x14ac:dyDescent="0.25">
      <c r="B2926" s="266"/>
      <c r="C2926" s="267"/>
      <c r="D2926" s="268"/>
      <c r="E2926" s="271"/>
      <c r="F2926" s="270">
        <f>D2926*E2926</f>
        <v>0</v>
      </c>
    </row>
    <row r="2927" spans="2:6" x14ac:dyDescent="0.25">
      <c r="B2927" s="272"/>
      <c r="C2927" s="273"/>
      <c r="D2927" s="268"/>
      <c r="E2927" s="271"/>
      <c r="F2927" s="270">
        <f>D2927*E2927</f>
        <v>0</v>
      </c>
    </row>
    <row r="2928" spans="2:6" ht="15.75" thickBot="1" x14ac:dyDescent="0.3">
      <c r="B2928" s="611" t="s">
        <v>287</v>
      </c>
      <c r="C2928" s="612"/>
      <c r="D2928" s="612"/>
      <c r="E2928" s="613"/>
      <c r="F2928" s="274">
        <f>SUM(F2924:F2927)</f>
        <v>5662.88</v>
      </c>
    </row>
    <row r="2929" spans="2:6" x14ac:dyDescent="0.25">
      <c r="B2929" s="594" t="s">
        <v>278</v>
      </c>
      <c r="C2929" s="595"/>
      <c r="D2929" s="595"/>
      <c r="E2929" s="595"/>
      <c r="F2929" s="596"/>
    </row>
    <row r="2930" spans="2:6" x14ac:dyDescent="0.25">
      <c r="B2930" s="272" t="s">
        <v>279</v>
      </c>
      <c r="C2930" s="273" t="s">
        <v>280</v>
      </c>
      <c r="D2930" s="268">
        <v>0.05</v>
      </c>
      <c r="E2930" s="271">
        <f>F2928</f>
        <v>5662.88</v>
      </c>
      <c r="F2930" s="270">
        <f>D2930*E2930</f>
        <v>283.14400000000001</v>
      </c>
    </row>
    <row r="2931" spans="2:6" ht="15.75" thickBot="1" x14ac:dyDescent="0.3">
      <c r="B2931" s="611" t="s">
        <v>288</v>
      </c>
      <c r="C2931" s="612"/>
      <c r="D2931" s="612"/>
      <c r="E2931" s="613"/>
      <c r="F2931" s="274">
        <f>SUM(F2930)</f>
        <v>283.14400000000001</v>
      </c>
    </row>
    <row r="2932" spans="2:6" x14ac:dyDescent="0.25">
      <c r="B2932" s="594" t="s">
        <v>281</v>
      </c>
      <c r="C2932" s="595"/>
      <c r="D2932" s="595"/>
      <c r="E2932" s="595"/>
      <c r="F2932" s="596"/>
    </row>
    <row r="2933" spans="2:6" x14ac:dyDescent="0.25">
      <c r="B2933" s="272"/>
      <c r="C2933" s="273"/>
      <c r="D2933" s="268"/>
      <c r="E2933" s="271"/>
      <c r="F2933" s="259">
        <f t="shared" ref="F2933:F2944" si="154">D2933*E2933</f>
        <v>0</v>
      </c>
    </row>
    <row r="2934" spans="2:6" x14ac:dyDescent="0.25">
      <c r="B2934" s="272"/>
      <c r="C2934" s="273"/>
      <c r="D2934" s="268"/>
      <c r="E2934" s="271"/>
      <c r="F2934" s="259">
        <f t="shared" si="154"/>
        <v>0</v>
      </c>
    </row>
    <row r="2935" spans="2:6" x14ac:dyDescent="0.25">
      <c r="B2935" s="272"/>
      <c r="C2935" s="273"/>
      <c r="D2935" s="268"/>
      <c r="E2935" s="271"/>
      <c r="F2935" s="259">
        <f t="shared" si="154"/>
        <v>0</v>
      </c>
    </row>
    <row r="2936" spans="2:6" x14ac:dyDescent="0.25">
      <c r="B2936" s="272"/>
      <c r="C2936" s="273"/>
      <c r="D2936" s="268"/>
      <c r="E2936" s="271"/>
      <c r="F2936" s="259">
        <f t="shared" si="154"/>
        <v>0</v>
      </c>
    </row>
    <row r="2937" spans="2:6" x14ac:dyDescent="0.25">
      <c r="B2937" s="272"/>
      <c r="C2937" s="273"/>
      <c r="D2937" s="268"/>
      <c r="E2937" s="271"/>
      <c r="F2937" s="259">
        <f t="shared" si="154"/>
        <v>0</v>
      </c>
    </row>
    <row r="2938" spans="2:6" x14ac:dyDescent="0.25">
      <c r="B2938" s="272"/>
      <c r="C2938" s="273"/>
      <c r="D2938" s="268"/>
      <c r="E2938" s="271"/>
      <c r="F2938" s="259">
        <f t="shared" si="154"/>
        <v>0</v>
      </c>
    </row>
    <row r="2939" spans="2:6" x14ac:dyDescent="0.25">
      <c r="B2939" s="272"/>
      <c r="C2939" s="273"/>
      <c r="D2939" s="268"/>
      <c r="E2939" s="271"/>
      <c r="F2939" s="259">
        <f t="shared" si="154"/>
        <v>0</v>
      </c>
    </row>
    <row r="2940" spans="2:6" x14ac:dyDescent="0.25">
      <c r="B2940" s="272"/>
      <c r="C2940" s="273"/>
      <c r="D2940" s="268"/>
      <c r="E2940" s="271"/>
      <c r="F2940" s="259">
        <f t="shared" si="154"/>
        <v>0</v>
      </c>
    </row>
    <row r="2941" spans="2:6" x14ac:dyDescent="0.25">
      <c r="B2941" s="272"/>
      <c r="C2941" s="273"/>
      <c r="D2941" s="268"/>
      <c r="E2941" s="271"/>
      <c r="F2941" s="259">
        <f t="shared" si="154"/>
        <v>0</v>
      </c>
    </row>
    <row r="2942" spans="2:6" x14ac:dyDescent="0.25">
      <c r="B2942" s="272"/>
      <c r="C2942" s="273"/>
      <c r="D2942" s="268"/>
      <c r="E2942" s="271"/>
      <c r="F2942" s="259">
        <f t="shared" si="154"/>
        <v>0</v>
      </c>
    </row>
    <row r="2943" spans="2:6" x14ac:dyDescent="0.25">
      <c r="B2943" s="272"/>
      <c r="C2943" s="273"/>
      <c r="D2943" s="268"/>
      <c r="E2943" s="271"/>
      <c r="F2943" s="259">
        <f t="shared" si="154"/>
        <v>0</v>
      </c>
    </row>
    <row r="2944" spans="2:6" x14ac:dyDescent="0.25">
      <c r="B2944" s="272"/>
      <c r="C2944" s="273"/>
      <c r="D2944" s="268"/>
      <c r="E2944" s="271"/>
      <c r="F2944" s="259">
        <f t="shared" si="154"/>
        <v>0</v>
      </c>
    </row>
    <row r="2945" spans="2:6" ht="15.75" thickBot="1" x14ac:dyDescent="0.3">
      <c r="B2945" s="611" t="s">
        <v>289</v>
      </c>
      <c r="C2945" s="612"/>
      <c r="D2945" s="612"/>
      <c r="E2945" s="613"/>
      <c r="F2945" s="274">
        <f>SUM(F2933:F2944)</f>
        <v>0</v>
      </c>
    </row>
    <row r="2946" spans="2:6" x14ac:dyDescent="0.25">
      <c r="B2946" s="594" t="s">
        <v>290</v>
      </c>
      <c r="C2946" s="595"/>
      <c r="D2946" s="595"/>
      <c r="E2946" s="595"/>
      <c r="F2946" s="596"/>
    </row>
    <row r="2947" spans="2:6" x14ac:dyDescent="0.25">
      <c r="B2947" s="272" t="s">
        <v>942</v>
      </c>
      <c r="C2947" s="273" t="s">
        <v>117</v>
      </c>
      <c r="D2947" s="275">
        <v>0.03</v>
      </c>
      <c r="E2947" s="276">
        <v>15000</v>
      </c>
      <c r="F2947" s="259">
        <f>D2947*E2947</f>
        <v>450</v>
      </c>
    </row>
    <row r="2948" spans="2:6" x14ac:dyDescent="0.25">
      <c r="B2948" s="277"/>
      <c r="C2948" s="278"/>
      <c r="D2948" s="279"/>
      <c r="E2948" s="280"/>
      <c r="F2948" s="259">
        <f>D2948*E2948</f>
        <v>0</v>
      </c>
    </row>
    <row r="2949" spans="2:6" x14ac:dyDescent="0.25">
      <c r="B2949" s="277"/>
      <c r="C2949" s="278"/>
      <c r="D2949" s="279"/>
      <c r="E2949" s="280"/>
      <c r="F2949" s="259">
        <f>D2949*E2949</f>
        <v>0</v>
      </c>
    </row>
    <row r="2950" spans="2:6" ht="15.75" thickBot="1" x14ac:dyDescent="0.3">
      <c r="B2950" s="611" t="s">
        <v>291</v>
      </c>
      <c r="C2950" s="612"/>
      <c r="D2950" s="612"/>
      <c r="E2950" s="613"/>
      <c r="F2950" s="285">
        <f>SUM(F2947:F2949)</f>
        <v>450</v>
      </c>
    </row>
    <row r="2951" spans="2:6" ht="15.75" thickBot="1" x14ac:dyDescent="0.3">
      <c r="B2951" s="600" t="s">
        <v>282</v>
      </c>
      <c r="C2951" s="601"/>
      <c r="D2951" s="601"/>
      <c r="E2951" s="601"/>
      <c r="F2951" s="286">
        <f>ROUND(F2922+F2928+F2931+F2945+F2950,0)</f>
        <v>7596</v>
      </c>
    </row>
    <row r="2952" spans="2:6" ht="15.75" thickBot="1" x14ac:dyDescent="0.3"/>
    <row r="2953" spans="2:6" ht="15.75" thickBot="1" x14ac:dyDescent="0.3">
      <c r="B2953" s="602" t="s">
        <v>276</v>
      </c>
      <c r="C2953" s="603"/>
      <c r="D2953" s="603"/>
      <c r="E2953" s="603"/>
      <c r="F2953" s="604"/>
    </row>
    <row r="2954" spans="2:6" ht="15.75" thickBot="1" x14ac:dyDescent="0.3">
      <c r="B2954" s="605" t="s">
        <v>104</v>
      </c>
      <c r="C2954" s="606"/>
      <c r="D2954" s="607"/>
      <c r="E2954" s="282" t="s">
        <v>105</v>
      </c>
      <c r="F2954" s="283" t="s">
        <v>103</v>
      </c>
    </row>
    <row r="2955" spans="2:6" ht="87.6" customHeight="1" thickBot="1" x14ac:dyDescent="0.3">
      <c r="B2955" s="608" t="str">
        <f>'PRESUPUESTO CALLE 58 SUR'!B82</f>
        <v>Construcción de CAJA EMPALME FILTROS de 1.20X0.80 x altura hasta 0.80 m., (medidas externas), muros de espesor de 10 cm., Losa de Fondo de espesor 20 cm., en concreto de 21Mpa. con impermeabilizante integral tipo Sika o equivalente, con concrefibra el piso. Incluye suministro, transporte e instalación de los materiales, formaleta, vibrado y todos los elementos necesarios apara su correcta construcción y funcionamiento. Según diseño y especificaciones. La excavación, llenos, entresuelo y acero de refuerzo se pagarán en su ítem respectivo.</v>
      </c>
      <c r="C2955" s="609"/>
      <c r="D2955" s="610"/>
      <c r="E2955" s="449" t="str">
        <f>'PRESUPUESTO CALLE 58 SUR'!C82</f>
        <v>un</v>
      </c>
      <c r="F2955" s="448">
        <f>'PRESUPUESTO CALLE 58 SUR'!A82</f>
        <v>12.9</v>
      </c>
    </row>
    <row r="2956" spans="2:6" ht="15.75" thickBot="1" x14ac:dyDescent="0.3">
      <c r="B2956" s="250" t="s">
        <v>8</v>
      </c>
      <c r="C2956" s="251" t="s">
        <v>9</v>
      </c>
      <c r="D2956" s="252" t="s">
        <v>10</v>
      </c>
      <c r="E2956" s="253" t="s">
        <v>283</v>
      </c>
      <c r="F2956" s="254" t="s">
        <v>284</v>
      </c>
    </row>
    <row r="2957" spans="2:6" x14ac:dyDescent="0.25">
      <c r="B2957" s="594" t="s">
        <v>285</v>
      </c>
      <c r="C2957" s="595"/>
      <c r="D2957" s="595"/>
      <c r="E2957" s="595"/>
      <c r="F2957" s="596"/>
    </row>
    <row r="2958" spans="2:6" x14ac:dyDescent="0.25">
      <c r="B2958" s="255" t="str">
        <f>SUBANALISIS!A78</f>
        <v>Concr.en obra 3000 psi 3/4"</v>
      </c>
      <c r="C2958" s="256" t="s">
        <v>117</v>
      </c>
      <c r="D2958" s="485">
        <f>(1.2*0.8*0.2*2+1.2*0.8*2*0.1+0.6*0.8*2*0.1)*1.05</f>
        <v>0.70560000000000012</v>
      </c>
      <c r="E2958" s="258">
        <f>SUBANALISIS!F78</f>
        <v>630810.91779999994</v>
      </c>
      <c r="F2958" s="259">
        <f t="shared" ref="F2958:F2969" si="155">D2958*E2958</f>
        <v>445100.18359968002</v>
      </c>
    </row>
    <row r="2959" spans="2:6" ht="45" x14ac:dyDescent="0.25">
      <c r="B2959" s="260" t="str">
        <f>INSUMOS!B263</f>
        <v>Sika Plastocrete DM Impermeabilizante para concreto. Presentación: 20kg rendimiento: 1% del peso del cemento ó 250 gr / bulto de cemento de 50 kg. + transp.</v>
      </c>
      <c r="C2959" s="256" t="s">
        <v>122</v>
      </c>
      <c r="D2959" s="257">
        <f>+D2958*250*8.5*1.05/1000</f>
        <v>1.5743700000000003</v>
      </c>
      <c r="E2959" s="258">
        <f>INSUMOS!D263</f>
        <v>23934.55</v>
      </c>
      <c r="F2959" s="259">
        <f t="shared" si="155"/>
        <v>37681.837483500007</v>
      </c>
    </row>
    <row r="2960" spans="2:6" ht="33.75" x14ac:dyDescent="0.25">
      <c r="B2960" s="261" t="str">
        <f>INSUMOS!B269</f>
        <v>Fibra Sintética refuerzo concreto X 1.8 kg. Tipo NIKON. + TRANSPORTE, RENDIMIENTO DE 1.8 kg/m3</v>
      </c>
      <c r="C2960" s="256" t="s">
        <v>17</v>
      </c>
      <c r="D2960" s="257">
        <f>1.8*D2958/1.8*1.05</f>
        <v>0.74088000000000021</v>
      </c>
      <c r="E2960" s="258">
        <f>INSUMOS!D269</f>
        <v>96900</v>
      </c>
      <c r="F2960" s="259">
        <f t="shared" si="155"/>
        <v>71791.272000000026</v>
      </c>
    </row>
    <row r="2961" spans="2:6" ht="22.5" x14ac:dyDescent="0.25">
      <c r="B2961" s="261" t="str">
        <f>INSUMOS!B200</f>
        <v>Formaleta Madera (Fenolica similar a supert). (18 mm 183x2.44)+transporte</v>
      </c>
      <c r="C2961" s="256" t="s">
        <v>17</v>
      </c>
      <c r="D2961" s="257">
        <v>0</v>
      </c>
      <c r="E2961" s="258">
        <f>INSUMOS!D200</f>
        <v>264900</v>
      </c>
      <c r="F2961" s="259">
        <f t="shared" si="155"/>
        <v>0</v>
      </c>
    </row>
    <row r="2962" spans="2:6" ht="22.5" x14ac:dyDescent="0.25">
      <c r="B2962" s="261" t="str">
        <f>INSUMOS!B202</f>
        <v>Larguero madera comun 4 cmx8cmx2.80 m. Incluye transporte</v>
      </c>
      <c r="C2962" s="256" t="s">
        <v>17</v>
      </c>
      <c r="D2962" s="257">
        <v>3</v>
      </c>
      <c r="E2962" s="258">
        <f>INSUMOS!D202</f>
        <v>20135</v>
      </c>
      <c r="F2962" s="259">
        <f t="shared" si="155"/>
        <v>60405</v>
      </c>
    </row>
    <row r="2963" spans="2:6" ht="22.5" x14ac:dyDescent="0.25">
      <c r="B2963" s="261" t="str">
        <f>INSUMOS!B248</f>
        <v>Tabla madera común de 2.5 cm x 20cm x 2.80m. Incluye transporte.</v>
      </c>
      <c r="C2963" s="256" t="s">
        <v>17</v>
      </c>
      <c r="D2963" s="257">
        <v>5</v>
      </c>
      <c r="E2963" s="258">
        <f>INSUMOS!D248</f>
        <v>17255</v>
      </c>
      <c r="F2963" s="259">
        <f t="shared" si="155"/>
        <v>86275</v>
      </c>
    </row>
    <row r="2964" spans="2:6" ht="67.5" x14ac:dyDescent="0.25">
      <c r="B2964" s="261" t="str">
        <f>INSUMOS!B214</f>
        <v>Separol o equivalente (Desmoldante para evitar adherencia de concretos a formaletas.Presentación 15Kg. Rendimiento metal :45g/m2 madera:55g/m2 (15 kg)). para metal puro, para madera diluir hasta 5 partes de agua segun porosidad de la madera.</v>
      </c>
      <c r="C2964" s="256" t="s">
        <v>17</v>
      </c>
      <c r="D2964" s="257">
        <f>(1.2*1*4+0.6*1*4)*55*1.05/15000</f>
        <v>2.7719999999999998E-2</v>
      </c>
      <c r="E2964" s="258">
        <f>INSUMOS!D214</f>
        <v>550778</v>
      </c>
      <c r="F2964" s="259">
        <f t="shared" si="155"/>
        <v>15267.566159999998</v>
      </c>
    </row>
    <row r="2965" spans="2:6" x14ac:dyDescent="0.25">
      <c r="B2965" s="261" t="str">
        <f>INSUMOS!B205</f>
        <v>Clavo común x CAJA por 500 gr</v>
      </c>
      <c r="C2965" s="256" t="s">
        <v>17</v>
      </c>
      <c r="D2965" s="257">
        <v>1</v>
      </c>
      <c r="E2965" s="258">
        <f>INSUMOS!E205</f>
        <v>5000</v>
      </c>
      <c r="F2965" s="259">
        <f t="shared" si="155"/>
        <v>5000</v>
      </c>
    </row>
    <row r="2966" spans="2:6" x14ac:dyDescent="0.25">
      <c r="B2966" s="261"/>
      <c r="C2966" s="256"/>
      <c r="D2966" s="257"/>
      <c r="E2966" s="258"/>
      <c r="F2966" s="259">
        <f t="shared" si="155"/>
        <v>0</v>
      </c>
    </row>
    <row r="2967" spans="2:6" x14ac:dyDescent="0.25">
      <c r="B2967" s="261"/>
      <c r="C2967" s="256"/>
      <c r="D2967" s="257"/>
      <c r="E2967" s="258"/>
      <c r="F2967" s="259">
        <f t="shared" si="155"/>
        <v>0</v>
      </c>
    </row>
    <row r="2968" spans="2:6" x14ac:dyDescent="0.25">
      <c r="B2968" s="261"/>
      <c r="C2968" s="256"/>
      <c r="D2968" s="257"/>
      <c r="E2968" s="258"/>
      <c r="F2968" s="259">
        <f t="shared" si="155"/>
        <v>0</v>
      </c>
    </row>
    <row r="2969" spans="2:6" x14ac:dyDescent="0.25">
      <c r="B2969" s="262"/>
      <c r="C2969" s="263"/>
      <c r="D2969" s="264"/>
      <c r="E2969" s="265"/>
      <c r="F2969" s="259">
        <f t="shared" si="155"/>
        <v>0</v>
      </c>
    </row>
    <row r="2970" spans="2:6" ht="15.75" thickBot="1" x14ac:dyDescent="0.3">
      <c r="B2970" s="611" t="s">
        <v>286</v>
      </c>
      <c r="C2970" s="612"/>
      <c r="D2970" s="612"/>
      <c r="E2970" s="613"/>
      <c r="F2970" s="284">
        <f>SUM(F2958:F2969)</f>
        <v>721520.85924318014</v>
      </c>
    </row>
    <row r="2971" spans="2:6" x14ac:dyDescent="0.25">
      <c r="B2971" s="594" t="s">
        <v>277</v>
      </c>
      <c r="C2971" s="595"/>
      <c r="D2971" s="595"/>
      <c r="E2971" s="595"/>
      <c r="F2971" s="596"/>
    </row>
    <row r="2972" spans="2:6" x14ac:dyDescent="0.25">
      <c r="B2972" s="266" t="str">
        <f>CUADRILLAS!A79</f>
        <v>Cuad. 1of + 1ay</v>
      </c>
      <c r="C2972" s="267" t="s">
        <v>110</v>
      </c>
      <c r="D2972" s="268">
        <v>1.5</v>
      </c>
      <c r="E2972" s="269">
        <f>CUADRILLAS!B79</f>
        <v>207851</v>
      </c>
      <c r="F2972" s="270">
        <f>D2972*E2972</f>
        <v>311776.5</v>
      </c>
    </row>
    <row r="2973" spans="2:6" x14ac:dyDescent="0.25">
      <c r="B2973" s="266"/>
      <c r="C2973" s="267"/>
      <c r="D2973" s="268"/>
      <c r="E2973" s="269"/>
      <c r="F2973" s="270">
        <f>D2973*E2973</f>
        <v>0</v>
      </c>
    </row>
    <row r="2974" spans="2:6" x14ac:dyDescent="0.25">
      <c r="B2974" s="266"/>
      <c r="C2974" s="267"/>
      <c r="D2974" s="268"/>
      <c r="E2974" s="271"/>
      <c r="F2974" s="270">
        <f>D2974*E2974</f>
        <v>0</v>
      </c>
    </row>
    <row r="2975" spans="2:6" x14ac:dyDescent="0.25">
      <c r="B2975" s="272"/>
      <c r="C2975" s="273"/>
      <c r="D2975" s="268"/>
      <c r="E2975" s="271"/>
      <c r="F2975" s="270">
        <f>D2975*E2975</f>
        <v>0</v>
      </c>
    </row>
    <row r="2976" spans="2:6" ht="15.75" thickBot="1" x14ac:dyDescent="0.3">
      <c r="B2976" s="611" t="s">
        <v>287</v>
      </c>
      <c r="C2976" s="612"/>
      <c r="D2976" s="612"/>
      <c r="E2976" s="613"/>
      <c r="F2976" s="274">
        <f>SUM(F2972:F2975)</f>
        <v>311776.5</v>
      </c>
    </row>
    <row r="2977" spans="2:6" x14ac:dyDescent="0.25">
      <c r="B2977" s="594" t="s">
        <v>278</v>
      </c>
      <c r="C2977" s="595"/>
      <c r="D2977" s="595"/>
      <c r="E2977" s="595"/>
      <c r="F2977" s="596"/>
    </row>
    <row r="2978" spans="2:6" x14ac:dyDescent="0.25">
      <c r="B2978" s="272" t="s">
        <v>279</v>
      </c>
      <c r="C2978" s="273" t="s">
        <v>280</v>
      </c>
      <c r="D2978" s="268">
        <v>0.05</v>
      </c>
      <c r="E2978" s="271">
        <f>F2976</f>
        <v>311776.5</v>
      </c>
      <c r="F2978" s="270">
        <f>D2978*E2978</f>
        <v>15588.825000000001</v>
      </c>
    </row>
    <row r="2979" spans="2:6" ht="15.75" thickBot="1" x14ac:dyDescent="0.3">
      <c r="B2979" s="611" t="s">
        <v>288</v>
      </c>
      <c r="C2979" s="612"/>
      <c r="D2979" s="612"/>
      <c r="E2979" s="613"/>
      <c r="F2979" s="274">
        <f>SUM(F2978)</f>
        <v>15588.825000000001</v>
      </c>
    </row>
    <row r="2980" spans="2:6" x14ac:dyDescent="0.25">
      <c r="B2980" s="594" t="s">
        <v>281</v>
      </c>
      <c r="C2980" s="595"/>
      <c r="D2980" s="595"/>
      <c r="E2980" s="595"/>
      <c r="F2980" s="596"/>
    </row>
    <row r="2981" spans="2:6" x14ac:dyDescent="0.25">
      <c r="B2981" s="534" t="str">
        <f>INSUMOS!B223</f>
        <v>Sierra circular manual + disco</v>
      </c>
      <c r="C2981" s="527" t="s">
        <v>110</v>
      </c>
      <c r="D2981" s="528">
        <v>0</v>
      </c>
      <c r="E2981" s="535">
        <f>INSUMOS!D223</f>
        <v>35000</v>
      </c>
      <c r="F2981" s="529">
        <f t="shared" ref="F2981:F2989" si="156">D2981*E2981</f>
        <v>0</v>
      </c>
    </row>
    <row r="2982" spans="2:6" x14ac:dyDescent="0.25">
      <c r="B2982" s="272" t="str">
        <f>INSUMOS!B218</f>
        <v xml:space="preserve">Extensión eléctrica encauchetada (50m) </v>
      </c>
      <c r="C2982" s="273" t="s">
        <v>110</v>
      </c>
      <c r="D2982" s="268">
        <v>1.5</v>
      </c>
      <c r="E2982" s="271">
        <f>INSUMOS!F218</f>
        <v>9163</v>
      </c>
      <c r="F2982" s="259">
        <f t="shared" si="156"/>
        <v>13744.5</v>
      </c>
    </row>
    <row r="2983" spans="2:6" x14ac:dyDescent="0.25">
      <c r="B2983" s="272" t="str">
        <f>INSUMOS!B230</f>
        <v>Vibrador eléctrico de aguja a 110 V</v>
      </c>
      <c r="C2983" s="273" t="s">
        <v>110</v>
      </c>
      <c r="D2983" s="268">
        <v>0.5</v>
      </c>
      <c r="E2983" s="271">
        <f>INSUMOS!D230</f>
        <v>48433</v>
      </c>
      <c r="F2983" s="259">
        <f t="shared" si="156"/>
        <v>24216.5</v>
      </c>
    </row>
    <row r="2984" spans="2:6" x14ac:dyDescent="0.25">
      <c r="B2984" s="272"/>
      <c r="C2984" s="273"/>
      <c r="D2984" s="268"/>
      <c r="E2984" s="271"/>
      <c r="F2984" s="259">
        <f t="shared" si="156"/>
        <v>0</v>
      </c>
    </row>
    <row r="2985" spans="2:6" x14ac:dyDescent="0.25">
      <c r="B2985" s="272"/>
      <c r="C2985" s="273"/>
      <c r="D2985" s="268"/>
      <c r="E2985" s="271"/>
      <c r="F2985" s="259">
        <f t="shared" si="156"/>
        <v>0</v>
      </c>
    </row>
    <row r="2986" spans="2:6" x14ac:dyDescent="0.25">
      <c r="B2986" s="272"/>
      <c r="C2986" s="273"/>
      <c r="D2986" s="268"/>
      <c r="E2986" s="271"/>
      <c r="F2986" s="259">
        <f t="shared" si="156"/>
        <v>0</v>
      </c>
    </row>
    <row r="2987" spans="2:6" x14ac:dyDescent="0.25">
      <c r="B2987" s="272"/>
      <c r="C2987" s="273"/>
      <c r="D2987" s="268"/>
      <c r="E2987" s="271"/>
      <c r="F2987" s="259">
        <f t="shared" si="156"/>
        <v>0</v>
      </c>
    </row>
    <row r="2988" spans="2:6" x14ac:dyDescent="0.25">
      <c r="B2988" s="272"/>
      <c r="C2988" s="273"/>
      <c r="D2988" s="268"/>
      <c r="E2988" s="271"/>
      <c r="F2988" s="259">
        <f t="shared" si="156"/>
        <v>0</v>
      </c>
    </row>
    <row r="2989" spans="2:6" x14ac:dyDescent="0.25">
      <c r="B2989" s="272"/>
      <c r="C2989" s="273"/>
      <c r="D2989" s="268"/>
      <c r="E2989" s="271"/>
      <c r="F2989" s="259">
        <f t="shared" si="156"/>
        <v>0</v>
      </c>
    </row>
    <row r="2990" spans="2:6" ht="15.75" thickBot="1" x14ac:dyDescent="0.3">
      <c r="B2990" s="611" t="s">
        <v>289</v>
      </c>
      <c r="C2990" s="612"/>
      <c r="D2990" s="612"/>
      <c r="E2990" s="613"/>
      <c r="F2990" s="274">
        <f>SUM(F2981:F2989)</f>
        <v>37961</v>
      </c>
    </row>
    <row r="2991" spans="2:6" x14ac:dyDescent="0.25">
      <c r="B2991" s="594" t="s">
        <v>290</v>
      </c>
      <c r="C2991" s="595"/>
      <c r="D2991" s="595"/>
      <c r="E2991" s="595"/>
      <c r="F2991" s="596"/>
    </row>
    <row r="2992" spans="2:6" x14ac:dyDescent="0.25">
      <c r="B2992" s="272" t="s">
        <v>883</v>
      </c>
      <c r="C2992" s="273" t="s">
        <v>117</v>
      </c>
      <c r="D2992" s="275">
        <f>D2958*1.84</f>
        <v>1.2983040000000003</v>
      </c>
      <c r="E2992" s="276">
        <f>15000</f>
        <v>15000</v>
      </c>
      <c r="F2992" s="259">
        <f>D2992*E2992</f>
        <v>19474.560000000005</v>
      </c>
    </row>
    <row r="2993" spans="2:6" x14ac:dyDescent="0.25">
      <c r="B2993" s="277"/>
      <c r="C2993" s="278"/>
      <c r="D2993" s="279"/>
      <c r="E2993" s="280"/>
      <c r="F2993" s="259">
        <f>D2993*E2993</f>
        <v>0</v>
      </c>
    </row>
    <row r="2994" spans="2:6" x14ac:dyDescent="0.25">
      <c r="B2994" s="277"/>
      <c r="C2994" s="278"/>
      <c r="D2994" s="279"/>
      <c r="E2994" s="280"/>
      <c r="F2994" s="259">
        <f>D2994*E2994</f>
        <v>0</v>
      </c>
    </row>
    <row r="2995" spans="2:6" ht="15.75" thickBot="1" x14ac:dyDescent="0.3">
      <c r="B2995" s="611" t="s">
        <v>291</v>
      </c>
      <c r="C2995" s="612"/>
      <c r="D2995" s="612"/>
      <c r="E2995" s="613"/>
      <c r="F2995" s="285">
        <f>SUM(F2992:F2994)</f>
        <v>19474.560000000005</v>
      </c>
    </row>
    <row r="2996" spans="2:6" ht="15.75" thickBot="1" x14ac:dyDescent="0.3">
      <c r="B2996" s="600" t="s">
        <v>282</v>
      </c>
      <c r="C2996" s="601"/>
      <c r="D2996" s="601"/>
      <c r="E2996" s="601"/>
      <c r="F2996" s="286">
        <f>ROUND(F2970+F2976+F2979+F2990+F2995,0)</f>
        <v>1106322</v>
      </c>
    </row>
    <row r="2997" spans="2:6" ht="15.75" thickBot="1" x14ac:dyDescent="0.3"/>
    <row r="2998" spans="2:6" ht="15.75" thickBot="1" x14ac:dyDescent="0.3">
      <c r="B2998" s="602" t="s">
        <v>276</v>
      </c>
      <c r="C2998" s="603"/>
      <c r="D2998" s="603"/>
      <c r="E2998" s="603"/>
      <c r="F2998" s="604"/>
    </row>
    <row r="2999" spans="2:6" ht="15.75" thickBot="1" x14ac:dyDescent="0.3">
      <c r="B2999" s="605" t="s">
        <v>104</v>
      </c>
      <c r="C2999" s="606"/>
      <c r="D2999" s="607"/>
      <c r="E2999" s="282" t="s">
        <v>105</v>
      </c>
      <c r="F2999" s="283" t="s">
        <v>103</v>
      </c>
    </row>
    <row r="3000" spans="2:6" ht="55.15" customHeight="1" thickBot="1" x14ac:dyDescent="0.3">
      <c r="B3000" s="608" t="str">
        <f>'PRESUPUESTO CALLE 58 SUR'!B83</f>
        <v>Llenos y acomodada de material proveniente de la excavacion y de derrumbes EN LADERAS DE LA QUEBRADA. El sobre acarreo se  paga en el item respectivo</v>
      </c>
      <c r="C3000" s="609"/>
      <c r="D3000" s="610"/>
      <c r="E3000" s="449" t="str">
        <f>'PRESUPUESTO CALLE 58 SUR'!C83</f>
        <v>m3</v>
      </c>
      <c r="F3000" s="448">
        <f>'PRESUPUESTO CALLE 58 SUR'!A83</f>
        <v>12.1</v>
      </c>
    </row>
    <row r="3001" spans="2:6" ht="15.75" thickBot="1" x14ac:dyDescent="0.3">
      <c r="B3001" s="250" t="s">
        <v>8</v>
      </c>
      <c r="C3001" s="251" t="s">
        <v>9</v>
      </c>
      <c r="D3001" s="252" t="s">
        <v>10</v>
      </c>
      <c r="E3001" s="253" t="s">
        <v>283</v>
      </c>
      <c r="F3001" s="254" t="s">
        <v>284</v>
      </c>
    </row>
    <row r="3002" spans="2:6" x14ac:dyDescent="0.25">
      <c r="B3002" s="594" t="s">
        <v>285</v>
      </c>
      <c r="C3002" s="595"/>
      <c r="D3002" s="595"/>
      <c r="E3002" s="595"/>
      <c r="F3002" s="596"/>
    </row>
    <row r="3003" spans="2:6" x14ac:dyDescent="0.25">
      <c r="B3003" s="255"/>
      <c r="C3003" s="256"/>
      <c r="D3003" s="257"/>
      <c r="E3003" s="258"/>
      <c r="F3003" s="259">
        <f t="shared" ref="F3003:F3014" si="157">D3003*E3003</f>
        <v>0</v>
      </c>
    </row>
    <row r="3004" spans="2:6" x14ac:dyDescent="0.25">
      <c r="B3004" s="260"/>
      <c r="C3004" s="256"/>
      <c r="D3004" s="257"/>
      <c r="E3004" s="258"/>
      <c r="F3004" s="259">
        <f t="shared" si="157"/>
        <v>0</v>
      </c>
    </row>
    <row r="3005" spans="2:6" x14ac:dyDescent="0.25">
      <c r="B3005" s="261"/>
      <c r="C3005" s="256"/>
      <c r="D3005" s="257"/>
      <c r="E3005" s="258"/>
      <c r="F3005" s="259">
        <f t="shared" si="157"/>
        <v>0</v>
      </c>
    </row>
    <row r="3006" spans="2:6" x14ac:dyDescent="0.25">
      <c r="B3006" s="261"/>
      <c r="C3006" s="256"/>
      <c r="D3006" s="257"/>
      <c r="E3006" s="258"/>
      <c r="F3006" s="259">
        <f t="shared" si="157"/>
        <v>0</v>
      </c>
    </row>
    <row r="3007" spans="2:6" x14ac:dyDescent="0.25">
      <c r="B3007" s="261"/>
      <c r="C3007" s="256"/>
      <c r="D3007" s="257"/>
      <c r="E3007" s="258"/>
      <c r="F3007" s="259">
        <f t="shared" si="157"/>
        <v>0</v>
      </c>
    </row>
    <row r="3008" spans="2:6" x14ac:dyDescent="0.25">
      <c r="B3008" s="261"/>
      <c r="C3008" s="256"/>
      <c r="D3008" s="257"/>
      <c r="E3008" s="258"/>
      <c r="F3008" s="259">
        <f t="shared" si="157"/>
        <v>0</v>
      </c>
    </row>
    <row r="3009" spans="2:6" x14ac:dyDescent="0.25">
      <c r="B3009" s="261"/>
      <c r="C3009" s="256"/>
      <c r="D3009" s="257"/>
      <c r="E3009" s="258"/>
      <c r="F3009" s="259">
        <f t="shared" si="157"/>
        <v>0</v>
      </c>
    </row>
    <row r="3010" spans="2:6" x14ac:dyDescent="0.25">
      <c r="B3010" s="261"/>
      <c r="C3010" s="256"/>
      <c r="D3010" s="257"/>
      <c r="E3010" s="258"/>
      <c r="F3010" s="259">
        <f t="shared" si="157"/>
        <v>0</v>
      </c>
    </row>
    <row r="3011" spans="2:6" x14ac:dyDescent="0.25">
      <c r="B3011" s="261"/>
      <c r="C3011" s="256"/>
      <c r="D3011" s="257"/>
      <c r="E3011" s="258"/>
      <c r="F3011" s="259">
        <f t="shared" si="157"/>
        <v>0</v>
      </c>
    </row>
    <row r="3012" spans="2:6" x14ac:dyDescent="0.25">
      <c r="B3012" s="261"/>
      <c r="C3012" s="256"/>
      <c r="D3012" s="257"/>
      <c r="E3012" s="258"/>
      <c r="F3012" s="259">
        <f t="shared" si="157"/>
        <v>0</v>
      </c>
    </row>
    <row r="3013" spans="2:6" x14ac:dyDescent="0.25">
      <c r="B3013" s="261"/>
      <c r="C3013" s="256"/>
      <c r="D3013" s="257"/>
      <c r="E3013" s="258"/>
      <c r="F3013" s="259">
        <f t="shared" si="157"/>
        <v>0</v>
      </c>
    </row>
    <row r="3014" spans="2:6" x14ac:dyDescent="0.25">
      <c r="B3014" s="262"/>
      <c r="C3014" s="263"/>
      <c r="D3014" s="264"/>
      <c r="E3014" s="265"/>
      <c r="F3014" s="259">
        <f t="shared" si="157"/>
        <v>0</v>
      </c>
    </row>
    <row r="3015" spans="2:6" ht="15.75" thickBot="1" x14ac:dyDescent="0.3">
      <c r="B3015" s="611" t="s">
        <v>286</v>
      </c>
      <c r="C3015" s="612"/>
      <c r="D3015" s="612"/>
      <c r="E3015" s="613"/>
      <c r="F3015" s="284">
        <f>SUM(F3003:F3014)</f>
        <v>0</v>
      </c>
    </row>
    <row r="3016" spans="2:6" x14ac:dyDescent="0.25">
      <c r="B3016" s="594" t="s">
        <v>277</v>
      </c>
      <c r="C3016" s="595"/>
      <c r="D3016" s="595"/>
      <c r="E3016" s="595"/>
      <c r="F3016" s="596"/>
    </row>
    <row r="3017" spans="2:6" x14ac:dyDescent="0.25">
      <c r="B3017" s="266" t="str">
        <f>CUADRILLAS!A91</f>
        <v>Cuadrilla Exc y Llenos. (1ayE + 2ay)</v>
      </c>
      <c r="C3017" s="267" t="s">
        <v>110</v>
      </c>
      <c r="D3017" s="268">
        <v>0.1</v>
      </c>
      <c r="E3017" s="269">
        <f>CUADRILLAS!B91</f>
        <v>215672</v>
      </c>
      <c r="F3017" s="270">
        <f>D3017*E3017</f>
        <v>21567.200000000001</v>
      </c>
    </row>
    <row r="3018" spans="2:6" x14ac:dyDescent="0.25">
      <c r="B3018" s="266"/>
      <c r="C3018" s="267"/>
      <c r="D3018" s="268"/>
      <c r="E3018" s="269"/>
      <c r="F3018" s="270">
        <f>D3018*E3018</f>
        <v>0</v>
      </c>
    </row>
    <row r="3019" spans="2:6" x14ac:dyDescent="0.25">
      <c r="B3019" s="266"/>
      <c r="C3019" s="267"/>
      <c r="D3019" s="268"/>
      <c r="E3019" s="271"/>
      <c r="F3019" s="270">
        <f>D3019*E3019</f>
        <v>0</v>
      </c>
    </row>
    <row r="3020" spans="2:6" x14ac:dyDescent="0.25">
      <c r="B3020" s="272"/>
      <c r="C3020" s="273"/>
      <c r="D3020" s="268"/>
      <c r="E3020" s="271"/>
      <c r="F3020" s="270">
        <f>D3020*E3020</f>
        <v>0</v>
      </c>
    </row>
    <row r="3021" spans="2:6" ht="15.75" thickBot="1" x14ac:dyDescent="0.3">
      <c r="B3021" s="611" t="s">
        <v>287</v>
      </c>
      <c r="C3021" s="612"/>
      <c r="D3021" s="612"/>
      <c r="E3021" s="613"/>
      <c r="F3021" s="274">
        <f>SUM(F3017:F3020)</f>
        <v>21567.200000000001</v>
      </c>
    </row>
    <row r="3022" spans="2:6" x14ac:dyDescent="0.25">
      <c r="B3022" s="594" t="s">
        <v>278</v>
      </c>
      <c r="C3022" s="595"/>
      <c r="D3022" s="595"/>
      <c r="E3022" s="595"/>
      <c r="F3022" s="596"/>
    </row>
    <row r="3023" spans="2:6" x14ac:dyDescent="0.25">
      <c r="B3023" s="272" t="s">
        <v>279</v>
      </c>
      <c r="C3023" s="273" t="s">
        <v>280</v>
      </c>
      <c r="D3023" s="268">
        <v>0.05</v>
      </c>
      <c r="E3023" s="271">
        <f>F3021</f>
        <v>21567.200000000001</v>
      </c>
      <c r="F3023" s="270">
        <f>D3023*E3023</f>
        <v>1078.3600000000001</v>
      </c>
    </row>
    <row r="3024" spans="2:6" ht="15.75" thickBot="1" x14ac:dyDescent="0.3">
      <c r="B3024" s="611" t="s">
        <v>288</v>
      </c>
      <c r="C3024" s="612"/>
      <c r="D3024" s="612"/>
      <c r="E3024" s="613"/>
      <c r="F3024" s="274">
        <f>SUM(F3023)</f>
        <v>1078.3600000000001</v>
      </c>
    </row>
    <row r="3025" spans="2:6" x14ac:dyDescent="0.25">
      <c r="B3025" s="594" t="s">
        <v>281</v>
      </c>
      <c r="C3025" s="595"/>
      <c r="D3025" s="595"/>
      <c r="E3025" s="595"/>
      <c r="F3025" s="596"/>
    </row>
    <row r="3026" spans="2:6" x14ac:dyDescent="0.25">
      <c r="B3026" s="272" t="str">
        <f>INSUMOS!B290</f>
        <v>Compactador tipo Canguro. Incluye - transporte.</v>
      </c>
      <c r="C3026" s="273" t="s">
        <v>110</v>
      </c>
      <c r="D3026" s="268">
        <v>0.1</v>
      </c>
      <c r="E3026" s="271">
        <f>INSUMOS!D290</f>
        <v>66640</v>
      </c>
      <c r="F3026" s="259">
        <f t="shared" ref="F3026:F3037" si="158">D3026*E3026</f>
        <v>6664</v>
      </c>
    </row>
    <row r="3027" spans="2:6" x14ac:dyDescent="0.25">
      <c r="B3027" s="272"/>
      <c r="C3027" s="273"/>
      <c r="D3027" s="268"/>
      <c r="E3027" s="271"/>
      <c r="F3027" s="259">
        <f t="shared" si="158"/>
        <v>0</v>
      </c>
    </row>
    <row r="3028" spans="2:6" x14ac:dyDescent="0.25">
      <c r="B3028" s="272"/>
      <c r="C3028" s="273"/>
      <c r="D3028" s="268"/>
      <c r="E3028" s="271"/>
      <c r="F3028" s="259">
        <f t="shared" si="158"/>
        <v>0</v>
      </c>
    </row>
    <row r="3029" spans="2:6" x14ac:dyDescent="0.25">
      <c r="B3029" s="272"/>
      <c r="C3029" s="273"/>
      <c r="D3029" s="268"/>
      <c r="E3029" s="271"/>
      <c r="F3029" s="259">
        <f t="shared" si="158"/>
        <v>0</v>
      </c>
    </row>
    <row r="3030" spans="2:6" x14ac:dyDescent="0.25">
      <c r="B3030" s="272"/>
      <c r="C3030" s="273"/>
      <c r="D3030" s="268"/>
      <c r="E3030" s="271"/>
      <c r="F3030" s="259">
        <f t="shared" si="158"/>
        <v>0</v>
      </c>
    </row>
    <row r="3031" spans="2:6" x14ac:dyDescent="0.25">
      <c r="B3031" s="272"/>
      <c r="C3031" s="273"/>
      <c r="D3031" s="268"/>
      <c r="E3031" s="271"/>
      <c r="F3031" s="259">
        <f t="shared" si="158"/>
        <v>0</v>
      </c>
    </row>
    <row r="3032" spans="2:6" x14ac:dyDescent="0.25">
      <c r="B3032" s="272"/>
      <c r="C3032" s="273"/>
      <c r="D3032" s="268"/>
      <c r="E3032" s="271"/>
      <c r="F3032" s="259">
        <f t="shared" si="158"/>
        <v>0</v>
      </c>
    </row>
    <row r="3033" spans="2:6" x14ac:dyDescent="0.25">
      <c r="B3033" s="272"/>
      <c r="C3033" s="273"/>
      <c r="D3033" s="268"/>
      <c r="E3033" s="271"/>
      <c r="F3033" s="259">
        <f t="shared" si="158"/>
        <v>0</v>
      </c>
    </row>
    <row r="3034" spans="2:6" x14ac:dyDescent="0.25">
      <c r="B3034" s="272"/>
      <c r="C3034" s="273"/>
      <c r="D3034" s="268"/>
      <c r="E3034" s="271"/>
      <c r="F3034" s="259">
        <f t="shared" si="158"/>
        <v>0</v>
      </c>
    </row>
    <row r="3035" spans="2:6" x14ac:dyDescent="0.25">
      <c r="B3035" s="272"/>
      <c r="C3035" s="273"/>
      <c r="D3035" s="268"/>
      <c r="E3035" s="271"/>
      <c r="F3035" s="259">
        <f t="shared" si="158"/>
        <v>0</v>
      </c>
    </row>
    <row r="3036" spans="2:6" x14ac:dyDescent="0.25">
      <c r="B3036" s="272"/>
      <c r="C3036" s="273"/>
      <c r="D3036" s="268"/>
      <c r="E3036" s="271"/>
      <c r="F3036" s="259">
        <f t="shared" si="158"/>
        <v>0</v>
      </c>
    </row>
    <row r="3037" spans="2:6" x14ac:dyDescent="0.25">
      <c r="B3037" s="272"/>
      <c r="C3037" s="273"/>
      <c r="D3037" s="268"/>
      <c r="E3037" s="271"/>
      <c r="F3037" s="259">
        <f t="shared" si="158"/>
        <v>0</v>
      </c>
    </row>
    <row r="3038" spans="2:6" ht="15.75" thickBot="1" x14ac:dyDescent="0.3">
      <c r="B3038" s="611" t="s">
        <v>289</v>
      </c>
      <c r="C3038" s="612"/>
      <c r="D3038" s="612"/>
      <c r="E3038" s="613"/>
      <c r="F3038" s="274">
        <f>SUM(F3026:F3037)</f>
        <v>6664</v>
      </c>
    </row>
    <row r="3039" spans="2:6" x14ac:dyDescent="0.25">
      <c r="B3039" s="594" t="s">
        <v>290</v>
      </c>
      <c r="C3039" s="595"/>
      <c r="D3039" s="595"/>
      <c r="E3039" s="595"/>
      <c r="F3039" s="596"/>
    </row>
    <row r="3040" spans="2:6" x14ac:dyDescent="0.25">
      <c r="B3040" s="272" t="s">
        <v>883</v>
      </c>
      <c r="C3040" s="273" t="s">
        <v>117</v>
      </c>
      <c r="D3040" s="275">
        <v>1.3</v>
      </c>
      <c r="E3040" s="276">
        <v>15000</v>
      </c>
      <c r="F3040" s="259">
        <f>D3040*E3040</f>
        <v>19500</v>
      </c>
    </row>
    <row r="3041" spans="2:6" x14ac:dyDescent="0.25">
      <c r="B3041" s="277"/>
      <c r="C3041" s="278"/>
      <c r="D3041" s="279"/>
      <c r="E3041" s="280"/>
      <c r="F3041" s="259">
        <f>D3041*E3041</f>
        <v>0</v>
      </c>
    </row>
    <row r="3042" spans="2:6" x14ac:dyDescent="0.25">
      <c r="B3042" s="277"/>
      <c r="C3042" s="278"/>
      <c r="D3042" s="279"/>
      <c r="E3042" s="280"/>
      <c r="F3042" s="259">
        <f>D3042*E3042</f>
        <v>0</v>
      </c>
    </row>
    <row r="3043" spans="2:6" ht="15.75" thickBot="1" x14ac:dyDescent="0.3">
      <c r="B3043" s="611" t="s">
        <v>291</v>
      </c>
      <c r="C3043" s="612"/>
      <c r="D3043" s="612"/>
      <c r="E3043" s="613"/>
      <c r="F3043" s="285">
        <f>SUM(F3040:F3042)</f>
        <v>19500</v>
      </c>
    </row>
    <row r="3044" spans="2:6" ht="15.75" thickBot="1" x14ac:dyDescent="0.3">
      <c r="B3044" s="600" t="s">
        <v>282</v>
      </c>
      <c r="C3044" s="601"/>
      <c r="D3044" s="601"/>
      <c r="E3044" s="601"/>
      <c r="F3044" s="286">
        <f>ROUND(F3015+F3021+F3024+F3038+F3043,0)</f>
        <v>48810</v>
      </c>
    </row>
    <row r="3045" spans="2:6" ht="15.75" thickBot="1" x14ac:dyDescent="0.3"/>
    <row r="3046" spans="2:6" ht="15.75" thickBot="1" x14ac:dyDescent="0.3">
      <c r="B3046" s="602" t="s">
        <v>276</v>
      </c>
      <c r="C3046" s="603"/>
      <c r="D3046" s="603"/>
      <c r="E3046" s="603"/>
      <c r="F3046" s="604"/>
    </row>
    <row r="3047" spans="2:6" ht="15.75" thickBot="1" x14ac:dyDescent="0.3">
      <c r="B3047" s="605" t="s">
        <v>104</v>
      </c>
      <c r="C3047" s="606"/>
      <c r="D3047" s="607"/>
      <c r="E3047" s="282" t="s">
        <v>105</v>
      </c>
      <c r="F3047" s="283" t="s">
        <v>103</v>
      </c>
    </row>
    <row r="3048" spans="2:6" ht="15.75" thickBot="1" x14ac:dyDescent="0.3">
      <c r="B3048" s="608">
        <f>'PRESUPUESTO CALLE 58 SUR'!B458</f>
        <v>0</v>
      </c>
      <c r="C3048" s="609"/>
      <c r="D3048" s="610"/>
      <c r="E3048" s="449">
        <f>'PRESUPUESTO CALLE 58 SUR'!C458</f>
        <v>0</v>
      </c>
      <c r="F3048" s="448">
        <f>'PRESUPUESTO CALLE 58 SUR'!A458</f>
        <v>0</v>
      </c>
    </row>
    <row r="3049" spans="2:6" ht="15.75" thickBot="1" x14ac:dyDescent="0.3">
      <c r="B3049" s="250" t="s">
        <v>8</v>
      </c>
      <c r="C3049" s="251" t="s">
        <v>9</v>
      </c>
      <c r="D3049" s="252" t="s">
        <v>10</v>
      </c>
      <c r="E3049" s="253" t="s">
        <v>283</v>
      </c>
      <c r="F3049" s="254" t="s">
        <v>284</v>
      </c>
    </row>
    <row r="3050" spans="2:6" x14ac:dyDescent="0.25">
      <c r="B3050" s="594" t="s">
        <v>285</v>
      </c>
      <c r="C3050" s="595"/>
      <c r="D3050" s="595"/>
      <c r="E3050" s="595"/>
      <c r="F3050" s="596"/>
    </row>
    <row r="3051" spans="2:6" x14ac:dyDescent="0.25">
      <c r="B3051" s="255"/>
      <c r="C3051" s="256"/>
      <c r="D3051" s="257"/>
      <c r="E3051" s="258"/>
      <c r="F3051" s="259">
        <f t="shared" ref="F3051:F3062" si="159">D3051*E3051</f>
        <v>0</v>
      </c>
    </row>
    <row r="3052" spans="2:6" x14ac:dyDescent="0.25">
      <c r="B3052" s="260"/>
      <c r="C3052" s="256"/>
      <c r="D3052" s="257"/>
      <c r="E3052" s="258"/>
      <c r="F3052" s="259">
        <f t="shared" si="159"/>
        <v>0</v>
      </c>
    </row>
    <row r="3053" spans="2:6" x14ac:dyDescent="0.25">
      <c r="B3053" s="261"/>
      <c r="C3053" s="256"/>
      <c r="D3053" s="257"/>
      <c r="E3053" s="258"/>
      <c r="F3053" s="259">
        <f t="shared" si="159"/>
        <v>0</v>
      </c>
    </row>
    <row r="3054" spans="2:6" x14ac:dyDescent="0.25">
      <c r="B3054" s="261"/>
      <c r="C3054" s="256"/>
      <c r="D3054" s="257"/>
      <c r="E3054" s="258"/>
      <c r="F3054" s="259">
        <f t="shared" si="159"/>
        <v>0</v>
      </c>
    </row>
    <row r="3055" spans="2:6" x14ac:dyDescent="0.25">
      <c r="B3055" s="261"/>
      <c r="C3055" s="256"/>
      <c r="D3055" s="257"/>
      <c r="E3055" s="258"/>
      <c r="F3055" s="259">
        <f t="shared" si="159"/>
        <v>0</v>
      </c>
    </row>
    <row r="3056" spans="2:6" x14ac:dyDescent="0.25">
      <c r="B3056" s="261"/>
      <c r="C3056" s="256"/>
      <c r="D3056" s="257"/>
      <c r="E3056" s="258"/>
      <c r="F3056" s="259">
        <f t="shared" si="159"/>
        <v>0</v>
      </c>
    </row>
    <row r="3057" spans="2:6" x14ac:dyDescent="0.25">
      <c r="B3057" s="261"/>
      <c r="C3057" s="256"/>
      <c r="D3057" s="257"/>
      <c r="E3057" s="258"/>
      <c r="F3057" s="259">
        <f t="shared" si="159"/>
        <v>0</v>
      </c>
    </row>
    <row r="3058" spans="2:6" x14ac:dyDescent="0.25">
      <c r="B3058" s="261"/>
      <c r="C3058" s="256"/>
      <c r="D3058" s="257"/>
      <c r="E3058" s="258"/>
      <c r="F3058" s="259">
        <f t="shared" si="159"/>
        <v>0</v>
      </c>
    </row>
    <row r="3059" spans="2:6" x14ac:dyDescent="0.25">
      <c r="B3059" s="261"/>
      <c r="C3059" s="256"/>
      <c r="D3059" s="257"/>
      <c r="E3059" s="258"/>
      <c r="F3059" s="259">
        <f t="shared" si="159"/>
        <v>0</v>
      </c>
    </row>
    <row r="3060" spans="2:6" x14ac:dyDescent="0.25">
      <c r="B3060" s="261"/>
      <c r="C3060" s="256"/>
      <c r="D3060" s="257"/>
      <c r="E3060" s="258"/>
      <c r="F3060" s="259">
        <f t="shared" si="159"/>
        <v>0</v>
      </c>
    </row>
    <row r="3061" spans="2:6" x14ac:dyDescent="0.25">
      <c r="B3061" s="261"/>
      <c r="C3061" s="256"/>
      <c r="D3061" s="257"/>
      <c r="E3061" s="258"/>
      <c r="F3061" s="259">
        <f t="shared" si="159"/>
        <v>0</v>
      </c>
    </row>
    <row r="3062" spans="2:6" x14ac:dyDescent="0.25">
      <c r="B3062" s="262"/>
      <c r="C3062" s="263"/>
      <c r="D3062" s="264"/>
      <c r="E3062" s="265"/>
      <c r="F3062" s="259">
        <f t="shared" si="159"/>
        <v>0</v>
      </c>
    </row>
    <row r="3063" spans="2:6" ht="15.75" thickBot="1" x14ac:dyDescent="0.3">
      <c r="B3063" s="611" t="s">
        <v>286</v>
      </c>
      <c r="C3063" s="612"/>
      <c r="D3063" s="612"/>
      <c r="E3063" s="613"/>
      <c r="F3063" s="284">
        <f>SUM(F3051:F3062)</f>
        <v>0</v>
      </c>
    </row>
    <row r="3064" spans="2:6" x14ac:dyDescent="0.25">
      <c r="B3064" s="594" t="s">
        <v>277</v>
      </c>
      <c r="C3064" s="595"/>
      <c r="D3064" s="595"/>
      <c r="E3064" s="595"/>
      <c r="F3064" s="596"/>
    </row>
    <row r="3065" spans="2:6" x14ac:dyDescent="0.25">
      <c r="B3065" s="266">
        <f>CUADRILLAS!A467</f>
        <v>0</v>
      </c>
      <c r="C3065" s="267" t="s">
        <v>110</v>
      </c>
      <c r="D3065" s="268">
        <v>0.17499999999999999</v>
      </c>
      <c r="E3065" s="269">
        <f>CUADRILLAS!B467</f>
        <v>0</v>
      </c>
      <c r="F3065" s="270">
        <f>D3065*E3065</f>
        <v>0</v>
      </c>
    </row>
    <row r="3066" spans="2:6" x14ac:dyDescent="0.25">
      <c r="B3066" s="266"/>
      <c r="C3066" s="267"/>
      <c r="D3066" s="268"/>
      <c r="E3066" s="269"/>
      <c r="F3066" s="270">
        <f>D3066*E3066</f>
        <v>0</v>
      </c>
    </row>
    <row r="3067" spans="2:6" x14ac:dyDescent="0.25">
      <c r="B3067" s="266"/>
      <c r="C3067" s="267"/>
      <c r="D3067" s="268"/>
      <c r="E3067" s="271"/>
      <c r="F3067" s="270">
        <f>D3067*E3067</f>
        <v>0</v>
      </c>
    </row>
    <row r="3068" spans="2:6" x14ac:dyDescent="0.25">
      <c r="B3068" s="272"/>
      <c r="C3068" s="273"/>
      <c r="D3068" s="268"/>
      <c r="E3068" s="271"/>
      <c r="F3068" s="270">
        <f>D3068*E3068</f>
        <v>0</v>
      </c>
    </row>
    <row r="3069" spans="2:6" ht="15.75" thickBot="1" x14ac:dyDescent="0.3">
      <c r="B3069" s="611" t="s">
        <v>287</v>
      </c>
      <c r="C3069" s="612"/>
      <c r="D3069" s="612"/>
      <c r="E3069" s="613"/>
      <c r="F3069" s="274">
        <f>SUM(F3065:F3068)</f>
        <v>0</v>
      </c>
    </row>
    <row r="3070" spans="2:6" x14ac:dyDescent="0.25">
      <c r="B3070" s="594" t="s">
        <v>278</v>
      </c>
      <c r="C3070" s="595"/>
      <c r="D3070" s="595"/>
      <c r="E3070" s="595"/>
      <c r="F3070" s="596"/>
    </row>
    <row r="3071" spans="2:6" x14ac:dyDescent="0.25">
      <c r="B3071" s="272" t="s">
        <v>279</v>
      </c>
      <c r="C3071" s="273" t="s">
        <v>280</v>
      </c>
      <c r="D3071" s="268">
        <v>0.05</v>
      </c>
      <c r="E3071" s="271">
        <f>F3069</f>
        <v>0</v>
      </c>
      <c r="F3071" s="270">
        <f>D3071*E3071</f>
        <v>0</v>
      </c>
    </row>
    <row r="3072" spans="2:6" ht="15.75" thickBot="1" x14ac:dyDescent="0.3">
      <c r="B3072" s="611" t="s">
        <v>288</v>
      </c>
      <c r="C3072" s="612"/>
      <c r="D3072" s="612"/>
      <c r="E3072" s="613"/>
      <c r="F3072" s="274">
        <f>SUM(F3071)</f>
        <v>0</v>
      </c>
    </row>
    <row r="3073" spans="2:6" x14ac:dyDescent="0.25">
      <c r="B3073" s="594" t="s">
        <v>281</v>
      </c>
      <c r="C3073" s="595"/>
      <c r="D3073" s="595"/>
      <c r="E3073" s="595"/>
      <c r="F3073" s="596"/>
    </row>
    <row r="3074" spans="2:6" x14ac:dyDescent="0.25">
      <c r="B3074" s="272"/>
      <c r="C3074" s="273"/>
      <c r="D3074" s="268"/>
      <c r="E3074" s="271"/>
      <c r="F3074" s="259">
        <f t="shared" ref="F3074:F3085" si="160">D3074*E3074</f>
        <v>0</v>
      </c>
    </row>
    <row r="3075" spans="2:6" x14ac:dyDescent="0.25">
      <c r="B3075" s="272"/>
      <c r="C3075" s="273"/>
      <c r="D3075" s="268"/>
      <c r="E3075" s="271"/>
      <c r="F3075" s="259">
        <f t="shared" si="160"/>
        <v>0</v>
      </c>
    </row>
    <row r="3076" spans="2:6" x14ac:dyDescent="0.25">
      <c r="B3076" s="272"/>
      <c r="C3076" s="273"/>
      <c r="D3076" s="268"/>
      <c r="E3076" s="271"/>
      <c r="F3076" s="259">
        <f t="shared" si="160"/>
        <v>0</v>
      </c>
    </row>
    <row r="3077" spans="2:6" x14ac:dyDescent="0.25">
      <c r="B3077" s="272"/>
      <c r="C3077" s="273"/>
      <c r="D3077" s="268"/>
      <c r="E3077" s="271"/>
      <c r="F3077" s="259">
        <f t="shared" si="160"/>
        <v>0</v>
      </c>
    </row>
    <row r="3078" spans="2:6" x14ac:dyDescent="0.25">
      <c r="B3078" s="272"/>
      <c r="C3078" s="273"/>
      <c r="D3078" s="268"/>
      <c r="E3078" s="271"/>
      <c r="F3078" s="259">
        <f t="shared" si="160"/>
        <v>0</v>
      </c>
    </row>
    <row r="3079" spans="2:6" x14ac:dyDescent="0.25">
      <c r="B3079" s="272"/>
      <c r="C3079" s="273"/>
      <c r="D3079" s="268"/>
      <c r="E3079" s="271"/>
      <c r="F3079" s="259">
        <f t="shared" si="160"/>
        <v>0</v>
      </c>
    </row>
    <row r="3080" spans="2:6" x14ac:dyDescent="0.25">
      <c r="B3080" s="272"/>
      <c r="C3080" s="273"/>
      <c r="D3080" s="268"/>
      <c r="E3080" s="271"/>
      <c r="F3080" s="259">
        <f t="shared" si="160"/>
        <v>0</v>
      </c>
    </row>
    <row r="3081" spans="2:6" x14ac:dyDescent="0.25">
      <c r="B3081" s="272"/>
      <c r="C3081" s="273"/>
      <c r="D3081" s="268"/>
      <c r="E3081" s="271"/>
      <c r="F3081" s="259">
        <f t="shared" si="160"/>
        <v>0</v>
      </c>
    </row>
    <row r="3082" spans="2:6" x14ac:dyDescent="0.25">
      <c r="B3082" s="272"/>
      <c r="C3082" s="273"/>
      <c r="D3082" s="268"/>
      <c r="E3082" s="271"/>
      <c r="F3082" s="259">
        <f t="shared" si="160"/>
        <v>0</v>
      </c>
    </row>
    <row r="3083" spans="2:6" x14ac:dyDescent="0.25">
      <c r="B3083" s="272"/>
      <c r="C3083" s="273"/>
      <c r="D3083" s="268"/>
      <c r="E3083" s="271"/>
      <c r="F3083" s="259">
        <f t="shared" si="160"/>
        <v>0</v>
      </c>
    </row>
    <row r="3084" spans="2:6" x14ac:dyDescent="0.25">
      <c r="B3084" s="272"/>
      <c r="C3084" s="273"/>
      <c r="D3084" s="268"/>
      <c r="E3084" s="271"/>
      <c r="F3084" s="259">
        <f t="shared" si="160"/>
        <v>0</v>
      </c>
    </row>
    <row r="3085" spans="2:6" x14ac:dyDescent="0.25">
      <c r="B3085" s="272"/>
      <c r="C3085" s="273"/>
      <c r="D3085" s="268"/>
      <c r="E3085" s="271"/>
      <c r="F3085" s="259">
        <f t="shared" si="160"/>
        <v>0</v>
      </c>
    </row>
    <row r="3086" spans="2:6" ht="15.75" thickBot="1" x14ac:dyDescent="0.3">
      <c r="B3086" s="611" t="s">
        <v>289</v>
      </c>
      <c r="C3086" s="612"/>
      <c r="D3086" s="612"/>
      <c r="E3086" s="613"/>
      <c r="F3086" s="274">
        <f>SUM(F3074:F3085)</f>
        <v>0</v>
      </c>
    </row>
    <row r="3087" spans="2:6" x14ac:dyDescent="0.25">
      <c r="B3087" s="594" t="s">
        <v>290</v>
      </c>
      <c r="C3087" s="595"/>
      <c r="D3087" s="595"/>
      <c r="E3087" s="595"/>
      <c r="F3087" s="596"/>
    </row>
    <row r="3088" spans="2:6" x14ac:dyDescent="0.25">
      <c r="B3088" s="272" t="s">
        <v>879</v>
      </c>
      <c r="C3088" s="273" t="s">
        <v>117</v>
      </c>
      <c r="D3088" s="275"/>
      <c r="E3088" s="276"/>
      <c r="F3088" s="259">
        <f>D3088*E3088</f>
        <v>0</v>
      </c>
    </row>
    <row r="3089" spans="2:6" x14ac:dyDescent="0.25">
      <c r="B3089" s="277"/>
      <c r="C3089" s="278"/>
      <c r="D3089" s="279"/>
      <c r="E3089" s="280"/>
      <c r="F3089" s="259">
        <f>D3089*E3089</f>
        <v>0</v>
      </c>
    </row>
    <row r="3090" spans="2:6" x14ac:dyDescent="0.25">
      <c r="B3090" s="277"/>
      <c r="C3090" s="278"/>
      <c r="D3090" s="279"/>
      <c r="E3090" s="280"/>
      <c r="F3090" s="259">
        <f>D3090*E3090</f>
        <v>0</v>
      </c>
    </row>
    <row r="3091" spans="2:6" ht="15.75" thickBot="1" x14ac:dyDescent="0.3">
      <c r="B3091" s="611" t="s">
        <v>291</v>
      </c>
      <c r="C3091" s="612"/>
      <c r="D3091" s="612"/>
      <c r="E3091" s="613"/>
      <c r="F3091" s="285">
        <f>SUM(F3088:F3090)</f>
        <v>0</v>
      </c>
    </row>
    <row r="3092" spans="2:6" ht="15.75" thickBot="1" x14ac:dyDescent="0.3">
      <c r="B3092" s="600" t="s">
        <v>282</v>
      </c>
      <c r="C3092" s="601"/>
      <c r="D3092" s="601"/>
      <c r="E3092" s="601"/>
      <c r="F3092" s="286">
        <f>ROUND(F3063+F3069+F3072+F3086+F3091,0)</f>
        <v>0</v>
      </c>
    </row>
    <row r="3093" spans="2:6" ht="15.75" thickBot="1" x14ac:dyDescent="0.3"/>
    <row r="3094" spans="2:6" ht="15.75" thickBot="1" x14ac:dyDescent="0.3">
      <c r="B3094" s="602" t="s">
        <v>276</v>
      </c>
      <c r="C3094" s="603"/>
      <c r="D3094" s="603"/>
      <c r="E3094" s="603"/>
      <c r="F3094" s="604"/>
    </row>
    <row r="3095" spans="2:6" ht="15.75" thickBot="1" x14ac:dyDescent="0.3">
      <c r="B3095" s="605" t="s">
        <v>104</v>
      </c>
      <c r="C3095" s="606"/>
      <c r="D3095" s="607"/>
      <c r="E3095" s="282" t="s">
        <v>105</v>
      </c>
      <c r="F3095" s="283" t="s">
        <v>103</v>
      </c>
    </row>
    <row r="3096" spans="2:6" ht="15.75" thickBot="1" x14ac:dyDescent="0.3">
      <c r="B3096" s="608">
        <f>'PRESUPUESTO CALLE 58 SUR'!B506</f>
        <v>0</v>
      </c>
      <c r="C3096" s="609"/>
      <c r="D3096" s="610"/>
      <c r="E3096" s="449">
        <f>'PRESUPUESTO CALLE 58 SUR'!C506</f>
        <v>0</v>
      </c>
      <c r="F3096" s="448">
        <f>'PRESUPUESTO CALLE 58 SUR'!A506</f>
        <v>0</v>
      </c>
    </row>
    <row r="3097" spans="2:6" ht="15.75" thickBot="1" x14ac:dyDescent="0.3">
      <c r="B3097" s="250" t="s">
        <v>8</v>
      </c>
      <c r="C3097" s="251" t="s">
        <v>9</v>
      </c>
      <c r="D3097" s="252" t="s">
        <v>10</v>
      </c>
      <c r="E3097" s="253" t="s">
        <v>283</v>
      </c>
      <c r="F3097" s="254" t="s">
        <v>284</v>
      </c>
    </row>
    <row r="3098" spans="2:6" x14ac:dyDescent="0.25">
      <c r="B3098" s="594" t="s">
        <v>285</v>
      </c>
      <c r="C3098" s="595"/>
      <c r="D3098" s="595"/>
      <c r="E3098" s="595"/>
      <c r="F3098" s="596"/>
    </row>
    <row r="3099" spans="2:6" x14ac:dyDescent="0.25">
      <c r="B3099" s="255"/>
      <c r="C3099" s="256"/>
      <c r="D3099" s="257"/>
      <c r="E3099" s="258"/>
      <c r="F3099" s="259">
        <f t="shared" ref="F3099:F3110" si="161">D3099*E3099</f>
        <v>0</v>
      </c>
    </row>
    <row r="3100" spans="2:6" x14ac:dyDescent="0.25">
      <c r="B3100" s="260"/>
      <c r="C3100" s="256"/>
      <c r="D3100" s="257"/>
      <c r="E3100" s="258"/>
      <c r="F3100" s="259">
        <f t="shared" si="161"/>
        <v>0</v>
      </c>
    </row>
    <row r="3101" spans="2:6" x14ac:dyDescent="0.25">
      <c r="B3101" s="261"/>
      <c r="C3101" s="256"/>
      <c r="D3101" s="257"/>
      <c r="E3101" s="258"/>
      <c r="F3101" s="259">
        <f t="shared" si="161"/>
        <v>0</v>
      </c>
    </row>
    <row r="3102" spans="2:6" x14ac:dyDescent="0.25">
      <c r="B3102" s="261"/>
      <c r="C3102" s="256"/>
      <c r="D3102" s="257"/>
      <c r="E3102" s="258"/>
      <c r="F3102" s="259">
        <f t="shared" si="161"/>
        <v>0</v>
      </c>
    </row>
    <row r="3103" spans="2:6" x14ac:dyDescent="0.25">
      <c r="B3103" s="261"/>
      <c r="C3103" s="256"/>
      <c r="D3103" s="257"/>
      <c r="E3103" s="258"/>
      <c r="F3103" s="259">
        <f t="shared" si="161"/>
        <v>0</v>
      </c>
    </row>
    <row r="3104" spans="2:6" x14ac:dyDescent="0.25">
      <c r="B3104" s="261"/>
      <c r="C3104" s="256"/>
      <c r="D3104" s="257"/>
      <c r="E3104" s="258"/>
      <c r="F3104" s="259">
        <f t="shared" si="161"/>
        <v>0</v>
      </c>
    </row>
    <row r="3105" spans="2:6" x14ac:dyDescent="0.25">
      <c r="B3105" s="261"/>
      <c r="C3105" s="256"/>
      <c r="D3105" s="257"/>
      <c r="E3105" s="258"/>
      <c r="F3105" s="259">
        <f t="shared" si="161"/>
        <v>0</v>
      </c>
    </row>
    <row r="3106" spans="2:6" x14ac:dyDescent="0.25">
      <c r="B3106" s="261"/>
      <c r="C3106" s="256"/>
      <c r="D3106" s="257"/>
      <c r="E3106" s="258"/>
      <c r="F3106" s="259">
        <f t="shared" si="161"/>
        <v>0</v>
      </c>
    </row>
    <row r="3107" spans="2:6" x14ac:dyDescent="0.25">
      <c r="B3107" s="261"/>
      <c r="C3107" s="256"/>
      <c r="D3107" s="257"/>
      <c r="E3107" s="258"/>
      <c r="F3107" s="259">
        <f t="shared" si="161"/>
        <v>0</v>
      </c>
    </row>
    <row r="3108" spans="2:6" x14ac:dyDescent="0.25">
      <c r="B3108" s="261"/>
      <c r="C3108" s="256"/>
      <c r="D3108" s="257"/>
      <c r="E3108" s="258"/>
      <c r="F3108" s="259">
        <f t="shared" si="161"/>
        <v>0</v>
      </c>
    </row>
    <row r="3109" spans="2:6" x14ac:dyDescent="0.25">
      <c r="B3109" s="261"/>
      <c r="C3109" s="256"/>
      <c r="D3109" s="257"/>
      <c r="E3109" s="258"/>
      <c r="F3109" s="259">
        <f t="shared" si="161"/>
        <v>0</v>
      </c>
    </row>
    <row r="3110" spans="2:6" x14ac:dyDescent="0.25">
      <c r="B3110" s="262"/>
      <c r="C3110" s="263"/>
      <c r="D3110" s="264"/>
      <c r="E3110" s="265"/>
      <c r="F3110" s="259">
        <f t="shared" si="161"/>
        <v>0</v>
      </c>
    </row>
    <row r="3111" spans="2:6" ht="15.75" thickBot="1" x14ac:dyDescent="0.3">
      <c r="B3111" s="611" t="s">
        <v>286</v>
      </c>
      <c r="C3111" s="612"/>
      <c r="D3111" s="612"/>
      <c r="E3111" s="613"/>
      <c r="F3111" s="284">
        <f>SUM(F3099:F3110)</f>
        <v>0</v>
      </c>
    </row>
    <row r="3112" spans="2:6" x14ac:dyDescent="0.25">
      <c r="B3112" s="594" t="s">
        <v>277</v>
      </c>
      <c r="C3112" s="595"/>
      <c r="D3112" s="595"/>
      <c r="E3112" s="595"/>
      <c r="F3112" s="596"/>
    </row>
    <row r="3113" spans="2:6" x14ac:dyDescent="0.25">
      <c r="B3113" s="266">
        <f>CUADRILLAS!A515</f>
        <v>0</v>
      </c>
      <c r="C3113" s="267" t="s">
        <v>110</v>
      </c>
      <c r="D3113" s="268">
        <v>0.17499999999999999</v>
      </c>
      <c r="E3113" s="269">
        <f>CUADRILLAS!B515</f>
        <v>0</v>
      </c>
      <c r="F3113" s="270">
        <f>D3113*E3113</f>
        <v>0</v>
      </c>
    </row>
    <row r="3114" spans="2:6" x14ac:dyDescent="0.25">
      <c r="B3114" s="266"/>
      <c r="C3114" s="267"/>
      <c r="D3114" s="268"/>
      <c r="E3114" s="269"/>
      <c r="F3114" s="270">
        <f>D3114*E3114</f>
        <v>0</v>
      </c>
    </row>
    <row r="3115" spans="2:6" x14ac:dyDescent="0.25">
      <c r="B3115" s="266"/>
      <c r="C3115" s="267"/>
      <c r="D3115" s="268"/>
      <c r="E3115" s="271"/>
      <c r="F3115" s="270">
        <f>D3115*E3115</f>
        <v>0</v>
      </c>
    </row>
    <row r="3116" spans="2:6" x14ac:dyDescent="0.25">
      <c r="B3116" s="272"/>
      <c r="C3116" s="273"/>
      <c r="D3116" s="268"/>
      <c r="E3116" s="271"/>
      <c r="F3116" s="270">
        <f>D3116*E3116</f>
        <v>0</v>
      </c>
    </row>
    <row r="3117" spans="2:6" ht="15.75" thickBot="1" x14ac:dyDescent="0.3">
      <c r="B3117" s="611" t="s">
        <v>287</v>
      </c>
      <c r="C3117" s="612"/>
      <c r="D3117" s="612"/>
      <c r="E3117" s="613"/>
      <c r="F3117" s="274">
        <f>SUM(F3113:F3116)</f>
        <v>0</v>
      </c>
    </row>
    <row r="3118" spans="2:6" x14ac:dyDescent="0.25">
      <c r="B3118" s="594" t="s">
        <v>278</v>
      </c>
      <c r="C3118" s="595"/>
      <c r="D3118" s="595"/>
      <c r="E3118" s="595"/>
      <c r="F3118" s="596"/>
    </row>
    <row r="3119" spans="2:6" x14ac:dyDescent="0.25">
      <c r="B3119" s="272" t="s">
        <v>279</v>
      </c>
      <c r="C3119" s="273" t="s">
        <v>280</v>
      </c>
      <c r="D3119" s="268">
        <v>0.05</v>
      </c>
      <c r="E3119" s="271">
        <f>F3117</f>
        <v>0</v>
      </c>
      <c r="F3119" s="270">
        <f>D3119*E3119</f>
        <v>0</v>
      </c>
    </row>
    <row r="3120" spans="2:6" ht="15.75" thickBot="1" x14ac:dyDescent="0.3">
      <c r="B3120" s="611" t="s">
        <v>288</v>
      </c>
      <c r="C3120" s="612"/>
      <c r="D3120" s="612"/>
      <c r="E3120" s="613"/>
      <c r="F3120" s="274">
        <f>SUM(F3119)</f>
        <v>0</v>
      </c>
    </row>
    <row r="3121" spans="2:6" x14ac:dyDescent="0.25">
      <c r="B3121" s="594" t="s">
        <v>281</v>
      </c>
      <c r="C3121" s="595"/>
      <c r="D3121" s="595"/>
      <c r="E3121" s="595"/>
      <c r="F3121" s="596"/>
    </row>
    <row r="3122" spans="2:6" x14ac:dyDescent="0.25">
      <c r="B3122" s="272"/>
      <c r="C3122" s="273"/>
      <c r="D3122" s="268"/>
      <c r="E3122" s="271"/>
      <c r="F3122" s="259">
        <f t="shared" ref="F3122:F3133" si="162">D3122*E3122</f>
        <v>0</v>
      </c>
    </row>
    <row r="3123" spans="2:6" x14ac:dyDescent="0.25">
      <c r="B3123" s="272"/>
      <c r="C3123" s="273"/>
      <c r="D3123" s="268"/>
      <c r="E3123" s="271"/>
      <c r="F3123" s="259">
        <f t="shared" si="162"/>
        <v>0</v>
      </c>
    </row>
    <row r="3124" spans="2:6" x14ac:dyDescent="0.25">
      <c r="B3124" s="272"/>
      <c r="C3124" s="273"/>
      <c r="D3124" s="268"/>
      <c r="E3124" s="271"/>
      <c r="F3124" s="259">
        <f t="shared" si="162"/>
        <v>0</v>
      </c>
    </row>
    <row r="3125" spans="2:6" x14ac:dyDescent="0.25">
      <c r="B3125" s="272"/>
      <c r="C3125" s="273"/>
      <c r="D3125" s="268"/>
      <c r="E3125" s="271"/>
      <c r="F3125" s="259">
        <f t="shared" si="162"/>
        <v>0</v>
      </c>
    </row>
    <row r="3126" spans="2:6" x14ac:dyDescent="0.25">
      <c r="B3126" s="272"/>
      <c r="C3126" s="273"/>
      <c r="D3126" s="268"/>
      <c r="E3126" s="271"/>
      <c r="F3126" s="259">
        <f t="shared" si="162"/>
        <v>0</v>
      </c>
    </row>
    <row r="3127" spans="2:6" x14ac:dyDescent="0.25">
      <c r="B3127" s="272"/>
      <c r="C3127" s="273"/>
      <c r="D3127" s="268"/>
      <c r="E3127" s="271"/>
      <c r="F3127" s="259">
        <f t="shared" si="162"/>
        <v>0</v>
      </c>
    </row>
    <row r="3128" spans="2:6" x14ac:dyDescent="0.25">
      <c r="B3128" s="272"/>
      <c r="C3128" s="273"/>
      <c r="D3128" s="268"/>
      <c r="E3128" s="271"/>
      <c r="F3128" s="259">
        <f t="shared" si="162"/>
        <v>0</v>
      </c>
    </row>
    <row r="3129" spans="2:6" x14ac:dyDescent="0.25">
      <c r="B3129" s="272"/>
      <c r="C3129" s="273"/>
      <c r="D3129" s="268"/>
      <c r="E3129" s="271"/>
      <c r="F3129" s="259">
        <f t="shared" si="162"/>
        <v>0</v>
      </c>
    </row>
    <row r="3130" spans="2:6" x14ac:dyDescent="0.25">
      <c r="B3130" s="272"/>
      <c r="C3130" s="273"/>
      <c r="D3130" s="268"/>
      <c r="E3130" s="271"/>
      <c r="F3130" s="259">
        <f t="shared" si="162"/>
        <v>0</v>
      </c>
    </row>
    <row r="3131" spans="2:6" x14ac:dyDescent="0.25">
      <c r="B3131" s="272"/>
      <c r="C3131" s="273"/>
      <c r="D3131" s="268"/>
      <c r="E3131" s="271"/>
      <c r="F3131" s="259">
        <f t="shared" si="162"/>
        <v>0</v>
      </c>
    </row>
    <row r="3132" spans="2:6" x14ac:dyDescent="0.25">
      <c r="B3132" s="272"/>
      <c r="C3132" s="273"/>
      <c r="D3132" s="268"/>
      <c r="E3132" s="271"/>
      <c r="F3132" s="259">
        <f t="shared" si="162"/>
        <v>0</v>
      </c>
    </row>
    <row r="3133" spans="2:6" x14ac:dyDescent="0.25">
      <c r="B3133" s="272"/>
      <c r="C3133" s="273"/>
      <c r="D3133" s="268"/>
      <c r="E3133" s="271"/>
      <c r="F3133" s="259">
        <f t="shared" si="162"/>
        <v>0</v>
      </c>
    </row>
    <row r="3134" spans="2:6" ht="15.75" thickBot="1" x14ac:dyDescent="0.3">
      <c r="B3134" s="611" t="s">
        <v>289</v>
      </c>
      <c r="C3134" s="612"/>
      <c r="D3134" s="612"/>
      <c r="E3134" s="613"/>
      <c r="F3134" s="274">
        <f>SUM(F3122:F3133)</f>
        <v>0</v>
      </c>
    </row>
    <row r="3135" spans="2:6" x14ac:dyDescent="0.25">
      <c r="B3135" s="594" t="s">
        <v>290</v>
      </c>
      <c r="C3135" s="595"/>
      <c r="D3135" s="595"/>
      <c r="E3135" s="595"/>
      <c r="F3135" s="596"/>
    </row>
    <row r="3136" spans="2:6" x14ac:dyDescent="0.25">
      <c r="B3136" s="272" t="s">
        <v>879</v>
      </c>
      <c r="C3136" s="273" t="s">
        <v>117</v>
      </c>
      <c r="D3136" s="275"/>
      <c r="E3136" s="276"/>
      <c r="F3136" s="259">
        <f>D3136*E3136</f>
        <v>0</v>
      </c>
    </row>
    <row r="3137" spans="2:6" x14ac:dyDescent="0.25">
      <c r="B3137" s="277"/>
      <c r="C3137" s="278"/>
      <c r="D3137" s="279"/>
      <c r="E3137" s="280"/>
      <c r="F3137" s="259">
        <f>D3137*E3137</f>
        <v>0</v>
      </c>
    </row>
    <row r="3138" spans="2:6" x14ac:dyDescent="0.25">
      <c r="B3138" s="277"/>
      <c r="C3138" s="278"/>
      <c r="D3138" s="279"/>
      <c r="E3138" s="280"/>
      <c r="F3138" s="259">
        <f>D3138*E3138</f>
        <v>0</v>
      </c>
    </row>
    <row r="3139" spans="2:6" ht="15.75" thickBot="1" x14ac:dyDescent="0.3">
      <c r="B3139" s="611" t="s">
        <v>291</v>
      </c>
      <c r="C3139" s="612"/>
      <c r="D3139" s="612"/>
      <c r="E3139" s="613"/>
      <c r="F3139" s="285">
        <f>SUM(F3136:F3138)</f>
        <v>0</v>
      </c>
    </row>
    <row r="3140" spans="2:6" ht="15.75" thickBot="1" x14ac:dyDescent="0.3">
      <c r="B3140" s="600" t="s">
        <v>282</v>
      </c>
      <c r="C3140" s="601"/>
      <c r="D3140" s="601"/>
      <c r="E3140" s="601"/>
      <c r="F3140" s="286">
        <f>ROUND(F3111+F3117+F3120+F3134+F3139,0)</f>
        <v>0</v>
      </c>
    </row>
    <row r="3141" spans="2:6" ht="15.75" thickBot="1" x14ac:dyDescent="0.3"/>
    <row r="3142" spans="2:6" ht="15.75" thickBot="1" x14ac:dyDescent="0.3">
      <c r="B3142" s="602" t="s">
        <v>276</v>
      </c>
      <c r="C3142" s="603"/>
      <c r="D3142" s="603"/>
      <c r="E3142" s="603"/>
      <c r="F3142" s="604"/>
    </row>
    <row r="3143" spans="2:6" ht="15.75" thickBot="1" x14ac:dyDescent="0.3">
      <c r="B3143" s="605" t="s">
        <v>104</v>
      </c>
      <c r="C3143" s="606"/>
      <c r="D3143" s="607"/>
      <c r="E3143" s="282" t="s">
        <v>105</v>
      </c>
      <c r="F3143" s="283" t="s">
        <v>103</v>
      </c>
    </row>
    <row r="3144" spans="2:6" ht="15.75" thickBot="1" x14ac:dyDescent="0.3">
      <c r="B3144" s="608">
        <f>'PRESUPUESTO CALLE 58 SUR'!B554</f>
        <v>0</v>
      </c>
      <c r="C3144" s="609"/>
      <c r="D3144" s="610"/>
      <c r="E3144" s="449">
        <f>'PRESUPUESTO CALLE 58 SUR'!C554</f>
        <v>0</v>
      </c>
      <c r="F3144" s="448">
        <f>'PRESUPUESTO CALLE 58 SUR'!A554</f>
        <v>0</v>
      </c>
    </row>
    <row r="3145" spans="2:6" ht="15.75" thickBot="1" x14ac:dyDescent="0.3">
      <c r="B3145" s="250" t="s">
        <v>8</v>
      </c>
      <c r="C3145" s="251" t="s">
        <v>9</v>
      </c>
      <c r="D3145" s="252" t="s">
        <v>10</v>
      </c>
      <c r="E3145" s="253" t="s">
        <v>283</v>
      </c>
      <c r="F3145" s="254" t="s">
        <v>284</v>
      </c>
    </row>
    <row r="3146" spans="2:6" x14ac:dyDescent="0.25">
      <c r="B3146" s="594" t="s">
        <v>285</v>
      </c>
      <c r="C3146" s="595"/>
      <c r="D3146" s="595"/>
      <c r="E3146" s="595"/>
      <c r="F3146" s="596"/>
    </row>
    <row r="3147" spans="2:6" x14ac:dyDescent="0.25">
      <c r="B3147" s="255"/>
      <c r="C3147" s="256"/>
      <c r="D3147" s="257"/>
      <c r="E3147" s="258"/>
      <c r="F3147" s="259">
        <f t="shared" ref="F3147:F3158" si="163">D3147*E3147</f>
        <v>0</v>
      </c>
    </row>
    <row r="3148" spans="2:6" x14ac:dyDescent="0.25">
      <c r="B3148" s="260"/>
      <c r="C3148" s="256"/>
      <c r="D3148" s="257"/>
      <c r="E3148" s="258"/>
      <c r="F3148" s="259">
        <f t="shared" si="163"/>
        <v>0</v>
      </c>
    </row>
    <row r="3149" spans="2:6" x14ac:dyDescent="0.25">
      <c r="B3149" s="261"/>
      <c r="C3149" s="256"/>
      <c r="D3149" s="257"/>
      <c r="E3149" s="258"/>
      <c r="F3149" s="259">
        <f t="shared" si="163"/>
        <v>0</v>
      </c>
    </row>
    <row r="3150" spans="2:6" x14ac:dyDescent="0.25">
      <c r="B3150" s="261"/>
      <c r="C3150" s="256"/>
      <c r="D3150" s="257"/>
      <c r="E3150" s="258"/>
      <c r="F3150" s="259">
        <f t="shared" si="163"/>
        <v>0</v>
      </c>
    </row>
    <row r="3151" spans="2:6" x14ac:dyDescent="0.25">
      <c r="B3151" s="261"/>
      <c r="C3151" s="256"/>
      <c r="D3151" s="257"/>
      <c r="E3151" s="258"/>
      <c r="F3151" s="259">
        <f t="shared" si="163"/>
        <v>0</v>
      </c>
    </row>
    <row r="3152" spans="2:6" x14ac:dyDescent="0.25">
      <c r="B3152" s="261"/>
      <c r="C3152" s="256"/>
      <c r="D3152" s="257"/>
      <c r="E3152" s="258"/>
      <c r="F3152" s="259">
        <f t="shared" si="163"/>
        <v>0</v>
      </c>
    </row>
    <row r="3153" spans="2:6" x14ac:dyDescent="0.25">
      <c r="B3153" s="261"/>
      <c r="C3153" s="256"/>
      <c r="D3153" s="257"/>
      <c r="E3153" s="258"/>
      <c r="F3153" s="259">
        <f t="shared" si="163"/>
        <v>0</v>
      </c>
    </row>
    <row r="3154" spans="2:6" x14ac:dyDescent="0.25">
      <c r="B3154" s="261"/>
      <c r="C3154" s="256"/>
      <c r="D3154" s="257"/>
      <c r="E3154" s="258"/>
      <c r="F3154" s="259">
        <f t="shared" si="163"/>
        <v>0</v>
      </c>
    </row>
    <row r="3155" spans="2:6" x14ac:dyDescent="0.25">
      <c r="B3155" s="261"/>
      <c r="C3155" s="256"/>
      <c r="D3155" s="257"/>
      <c r="E3155" s="258"/>
      <c r="F3155" s="259">
        <f t="shared" si="163"/>
        <v>0</v>
      </c>
    </row>
    <row r="3156" spans="2:6" x14ac:dyDescent="0.25">
      <c r="B3156" s="261"/>
      <c r="C3156" s="256"/>
      <c r="D3156" s="257"/>
      <c r="E3156" s="258"/>
      <c r="F3156" s="259">
        <f t="shared" si="163"/>
        <v>0</v>
      </c>
    </row>
    <row r="3157" spans="2:6" x14ac:dyDescent="0.25">
      <c r="B3157" s="261"/>
      <c r="C3157" s="256"/>
      <c r="D3157" s="257"/>
      <c r="E3157" s="258"/>
      <c r="F3157" s="259">
        <f t="shared" si="163"/>
        <v>0</v>
      </c>
    </row>
    <row r="3158" spans="2:6" x14ac:dyDescent="0.25">
      <c r="B3158" s="262"/>
      <c r="C3158" s="263"/>
      <c r="D3158" s="264"/>
      <c r="E3158" s="265"/>
      <c r="F3158" s="259">
        <f t="shared" si="163"/>
        <v>0</v>
      </c>
    </row>
    <row r="3159" spans="2:6" ht="15.75" thickBot="1" x14ac:dyDescent="0.3">
      <c r="B3159" s="611" t="s">
        <v>286</v>
      </c>
      <c r="C3159" s="612"/>
      <c r="D3159" s="612"/>
      <c r="E3159" s="613"/>
      <c r="F3159" s="284">
        <f>SUM(F3147:F3158)</f>
        <v>0</v>
      </c>
    </row>
    <row r="3160" spans="2:6" x14ac:dyDescent="0.25">
      <c r="B3160" s="594" t="s">
        <v>277</v>
      </c>
      <c r="C3160" s="595"/>
      <c r="D3160" s="595"/>
      <c r="E3160" s="595"/>
      <c r="F3160" s="596"/>
    </row>
    <row r="3161" spans="2:6" x14ac:dyDescent="0.25">
      <c r="B3161" s="266">
        <f>CUADRILLAS!A563</f>
        <v>0</v>
      </c>
      <c r="C3161" s="267" t="s">
        <v>110</v>
      </c>
      <c r="D3161" s="268">
        <v>0.17499999999999999</v>
      </c>
      <c r="E3161" s="269">
        <f>CUADRILLAS!B563</f>
        <v>0</v>
      </c>
      <c r="F3161" s="270">
        <f>D3161*E3161</f>
        <v>0</v>
      </c>
    </row>
    <row r="3162" spans="2:6" x14ac:dyDescent="0.25">
      <c r="B3162" s="266"/>
      <c r="C3162" s="267"/>
      <c r="D3162" s="268"/>
      <c r="E3162" s="269"/>
      <c r="F3162" s="270">
        <f>D3162*E3162</f>
        <v>0</v>
      </c>
    </row>
    <row r="3163" spans="2:6" x14ac:dyDescent="0.25">
      <c r="B3163" s="266"/>
      <c r="C3163" s="267"/>
      <c r="D3163" s="268"/>
      <c r="E3163" s="271"/>
      <c r="F3163" s="270">
        <f>D3163*E3163</f>
        <v>0</v>
      </c>
    </row>
    <row r="3164" spans="2:6" x14ac:dyDescent="0.25">
      <c r="B3164" s="272"/>
      <c r="C3164" s="273"/>
      <c r="D3164" s="268"/>
      <c r="E3164" s="271"/>
      <c r="F3164" s="270">
        <f>D3164*E3164</f>
        <v>0</v>
      </c>
    </row>
    <row r="3165" spans="2:6" ht="15.75" thickBot="1" x14ac:dyDescent="0.3">
      <c r="B3165" s="611" t="s">
        <v>287</v>
      </c>
      <c r="C3165" s="612"/>
      <c r="D3165" s="612"/>
      <c r="E3165" s="613"/>
      <c r="F3165" s="274">
        <f>SUM(F3161:F3164)</f>
        <v>0</v>
      </c>
    </row>
    <row r="3166" spans="2:6" x14ac:dyDescent="0.25">
      <c r="B3166" s="594" t="s">
        <v>278</v>
      </c>
      <c r="C3166" s="595"/>
      <c r="D3166" s="595"/>
      <c r="E3166" s="595"/>
      <c r="F3166" s="596"/>
    </row>
    <row r="3167" spans="2:6" x14ac:dyDescent="0.25">
      <c r="B3167" s="272" t="s">
        <v>279</v>
      </c>
      <c r="C3167" s="273" t="s">
        <v>280</v>
      </c>
      <c r="D3167" s="268">
        <v>0.05</v>
      </c>
      <c r="E3167" s="271">
        <f>F3165</f>
        <v>0</v>
      </c>
      <c r="F3167" s="270">
        <f>D3167*E3167</f>
        <v>0</v>
      </c>
    </row>
    <row r="3168" spans="2:6" ht="15.75" thickBot="1" x14ac:dyDescent="0.3">
      <c r="B3168" s="611" t="s">
        <v>288</v>
      </c>
      <c r="C3168" s="612"/>
      <c r="D3168" s="612"/>
      <c r="E3168" s="613"/>
      <c r="F3168" s="274">
        <f>SUM(F3167)</f>
        <v>0</v>
      </c>
    </row>
    <row r="3169" spans="2:6" x14ac:dyDescent="0.25">
      <c r="B3169" s="594" t="s">
        <v>281</v>
      </c>
      <c r="C3169" s="595"/>
      <c r="D3169" s="595"/>
      <c r="E3169" s="595"/>
      <c r="F3169" s="596"/>
    </row>
    <row r="3170" spans="2:6" x14ac:dyDescent="0.25">
      <c r="B3170" s="272"/>
      <c r="C3170" s="273"/>
      <c r="D3170" s="268"/>
      <c r="E3170" s="271"/>
      <c r="F3170" s="259">
        <f t="shared" ref="F3170:F3181" si="164">D3170*E3170</f>
        <v>0</v>
      </c>
    </row>
    <row r="3171" spans="2:6" x14ac:dyDescent="0.25">
      <c r="B3171" s="272"/>
      <c r="C3171" s="273"/>
      <c r="D3171" s="268"/>
      <c r="E3171" s="271"/>
      <c r="F3171" s="259">
        <f t="shared" si="164"/>
        <v>0</v>
      </c>
    </row>
    <row r="3172" spans="2:6" x14ac:dyDescent="0.25">
      <c r="B3172" s="272"/>
      <c r="C3172" s="273"/>
      <c r="D3172" s="268"/>
      <c r="E3172" s="271"/>
      <c r="F3172" s="259">
        <f t="shared" si="164"/>
        <v>0</v>
      </c>
    </row>
    <row r="3173" spans="2:6" x14ac:dyDescent="0.25">
      <c r="B3173" s="272"/>
      <c r="C3173" s="273"/>
      <c r="D3173" s="268"/>
      <c r="E3173" s="271"/>
      <c r="F3173" s="259">
        <f t="shared" si="164"/>
        <v>0</v>
      </c>
    </row>
    <row r="3174" spans="2:6" x14ac:dyDescent="0.25">
      <c r="B3174" s="272"/>
      <c r="C3174" s="273"/>
      <c r="D3174" s="268"/>
      <c r="E3174" s="271"/>
      <c r="F3174" s="259">
        <f t="shared" si="164"/>
        <v>0</v>
      </c>
    </row>
    <row r="3175" spans="2:6" x14ac:dyDescent="0.25">
      <c r="B3175" s="272"/>
      <c r="C3175" s="273"/>
      <c r="D3175" s="268"/>
      <c r="E3175" s="271"/>
      <c r="F3175" s="259">
        <f t="shared" si="164"/>
        <v>0</v>
      </c>
    </row>
    <row r="3176" spans="2:6" x14ac:dyDescent="0.25">
      <c r="B3176" s="272"/>
      <c r="C3176" s="273"/>
      <c r="D3176" s="268"/>
      <c r="E3176" s="271"/>
      <c r="F3176" s="259">
        <f t="shared" si="164"/>
        <v>0</v>
      </c>
    </row>
    <row r="3177" spans="2:6" x14ac:dyDescent="0.25">
      <c r="B3177" s="272"/>
      <c r="C3177" s="273"/>
      <c r="D3177" s="268"/>
      <c r="E3177" s="271"/>
      <c r="F3177" s="259">
        <f t="shared" si="164"/>
        <v>0</v>
      </c>
    </row>
    <row r="3178" spans="2:6" x14ac:dyDescent="0.25">
      <c r="B3178" s="272"/>
      <c r="C3178" s="273"/>
      <c r="D3178" s="268"/>
      <c r="E3178" s="271"/>
      <c r="F3178" s="259">
        <f t="shared" si="164"/>
        <v>0</v>
      </c>
    </row>
    <row r="3179" spans="2:6" x14ac:dyDescent="0.25">
      <c r="B3179" s="272"/>
      <c r="C3179" s="273"/>
      <c r="D3179" s="268"/>
      <c r="E3179" s="271"/>
      <c r="F3179" s="259">
        <f t="shared" si="164"/>
        <v>0</v>
      </c>
    </row>
    <row r="3180" spans="2:6" x14ac:dyDescent="0.25">
      <c r="B3180" s="272"/>
      <c r="C3180" s="273"/>
      <c r="D3180" s="268"/>
      <c r="E3180" s="271"/>
      <c r="F3180" s="259">
        <f t="shared" si="164"/>
        <v>0</v>
      </c>
    </row>
    <row r="3181" spans="2:6" x14ac:dyDescent="0.25">
      <c r="B3181" s="272"/>
      <c r="C3181" s="273"/>
      <c r="D3181" s="268"/>
      <c r="E3181" s="271"/>
      <c r="F3181" s="259">
        <f t="shared" si="164"/>
        <v>0</v>
      </c>
    </row>
    <row r="3182" spans="2:6" ht="15.75" thickBot="1" x14ac:dyDescent="0.3">
      <c r="B3182" s="611" t="s">
        <v>289</v>
      </c>
      <c r="C3182" s="612"/>
      <c r="D3182" s="612"/>
      <c r="E3182" s="613"/>
      <c r="F3182" s="274">
        <f>SUM(F3170:F3181)</f>
        <v>0</v>
      </c>
    </row>
    <row r="3183" spans="2:6" x14ac:dyDescent="0.25">
      <c r="B3183" s="594" t="s">
        <v>290</v>
      </c>
      <c r="C3183" s="595"/>
      <c r="D3183" s="595"/>
      <c r="E3183" s="595"/>
      <c r="F3183" s="596"/>
    </row>
    <row r="3184" spans="2:6" x14ac:dyDescent="0.25">
      <c r="B3184" s="272" t="s">
        <v>879</v>
      </c>
      <c r="C3184" s="273" t="s">
        <v>117</v>
      </c>
      <c r="D3184" s="275"/>
      <c r="E3184" s="276"/>
      <c r="F3184" s="259">
        <f>D3184*E3184</f>
        <v>0</v>
      </c>
    </row>
    <row r="3185" spans="2:6" x14ac:dyDescent="0.25">
      <c r="B3185" s="277"/>
      <c r="C3185" s="278"/>
      <c r="D3185" s="279"/>
      <c r="E3185" s="280"/>
      <c r="F3185" s="259">
        <f>D3185*E3185</f>
        <v>0</v>
      </c>
    </row>
    <row r="3186" spans="2:6" x14ac:dyDescent="0.25">
      <c r="B3186" s="277"/>
      <c r="C3186" s="278"/>
      <c r="D3186" s="279"/>
      <c r="E3186" s="280"/>
      <c r="F3186" s="259">
        <f>D3186*E3186</f>
        <v>0</v>
      </c>
    </row>
    <row r="3187" spans="2:6" ht="15.75" thickBot="1" x14ac:dyDescent="0.3">
      <c r="B3187" s="611" t="s">
        <v>291</v>
      </c>
      <c r="C3187" s="612"/>
      <c r="D3187" s="612"/>
      <c r="E3187" s="613"/>
      <c r="F3187" s="285">
        <f>SUM(F3184:F3186)</f>
        <v>0</v>
      </c>
    </row>
    <row r="3188" spans="2:6" ht="15.75" thickBot="1" x14ac:dyDescent="0.3">
      <c r="B3188" s="600" t="s">
        <v>282</v>
      </c>
      <c r="C3188" s="601"/>
      <c r="D3188" s="601"/>
      <c r="E3188" s="601"/>
      <c r="F3188" s="286">
        <f>ROUND(F3159+F3165+F3168+F3182+F3187,0)</f>
        <v>0</v>
      </c>
    </row>
    <row r="3189" spans="2:6" ht="15.75" thickBot="1" x14ac:dyDescent="0.3"/>
    <row r="3190" spans="2:6" ht="15.75" thickBot="1" x14ac:dyDescent="0.3">
      <c r="B3190" s="602" t="s">
        <v>276</v>
      </c>
      <c r="C3190" s="603"/>
      <c r="D3190" s="603"/>
      <c r="E3190" s="603"/>
      <c r="F3190" s="604"/>
    </row>
    <row r="3191" spans="2:6" ht="15.75" thickBot="1" x14ac:dyDescent="0.3">
      <c r="B3191" s="605" t="s">
        <v>104</v>
      </c>
      <c r="C3191" s="606"/>
      <c r="D3191" s="607"/>
      <c r="E3191" s="282" t="s">
        <v>105</v>
      </c>
      <c r="F3191" s="283" t="s">
        <v>103</v>
      </c>
    </row>
    <row r="3192" spans="2:6" ht="15.75" thickBot="1" x14ac:dyDescent="0.3">
      <c r="B3192" s="608">
        <f>'PRESUPUESTO CALLE 58 SUR'!B602</f>
        <v>0</v>
      </c>
      <c r="C3192" s="609"/>
      <c r="D3192" s="610"/>
      <c r="E3192" s="449">
        <f>'PRESUPUESTO CALLE 58 SUR'!C602</f>
        <v>0</v>
      </c>
      <c r="F3192" s="448">
        <f>'PRESUPUESTO CALLE 58 SUR'!A602</f>
        <v>0</v>
      </c>
    </row>
    <row r="3193" spans="2:6" ht="15.75" thickBot="1" x14ac:dyDescent="0.3">
      <c r="B3193" s="250" t="s">
        <v>8</v>
      </c>
      <c r="C3193" s="251" t="s">
        <v>9</v>
      </c>
      <c r="D3193" s="252" t="s">
        <v>10</v>
      </c>
      <c r="E3193" s="253" t="s">
        <v>283</v>
      </c>
      <c r="F3193" s="254" t="s">
        <v>284</v>
      </c>
    </row>
    <row r="3194" spans="2:6" x14ac:dyDescent="0.25">
      <c r="B3194" s="594" t="s">
        <v>285</v>
      </c>
      <c r="C3194" s="595"/>
      <c r="D3194" s="595"/>
      <c r="E3194" s="595"/>
      <c r="F3194" s="596"/>
    </row>
    <row r="3195" spans="2:6" x14ac:dyDescent="0.25">
      <c r="B3195" s="255"/>
      <c r="C3195" s="256"/>
      <c r="D3195" s="257"/>
      <c r="E3195" s="258"/>
      <c r="F3195" s="259">
        <f t="shared" ref="F3195:F3206" si="165">D3195*E3195</f>
        <v>0</v>
      </c>
    </row>
    <row r="3196" spans="2:6" x14ac:dyDescent="0.25">
      <c r="B3196" s="260"/>
      <c r="C3196" s="256"/>
      <c r="D3196" s="257"/>
      <c r="E3196" s="258"/>
      <c r="F3196" s="259">
        <f t="shared" si="165"/>
        <v>0</v>
      </c>
    </row>
    <row r="3197" spans="2:6" x14ac:dyDescent="0.25">
      <c r="B3197" s="261"/>
      <c r="C3197" s="256"/>
      <c r="D3197" s="257"/>
      <c r="E3197" s="258"/>
      <c r="F3197" s="259">
        <f t="shared" si="165"/>
        <v>0</v>
      </c>
    </row>
    <row r="3198" spans="2:6" x14ac:dyDescent="0.25">
      <c r="B3198" s="261"/>
      <c r="C3198" s="256"/>
      <c r="D3198" s="257"/>
      <c r="E3198" s="258"/>
      <c r="F3198" s="259">
        <f t="shared" si="165"/>
        <v>0</v>
      </c>
    </row>
    <row r="3199" spans="2:6" x14ac:dyDescent="0.25">
      <c r="B3199" s="261"/>
      <c r="C3199" s="256"/>
      <c r="D3199" s="257"/>
      <c r="E3199" s="258"/>
      <c r="F3199" s="259">
        <f t="shared" si="165"/>
        <v>0</v>
      </c>
    </row>
    <row r="3200" spans="2:6" x14ac:dyDescent="0.25">
      <c r="B3200" s="261"/>
      <c r="C3200" s="256"/>
      <c r="D3200" s="257"/>
      <c r="E3200" s="258"/>
      <c r="F3200" s="259">
        <f t="shared" si="165"/>
        <v>0</v>
      </c>
    </row>
    <row r="3201" spans="2:6" x14ac:dyDescent="0.25">
      <c r="B3201" s="261"/>
      <c r="C3201" s="256"/>
      <c r="D3201" s="257"/>
      <c r="E3201" s="258"/>
      <c r="F3201" s="259">
        <f t="shared" si="165"/>
        <v>0</v>
      </c>
    </row>
    <row r="3202" spans="2:6" x14ac:dyDescent="0.25">
      <c r="B3202" s="261"/>
      <c r="C3202" s="256"/>
      <c r="D3202" s="257"/>
      <c r="E3202" s="258"/>
      <c r="F3202" s="259">
        <f t="shared" si="165"/>
        <v>0</v>
      </c>
    </row>
    <row r="3203" spans="2:6" x14ac:dyDescent="0.25">
      <c r="B3203" s="261"/>
      <c r="C3203" s="256"/>
      <c r="D3203" s="257"/>
      <c r="E3203" s="258"/>
      <c r="F3203" s="259">
        <f t="shared" si="165"/>
        <v>0</v>
      </c>
    </row>
    <row r="3204" spans="2:6" x14ac:dyDescent="0.25">
      <c r="B3204" s="261"/>
      <c r="C3204" s="256"/>
      <c r="D3204" s="257"/>
      <c r="E3204" s="258"/>
      <c r="F3204" s="259">
        <f t="shared" si="165"/>
        <v>0</v>
      </c>
    </row>
    <row r="3205" spans="2:6" x14ac:dyDescent="0.25">
      <c r="B3205" s="261"/>
      <c r="C3205" s="256"/>
      <c r="D3205" s="257"/>
      <c r="E3205" s="258"/>
      <c r="F3205" s="259">
        <f t="shared" si="165"/>
        <v>0</v>
      </c>
    </row>
    <row r="3206" spans="2:6" x14ac:dyDescent="0.25">
      <c r="B3206" s="262"/>
      <c r="C3206" s="263"/>
      <c r="D3206" s="264"/>
      <c r="E3206" s="265"/>
      <c r="F3206" s="259">
        <f t="shared" si="165"/>
        <v>0</v>
      </c>
    </row>
    <row r="3207" spans="2:6" ht="15.75" thickBot="1" x14ac:dyDescent="0.3">
      <c r="B3207" s="611" t="s">
        <v>286</v>
      </c>
      <c r="C3207" s="612"/>
      <c r="D3207" s="612"/>
      <c r="E3207" s="613"/>
      <c r="F3207" s="284">
        <f>SUM(F3195:F3206)</f>
        <v>0</v>
      </c>
    </row>
    <row r="3208" spans="2:6" x14ac:dyDescent="0.25">
      <c r="B3208" s="594" t="s">
        <v>277</v>
      </c>
      <c r="C3208" s="595"/>
      <c r="D3208" s="595"/>
      <c r="E3208" s="595"/>
      <c r="F3208" s="596"/>
    </row>
    <row r="3209" spans="2:6" x14ac:dyDescent="0.25">
      <c r="B3209" s="266">
        <f>CUADRILLAS!A611</f>
        <v>0</v>
      </c>
      <c r="C3209" s="267" t="s">
        <v>110</v>
      </c>
      <c r="D3209" s="268">
        <v>0.17499999999999999</v>
      </c>
      <c r="E3209" s="269">
        <f>CUADRILLAS!B611</f>
        <v>0</v>
      </c>
      <c r="F3209" s="270">
        <f>D3209*E3209</f>
        <v>0</v>
      </c>
    </row>
    <row r="3210" spans="2:6" x14ac:dyDescent="0.25">
      <c r="B3210" s="266"/>
      <c r="C3210" s="267"/>
      <c r="D3210" s="268"/>
      <c r="E3210" s="269"/>
      <c r="F3210" s="270">
        <f>D3210*E3210</f>
        <v>0</v>
      </c>
    </row>
    <row r="3211" spans="2:6" x14ac:dyDescent="0.25">
      <c r="B3211" s="266"/>
      <c r="C3211" s="267"/>
      <c r="D3211" s="268"/>
      <c r="E3211" s="271"/>
      <c r="F3211" s="270">
        <f>D3211*E3211</f>
        <v>0</v>
      </c>
    </row>
    <row r="3212" spans="2:6" x14ac:dyDescent="0.25">
      <c r="B3212" s="272"/>
      <c r="C3212" s="273"/>
      <c r="D3212" s="268"/>
      <c r="E3212" s="271"/>
      <c r="F3212" s="270">
        <f>D3212*E3212</f>
        <v>0</v>
      </c>
    </row>
    <row r="3213" spans="2:6" ht="15.75" thickBot="1" x14ac:dyDescent="0.3">
      <c r="B3213" s="611" t="s">
        <v>287</v>
      </c>
      <c r="C3213" s="612"/>
      <c r="D3213" s="612"/>
      <c r="E3213" s="613"/>
      <c r="F3213" s="274">
        <f>SUM(F3209:F3212)</f>
        <v>0</v>
      </c>
    </row>
    <row r="3214" spans="2:6" x14ac:dyDescent="0.25">
      <c r="B3214" s="594" t="s">
        <v>278</v>
      </c>
      <c r="C3214" s="595"/>
      <c r="D3214" s="595"/>
      <c r="E3214" s="595"/>
      <c r="F3214" s="596"/>
    </row>
    <row r="3215" spans="2:6" x14ac:dyDescent="0.25">
      <c r="B3215" s="272" t="s">
        <v>279</v>
      </c>
      <c r="C3215" s="273" t="s">
        <v>280</v>
      </c>
      <c r="D3215" s="268">
        <v>0.05</v>
      </c>
      <c r="E3215" s="271">
        <f>F3213</f>
        <v>0</v>
      </c>
      <c r="F3215" s="270">
        <f>D3215*E3215</f>
        <v>0</v>
      </c>
    </row>
    <row r="3216" spans="2:6" ht="15.75" thickBot="1" x14ac:dyDescent="0.3">
      <c r="B3216" s="611" t="s">
        <v>288</v>
      </c>
      <c r="C3216" s="612"/>
      <c r="D3216" s="612"/>
      <c r="E3216" s="613"/>
      <c r="F3216" s="274">
        <f>SUM(F3215)</f>
        <v>0</v>
      </c>
    </row>
    <row r="3217" spans="2:6" x14ac:dyDescent="0.25">
      <c r="B3217" s="594" t="s">
        <v>281</v>
      </c>
      <c r="C3217" s="595"/>
      <c r="D3217" s="595"/>
      <c r="E3217" s="595"/>
      <c r="F3217" s="596"/>
    </row>
    <row r="3218" spans="2:6" x14ac:dyDescent="0.25">
      <c r="B3218" s="272"/>
      <c r="C3218" s="273"/>
      <c r="D3218" s="268"/>
      <c r="E3218" s="271"/>
      <c r="F3218" s="259">
        <f t="shared" ref="F3218:F3229" si="166">D3218*E3218</f>
        <v>0</v>
      </c>
    </row>
    <row r="3219" spans="2:6" x14ac:dyDescent="0.25">
      <c r="B3219" s="272"/>
      <c r="C3219" s="273"/>
      <c r="D3219" s="268"/>
      <c r="E3219" s="271"/>
      <c r="F3219" s="259">
        <f t="shared" si="166"/>
        <v>0</v>
      </c>
    </row>
    <row r="3220" spans="2:6" x14ac:dyDescent="0.25">
      <c r="B3220" s="272"/>
      <c r="C3220" s="273"/>
      <c r="D3220" s="268"/>
      <c r="E3220" s="271"/>
      <c r="F3220" s="259">
        <f t="shared" si="166"/>
        <v>0</v>
      </c>
    </row>
    <row r="3221" spans="2:6" x14ac:dyDescent="0.25">
      <c r="B3221" s="272"/>
      <c r="C3221" s="273"/>
      <c r="D3221" s="268"/>
      <c r="E3221" s="271"/>
      <c r="F3221" s="259">
        <f t="shared" si="166"/>
        <v>0</v>
      </c>
    </row>
    <row r="3222" spans="2:6" x14ac:dyDescent="0.25">
      <c r="B3222" s="272"/>
      <c r="C3222" s="273"/>
      <c r="D3222" s="268"/>
      <c r="E3222" s="271"/>
      <c r="F3222" s="259">
        <f t="shared" si="166"/>
        <v>0</v>
      </c>
    </row>
    <row r="3223" spans="2:6" x14ac:dyDescent="0.25">
      <c r="B3223" s="272"/>
      <c r="C3223" s="273"/>
      <c r="D3223" s="268"/>
      <c r="E3223" s="271"/>
      <c r="F3223" s="259">
        <f t="shared" si="166"/>
        <v>0</v>
      </c>
    </row>
    <row r="3224" spans="2:6" x14ac:dyDescent="0.25">
      <c r="B3224" s="272"/>
      <c r="C3224" s="273"/>
      <c r="D3224" s="268"/>
      <c r="E3224" s="271"/>
      <c r="F3224" s="259">
        <f t="shared" si="166"/>
        <v>0</v>
      </c>
    </row>
    <row r="3225" spans="2:6" x14ac:dyDescent="0.25">
      <c r="B3225" s="272"/>
      <c r="C3225" s="273"/>
      <c r="D3225" s="268"/>
      <c r="E3225" s="271"/>
      <c r="F3225" s="259">
        <f t="shared" si="166"/>
        <v>0</v>
      </c>
    </row>
    <row r="3226" spans="2:6" x14ac:dyDescent="0.25">
      <c r="B3226" s="272"/>
      <c r="C3226" s="273"/>
      <c r="D3226" s="268"/>
      <c r="E3226" s="271"/>
      <c r="F3226" s="259">
        <f t="shared" si="166"/>
        <v>0</v>
      </c>
    </row>
    <row r="3227" spans="2:6" x14ac:dyDescent="0.25">
      <c r="B3227" s="272"/>
      <c r="C3227" s="273"/>
      <c r="D3227" s="268"/>
      <c r="E3227" s="271"/>
      <c r="F3227" s="259">
        <f t="shared" si="166"/>
        <v>0</v>
      </c>
    </row>
    <row r="3228" spans="2:6" x14ac:dyDescent="0.25">
      <c r="B3228" s="272"/>
      <c r="C3228" s="273"/>
      <c r="D3228" s="268"/>
      <c r="E3228" s="271"/>
      <c r="F3228" s="259">
        <f t="shared" si="166"/>
        <v>0</v>
      </c>
    </row>
    <row r="3229" spans="2:6" x14ac:dyDescent="0.25">
      <c r="B3229" s="272"/>
      <c r="C3229" s="273"/>
      <c r="D3229" s="268"/>
      <c r="E3229" s="271"/>
      <c r="F3229" s="259">
        <f t="shared" si="166"/>
        <v>0</v>
      </c>
    </row>
    <row r="3230" spans="2:6" ht="15.75" thickBot="1" x14ac:dyDescent="0.3">
      <c r="B3230" s="611" t="s">
        <v>289</v>
      </c>
      <c r="C3230" s="612"/>
      <c r="D3230" s="612"/>
      <c r="E3230" s="613"/>
      <c r="F3230" s="274">
        <f>SUM(F3218:F3229)</f>
        <v>0</v>
      </c>
    </row>
    <row r="3231" spans="2:6" x14ac:dyDescent="0.25">
      <c r="B3231" s="594" t="s">
        <v>290</v>
      </c>
      <c r="C3231" s="595"/>
      <c r="D3231" s="595"/>
      <c r="E3231" s="595"/>
      <c r="F3231" s="596"/>
    </row>
    <row r="3232" spans="2:6" x14ac:dyDescent="0.25">
      <c r="B3232" s="272" t="s">
        <v>879</v>
      </c>
      <c r="C3232" s="273" t="s">
        <v>117</v>
      </c>
      <c r="D3232" s="275"/>
      <c r="E3232" s="276"/>
      <c r="F3232" s="259">
        <f>D3232*E3232</f>
        <v>0</v>
      </c>
    </row>
    <row r="3233" spans="2:6" x14ac:dyDescent="0.25">
      <c r="B3233" s="277"/>
      <c r="C3233" s="278"/>
      <c r="D3233" s="279"/>
      <c r="E3233" s="280"/>
      <c r="F3233" s="259">
        <f>D3233*E3233</f>
        <v>0</v>
      </c>
    </row>
    <row r="3234" spans="2:6" x14ac:dyDescent="0.25">
      <c r="B3234" s="277"/>
      <c r="C3234" s="278"/>
      <c r="D3234" s="279"/>
      <c r="E3234" s="280"/>
      <c r="F3234" s="259">
        <f>D3234*E3234</f>
        <v>0</v>
      </c>
    </row>
    <row r="3235" spans="2:6" ht="15.75" thickBot="1" x14ac:dyDescent="0.3">
      <c r="B3235" s="611" t="s">
        <v>291</v>
      </c>
      <c r="C3235" s="612"/>
      <c r="D3235" s="612"/>
      <c r="E3235" s="613"/>
      <c r="F3235" s="285">
        <f>SUM(F3232:F3234)</f>
        <v>0</v>
      </c>
    </row>
    <row r="3236" spans="2:6" ht="15.75" thickBot="1" x14ac:dyDescent="0.3">
      <c r="B3236" s="600" t="s">
        <v>282</v>
      </c>
      <c r="C3236" s="601"/>
      <c r="D3236" s="601"/>
      <c r="E3236" s="601"/>
      <c r="F3236" s="286">
        <f>ROUND(F3207+F3213+F3216+F3230+F3235,0)</f>
        <v>0</v>
      </c>
    </row>
  </sheetData>
  <mergeCells count="952">
    <mergeCell ref="B2850:F2850"/>
    <mergeCell ref="B2854:E2854"/>
    <mergeCell ref="B2855:E2855"/>
    <mergeCell ref="B2811:D2811"/>
    <mergeCell ref="B2813:F2813"/>
    <mergeCell ref="B2826:E2826"/>
    <mergeCell ref="B2827:F2827"/>
    <mergeCell ref="B2832:E2832"/>
    <mergeCell ref="B2833:F2833"/>
    <mergeCell ref="B2835:E2835"/>
    <mergeCell ref="B2836:F2836"/>
    <mergeCell ref="B2849:E2849"/>
    <mergeCell ref="B2785:F2785"/>
    <mergeCell ref="B2787:E2787"/>
    <mergeCell ref="B2788:F2788"/>
    <mergeCell ref="B2801:E2801"/>
    <mergeCell ref="B2802:F2802"/>
    <mergeCell ref="B2806:E2806"/>
    <mergeCell ref="B2807:E2807"/>
    <mergeCell ref="B2809:F2809"/>
    <mergeCell ref="B2810:D2810"/>
    <mergeCell ref="B2758:E2758"/>
    <mergeCell ref="B2759:E2759"/>
    <mergeCell ref="B2761:F2761"/>
    <mergeCell ref="B2762:D2762"/>
    <mergeCell ref="B2763:D2763"/>
    <mergeCell ref="B2765:F2765"/>
    <mergeCell ref="B2778:E2778"/>
    <mergeCell ref="B2779:F2779"/>
    <mergeCell ref="B2784:E2784"/>
    <mergeCell ref="B2717:F2717"/>
    <mergeCell ref="B2730:E2730"/>
    <mergeCell ref="B2731:F2731"/>
    <mergeCell ref="B2736:E2736"/>
    <mergeCell ref="B2737:F2737"/>
    <mergeCell ref="B2739:E2739"/>
    <mergeCell ref="B2740:F2740"/>
    <mergeCell ref="B2753:E2753"/>
    <mergeCell ref="B2754:F2754"/>
    <mergeCell ref="B624:E624"/>
    <mergeCell ref="B2713:F2713"/>
    <mergeCell ref="B2714:D2714"/>
    <mergeCell ref="B2715:D2715"/>
    <mergeCell ref="B2214:E2214"/>
    <mergeCell ref="B2215:F2215"/>
    <mergeCell ref="B2228:E2228"/>
    <mergeCell ref="B2229:F2229"/>
    <mergeCell ref="B2233:E2233"/>
    <mergeCell ref="B2188:F2188"/>
    <mergeCell ref="B2189:D2189"/>
    <mergeCell ref="B2192:F2192"/>
    <mergeCell ref="B2205:E2205"/>
    <mergeCell ref="B2206:F2206"/>
    <mergeCell ref="B2211:E2211"/>
    <mergeCell ref="B2190:D2190"/>
    <mergeCell ref="B2084:E2084"/>
    <mergeCell ref="B2085:F2085"/>
    <mergeCell ref="B2089:E2089"/>
    <mergeCell ref="B2090:E2090"/>
    <mergeCell ref="B2092:F2092"/>
    <mergeCell ref="B2093:D2093"/>
    <mergeCell ref="B2061:E2061"/>
    <mergeCell ref="B2062:F2062"/>
    <mergeCell ref="B2067:E2067"/>
    <mergeCell ref="B2068:F2068"/>
    <mergeCell ref="B2070:E2070"/>
    <mergeCell ref="B2071:F2071"/>
    <mergeCell ref="B1893:F1893"/>
    <mergeCell ref="B1897:E1897"/>
    <mergeCell ref="B1898:E1898"/>
    <mergeCell ref="B2044:F2044"/>
    <mergeCell ref="B2045:D2045"/>
    <mergeCell ref="B2048:F2048"/>
    <mergeCell ref="B1900:F1900"/>
    <mergeCell ref="B1901:D1901"/>
    <mergeCell ref="B1902:D1902"/>
    <mergeCell ref="B1904:F1904"/>
    <mergeCell ref="B1917:E1917"/>
    <mergeCell ref="B1918:F1918"/>
    <mergeCell ref="B1923:E1923"/>
    <mergeCell ref="B1924:F1924"/>
    <mergeCell ref="B1926:E1926"/>
    <mergeCell ref="B1927:F1927"/>
    <mergeCell ref="B1940:E1940"/>
    <mergeCell ref="B1941:F1941"/>
    <mergeCell ref="B1945:E1945"/>
    <mergeCell ref="B1946:E1946"/>
    <mergeCell ref="B1870:F1870"/>
    <mergeCell ref="B1875:E1875"/>
    <mergeCell ref="B1876:F1876"/>
    <mergeCell ref="B1878:E1878"/>
    <mergeCell ref="B1879:F1879"/>
    <mergeCell ref="B1892:E1892"/>
    <mergeCell ref="B1849:E1849"/>
    <mergeCell ref="B1850:E1850"/>
    <mergeCell ref="B1852:F1852"/>
    <mergeCell ref="B1853:D1853"/>
    <mergeCell ref="B1856:F1856"/>
    <mergeCell ref="B1869:E1869"/>
    <mergeCell ref="B1827:E1827"/>
    <mergeCell ref="B1828:F1828"/>
    <mergeCell ref="B1830:E1830"/>
    <mergeCell ref="B1831:F1831"/>
    <mergeCell ref="B1844:E1844"/>
    <mergeCell ref="B1845:F1845"/>
    <mergeCell ref="B1802:E1802"/>
    <mergeCell ref="B1804:F1804"/>
    <mergeCell ref="B1805:D1805"/>
    <mergeCell ref="B1808:F1808"/>
    <mergeCell ref="B1821:E1821"/>
    <mergeCell ref="B1822:F1822"/>
    <mergeCell ref="B1781:F1781"/>
    <mergeCell ref="B1783:E1783"/>
    <mergeCell ref="B1784:F1784"/>
    <mergeCell ref="B1796:E1796"/>
    <mergeCell ref="B1797:F1797"/>
    <mergeCell ref="B1801:E1801"/>
    <mergeCell ref="B1759:F1759"/>
    <mergeCell ref="B1760:D1760"/>
    <mergeCell ref="B1763:F1763"/>
    <mergeCell ref="B1775:E1775"/>
    <mergeCell ref="B1776:F1776"/>
    <mergeCell ref="B1780:E1780"/>
    <mergeCell ref="B1740:E1740"/>
    <mergeCell ref="B1741:F1741"/>
    <mergeCell ref="B1751:E1751"/>
    <mergeCell ref="B1752:F1752"/>
    <mergeCell ref="B1756:E1756"/>
    <mergeCell ref="B1757:E1757"/>
    <mergeCell ref="B1715:D1715"/>
    <mergeCell ref="B1718:F1718"/>
    <mergeCell ref="B1731:E1731"/>
    <mergeCell ref="B1732:F1732"/>
    <mergeCell ref="B1737:E1737"/>
    <mergeCell ref="B1738:F1738"/>
    <mergeCell ref="B1693:E1693"/>
    <mergeCell ref="B1694:F1694"/>
    <mergeCell ref="B1707:F1707"/>
    <mergeCell ref="B1711:E1711"/>
    <mergeCell ref="B1712:E1712"/>
    <mergeCell ref="B1714:F1714"/>
    <mergeCell ref="B1706:E1706"/>
    <mergeCell ref="B1487:E1487"/>
    <mergeCell ref="B1488:E1488"/>
    <mergeCell ref="B1490:F1490"/>
    <mergeCell ref="B1669:F1669"/>
    <mergeCell ref="B1670:D1670"/>
    <mergeCell ref="B1685:E1685"/>
    <mergeCell ref="B1673:F1673"/>
    <mergeCell ref="B1536:D1536"/>
    <mergeCell ref="B1626:D1626"/>
    <mergeCell ref="B1510:E1510"/>
    <mergeCell ref="B1532:E1532"/>
    <mergeCell ref="B1526:E1526"/>
    <mergeCell ref="B1527:F1527"/>
    <mergeCell ref="B1531:E1531"/>
    <mergeCell ref="B1534:F1534"/>
    <mergeCell ref="B1535:D1535"/>
    <mergeCell ref="B1538:F1538"/>
    <mergeCell ref="B1662:F1662"/>
    <mergeCell ref="B1666:E1666"/>
    <mergeCell ref="B1667:E1667"/>
    <mergeCell ref="B1577:E1577"/>
    <mergeCell ref="B1624:F1624"/>
    <mergeCell ref="B1625:D1625"/>
    <mergeCell ref="B1628:F1628"/>
    <mergeCell ref="B1641:E1641"/>
    <mergeCell ref="B1642:F1642"/>
    <mergeCell ref="B1661:E1661"/>
    <mergeCell ref="B1650:E1650"/>
    <mergeCell ref="B1651:F1651"/>
    <mergeCell ref="B1595:F1595"/>
    <mergeCell ref="B1599:E1599"/>
    <mergeCell ref="B1600:F1600"/>
    <mergeCell ref="B1602:E1602"/>
    <mergeCell ref="B1603:F1603"/>
    <mergeCell ref="B1616:E1616"/>
    <mergeCell ref="B1617:F1617"/>
    <mergeCell ref="B1621:E1621"/>
    <mergeCell ref="B1622:E1622"/>
    <mergeCell ref="B1302:F1302"/>
    <mergeCell ref="B1316:F1316"/>
    <mergeCell ref="B1370:F1370"/>
    <mergeCell ref="B1557:E1557"/>
    <mergeCell ref="B1494:F1494"/>
    <mergeCell ref="B1505:E1505"/>
    <mergeCell ref="B1506:F1506"/>
    <mergeCell ref="B1511:F1511"/>
    <mergeCell ref="B1513:E1513"/>
    <mergeCell ref="B1514:F1514"/>
    <mergeCell ref="B1550:F1550"/>
    <mergeCell ref="B1491:D1491"/>
    <mergeCell ref="B1348:D1348"/>
    <mergeCell ref="B1369:E1369"/>
    <mergeCell ref="B1372:E1372"/>
    <mergeCell ref="B1386:E1386"/>
    <mergeCell ref="B1363:E1363"/>
    <mergeCell ref="B1420:E1420"/>
    <mergeCell ref="B1421:F1421"/>
    <mergeCell ref="B1434:E1434"/>
    <mergeCell ref="B1435:F1435"/>
    <mergeCell ref="B1440:E1440"/>
    <mergeCell ref="B1442:F1442"/>
    <mergeCell ref="B1418:F1418"/>
    <mergeCell ref="B1034:F1034"/>
    <mergeCell ref="B1036:E1036"/>
    <mergeCell ref="B1012:D1012"/>
    <mergeCell ref="B1056:E1056"/>
    <mergeCell ref="B988:E988"/>
    <mergeCell ref="B989:F989"/>
    <mergeCell ref="B1002:E1002"/>
    <mergeCell ref="B1003:F1003"/>
    <mergeCell ref="B1299:D1299"/>
    <mergeCell ref="B1298:F1298"/>
    <mergeCell ref="B1251:D1251"/>
    <mergeCell ref="B1254:F1254"/>
    <mergeCell ref="B1267:E1267"/>
    <mergeCell ref="B1268:F1268"/>
    <mergeCell ref="B1273:E1273"/>
    <mergeCell ref="B1276:E1276"/>
    <mergeCell ref="B1076:F1076"/>
    <mergeCell ref="B1081:E1081"/>
    <mergeCell ref="B1195:F1195"/>
    <mergeCell ref="B1199:E1199"/>
    <mergeCell ref="B1200:E1200"/>
    <mergeCell ref="B1250:F1250"/>
    <mergeCell ref="B1060:D1060"/>
    <mergeCell ref="B1156:D1156"/>
    <mergeCell ref="B794:F794"/>
    <mergeCell ref="B796:E796"/>
    <mergeCell ref="B797:F797"/>
    <mergeCell ref="B810:E810"/>
    <mergeCell ref="B811:F811"/>
    <mergeCell ref="B815:E815"/>
    <mergeCell ref="B774:F774"/>
    <mergeCell ref="B787:E787"/>
    <mergeCell ref="B1033:E1033"/>
    <mergeCell ref="B892:E892"/>
    <mergeCell ref="B893:F893"/>
    <mergeCell ref="B906:E906"/>
    <mergeCell ref="B907:F907"/>
    <mergeCell ref="B911:E911"/>
    <mergeCell ref="B912:E912"/>
    <mergeCell ref="B867:D867"/>
    <mergeCell ref="B870:F870"/>
    <mergeCell ref="B883:E883"/>
    <mergeCell ref="B884:F884"/>
    <mergeCell ref="B889:E889"/>
    <mergeCell ref="B890:F890"/>
    <mergeCell ref="B868:D868"/>
    <mergeCell ref="B788:F788"/>
    <mergeCell ref="B793:E793"/>
    <mergeCell ref="B652:E652"/>
    <mergeCell ref="B653:F653"/>
    <mergeCell ref="B667:F667"/>
    <mergeCell ref="B671:E671"/>
    <mergeCell ref="B672:E672"/>
    <mergeCell ref="B674:F674"/>
    <mergeCell ref="B666:E666"/>
    <mergeCell ref="B675:D675"/>
    <mergeCell ref="B678:F678"/>
    <mergeCell ref="B676:D676"/>
    <mergeCell ref="B691:E691"/>
    <mergeCell ref="B692:F692"/>
    <mergeCell ref="B697:E697"/>
    <mergeCell ref="B698:F698"/>
    <mergeCell ref="B724:D724"/>
    <mergeCell ref="B772:D772"/>
    <mergeCell ref="B700:E700"/>
    <mergeCell ref="B701:F701"/>
    <mergeCell ref="B714:E714"/>
    <mergeCell ref="B715:F715"/>
    <mergeCell ref="B719:E719"/>
    <mergeCell ref="B720:E720"/>
    <mergeCell ref="B762:E762"/>
    <mergeCell ref="B763:F763"/>
    <mergeCell ref="B767:E767"/>
    <mergeCell ref="B768:E768"/>
    <mergeCell ref="B770:F770"/>
    <mergeCell ref="B771:D771"/>
    <mergeCell ref="B722:F722"/>
    <mergeCell ref="B723:D723"/>
    <mergeCell ref="B726:F726"/>
    <mergeCell ref="B739:E739"/>
    <mergeCell ref="B740:F740"/>
    <mergeCell ref="B745:E745"/>
    <mergeCell ref="B630:F630"/>
    <mergeCell ref="B643:E643"/>
    <mergeCell ref="B644:F644"/>
    <mergeCell ref="B649:E649"/>
    <mergeCell ref="B650:F650"/>
    <mergeCell ref="B548:F548"/>
    <mergeCell ref="B553:E553"/>
    <mergeCell ref="B554:F554"/>
    <mergeCell ref="B556:E556"/>
    <mergeCell ref="B557:F557"/>
    <mergeCell ref="B570:E570"/>
    <mergeCell ref="B571:F571"/>
    <mergeCell ref="B575:E575"/>
    <mergeCell ref="B576:E576"/>
    <mergeCell ref="B626:F626"/>
    <mergeCell ref="B628:D628"/>
    <mergeCell ref="B578:F578"/>
    <mergeCell ref="B579:D579"/>
    <mergeCell ref="B580:D580"/>
    <mergeCell ref="B582:F582"/>
    <mergeCell ref="B595:E595"/>
    <mergeCell ref="B596:F596"/>
    <mergeCell ref="B601:E601"/>
    <mergeCell ref="B602:F602"/>
    <mergeCell ref="B378:E378"/>
    <mergeCell ref="B336:E336"/>
    <mergeCell ref="B335:E335"/>
    <mergeCell ref="B338:F338"/>
    <mergeCell ref="B339:D339"/>
    <mergeCell ref="B342:F342"/>
    <mergeCell ref="B340:D340"/>
    <mergeCell ref="B355:E355"/>
    <mergeCell ref="B356:F356"/>
    <mergeCell ref="B361:E361"/>
    <mergeCell ref="B362:F362"/>
    <mergeCell ref="B364:E364"/>
    <mergeCell ref="B365:F365"/>
    <mergeCell ref="B1373:F1373"/>
    <mergeCell ref="B1396:D1396"/>
    <mergeCell ref="B1387:F1387"/>
    <mergeCell ref="B1391:E1391"/>
    <mergeCell ref="B1394:F1394"/>
    <mergeCell ref="B1395:D1395"/>
    <mergeCell ref="B1398:F1398"/>
    <mergeCell ref="B1411:E1411"/>
    <mergeCell ref="B1492:D1492"/>
    <mergeCell ref="B1412:F1412"/>
    <mergeCell ref="B1417:E1417"/>
    <mergeCell ref="B1439:E1439"/>
    <mergeCell ref="B1443:D1443"/>
    <mergeCell ref="B1446:F1446"/>
    <mergeCell ref="B1459:E1459"/>
    <mergeCell ref="B1460:F1460"/>
    <mergeCell ref="B1444:D1444"/>
    <mergeCell ref="B1466:F1466"/>
    <mergeCell ref="B1468:E1468"/>
    <mergeCell ref="B1469:F1469"/>
    <mergeCell ref="B1482:E1482"/>
    <mergeCell ref="B1483:F1483"/>
    <mergeCell ref="B1465:E1465"/>
    <mergeCell ref="B235:F235"/>
    <mergeCell ref="B1346:F1346"/>
    <mergeCell ref="B1347:D1347"/>
    <mergeCell ref="B1350:F1350"/>
    <mergeCell ref="B1392:E1392"/>
    <mergeCell ref="B3:D3"/>
    <mergeCell ref="B19:E19"/>
    <mergeCell ref="B20:F20"/>
    <mergeCell ref="B6:F6"/>
    <mergeCell ref="B25:E25"/>
    <mergeCell ref="B26:F26"/>
    <mergeCell ref="B28:E28"/>
    <mergeCell ref="B1322:F1322"/>
    <mergeCell ref="B314:F314"/>
    <mergeCell ref="B316:E316"/>
    <mergeCell ref="B317:F317"/>
    <mergeCell ref="B330:E330"/>
    <mergeCell ref="B331:F331"/>
    <mergeCell ref="B431:E431"/>
    <mergeCell ref="B432:E432"/>
    <mergeCell ref="B434:F434"/>
    <mergeCell ref="B390:F390"/>
    <mergeCell ref="B404:F404"/>
    <mergeCell ref="B409:E409"/>
    <mergeCell ref="B1364:F1364"/>
    <mergeCell ref="B1154:F1154"/>
    <mergeCell ref="B1155:D1155"/>
    <mergeCell ref="B1158:F1158"/>
    <mergeCell ref="B1178:F1178"/>
    <mergeCell ref="B1181:F1181"/>
    <mergeCell ref="B1194:E1194"/>
    <mergeCell ref="B1180:E1180"/>
    <mergeCell ref="B1343:E1343"/>
    <mergeCell ref="B1344:E1344"/>
    <mergeCell ref="B1315:E1315"/>
    <mergeCell ref="B1252:D1252"/>
    <mergeCell ref="B1274:F1274"/>
    <mergeCell ref="B1277:F1277"/>
    <mergeCell ref="B1290:E1290"/>
    <mergeCell ref="B1291:F1291"/>
    <mergeCell ref="B1295:E1295"/>
    <mergeCell ref="B1300:D1300"/>
    <mergeCell ref="B1339:F1339"/>
    <mergeCell ref="B1324:E1324"/>
    <mergeCell ref="B1325:F1325"/>
    <mergeCell ref="B1338:E1338"/>
    <mergeCell ref="B1321:E1321"/>
    <mergeCell ref="B1296:E1296"/>
    <mergeCell ref="B1171:E1171"/>
    <mergeCell ref="B1172:F1172"/>
    <mergeCell ref="B1177:E1177"/>
    <mergeCell ref="B1082:F1082"/>
    <mergeCell ref="B1084:E1084"/>
    <mergeCell ref="B1085:F1085"/>
    <mergeCell ref="B1098:E1098"/>
    <mergeCell ref="B1099:F1099"/>
    <mergeCell ref="B1103:E1103"/>
    <mergeCell ref="B1104:E1104"/>
    <mergeCell ref="B1106:F1106"/>
    <mergeCell ref="B1107:D1107"/>
    <mergeCell ref="B1108:D1108"/>
    <mergeCell ref="B1110:F1110"/>
    <mergeCell ref="B1123:E1123"/>
    <mergeCell ref="B1124:F1124"/>
    <mergeCell ref="B1129:E1129"/>
    <mergeCell ref="B1130:F1130"/>
    <mergeCell ref="B1132:E1132"/>
    <mergeCell ref="B1133:F1133"/>
    <mergeCell ref="B1146:E1146"/>
    <mergeCell ref="B1147:F1147"/>
    <mergeCell ref="B1151:E1151"/>
    <mergeCell ref="B1152:E1152"/>
    <mergeCell ref="B914:F914"/>
    <mergeCell ref="B915:D915"/>
    <mergeCell ref="B918:F918"/>
    <mergeCell ref="B916:D916"/>
    <mergeCell ref="B964:D964"/>
    <mergeCell ref="B962:F962"/>
    <mergeCell ref="B963:D963"/>
    <mergeCell ref="B1062:F1062"/>
    <mergeCell ref="B1075:E1075"/>
    <mergeCell ref="B941:F941"/>
    <mergeCell ref="B985:E985"/>
    <mergeCell ref="B1037:F1037"/>
    <mergeCell ref="B1050:E1050"/>
    <mergeCell ref="B1051:F1051"/>
    <mergeCell ref="B1055:E1055"/>
    <mergeCell ref="B1058:F1058"/>
    <mergeCell ref="B1059:D1059"/>
    <mergeCell ref="B1007:E1007"/>
    <mergeCell ref="B1008:E1008"/>
    <mergeCell ref="B1010:F1010"/>
    <mergeCell ref="B1011:D1011"/>
    <mergeCell ref="B1014:F1014"/>
    <mergeCell ref="B1027:E1027"/>
    <mergeCell ref="B1028:F1028"/>
    <mergeCell ref="B966:F966"/>
    <mergeCell ref="B979:E979"/>
    <mergeCell ref="B980:F980"/>
    <mergeCell ref="B986:F986"/>
    <mergeCell ref="B931:E931"/>
    <mergeCell ref="B932:F932"/>
    <mergeCell ref="B937:E937"/>
    <mergeCell ref="B938:F938"/>
    <mergeCell ref="B940:E940"/>
    <mergeCell ref="B954:E954"/>
    <mergeCell ref="B955:F955"/>
    <mergeCell ref="B959:E959"/>
    <mergeCell ref="B960:E960"/>
    <mergeCell ref="B859:F859"/>
    <mergeCell ref="B863:E863"/>
    <mergeCell ref="B864:E864"/>
    <mergeCell ref="B866:F866"/>
    <mergeCell ref="B844:E844"/>
    <mergeCell ref="B816:E816"/>
    <mergeCell ref="B818:F818"/>
    <mergeCell ref="B819:D819"/>
    <mergeCell ref="B822:F822"/>
    <mergeCell ref="B820:D820"/>
    <mergeCell ref="B841:E841"/>
    <mergeCell ref="B842:F842"/>
    <mergeCell ref="B845:F845"/>
    <mergeCell ref="B858:E858"/>
    <mergeCell ref="B835:E835"/>
    <mergeCell ref="B836:F836"/>
    <mergeCell ref="B746:F746"/>
    <mergeCell ref="B748:E748"/>
    <mergeCell ref="B749:F749"/>
    <mergeCell ref="B474:E474"/>
    <mergeCell ref="B484:D484"/>
    <mergeCell ref="B627:D627"/>
    <mergeCell ref="B547:E547"/>
    <mergeCell ref="B528:E528"/>
    <mergeCell ref="B530:F530"/>
    <mergeCell ref="B531:D531"/>
    <mergeCell ref="B534:F534"/>
    <mergeCell ref="B486:F486"/>
    <mergeCell ref="B499:E499"/>
    <mergeCell ref="B500:F500"/>
    <mergeCell ref="B505:E505"/>
    <mergeCell ref="B532:D532"/>
    <mergeCell ref="B506:F506"/>
    <mergeCell ref="B508:E508"/>
    <mergeCell ref="B509:F509"/>
    <mergeCell ref="B522:E522"/>
    <mergeCell ref="B523:F523"/>
    <mergeCell ref="B527:E527"/>
    <mergeCell ref="B604:E604"/>
    <mergeCell ref="B605:F605"/>
    <mergeCell ref="B618:E618"/>
    <mergeCell ref="B619:F619"/>
    <mergeCell ref="B623:E623"/>
    <mergeCell ref="B461:F461"/>
    <mergeCell ref="B475:F475"/>
    <mergeCell ref="B479:E479"/>
    <mergeCell ref="B480:E480"/>
    <mergeCell ref="B482:F482"/>
    <mergeCell ref="B483:D483"/>
    <mergeCell ref="B452:F452"/>
    <mergeCell ref="B457:E457"/>
    <mergeCell ref="B458:F458"/>
    <mergeCell ref="B460:E460"/>
    <mergeCell ref="B403:E403"/>
    <mergeCell ref="B426:E426"/>
    <mergeCell ref="B427:F427"/>
    <mergeCell ref="B379:F379"/>
    <mergeCell ref="B383:E383"/>
    <mergeCell ref="B388:D388"/>
    <mergeCell ref="B436:D436"/>
    <mergeCell ref="B435:D435"/>
    <mergeCell ref="B438:F438"/>
    <mergeCell ref="B451:E451"/>
    <mergeCell ref="B384:E384"/>
    <mergeCell ref="B410:F410"/>
    <mergeCell ref="B412:E412"/>
    <mergeCell ref="B413:F413"/>
    <mergeCell ref="B386:F386"/>
    <mergeCell ref="B387:D387"/>
    <mergeCell ref="B294:F294"/>
    <mergeCell ref="B307:E307"/>
    <mergeCell ref="B308:F308"/>
    <mergeCell ref="B239:E239"/>
    <mergeCell ref="B265:E265"/>
    <mergeCell ref="B260:F260"/>
    <mergeCell ref="B266:F266"/>
    <mergeCell ref="B268:E268"/>
    <mergeCell ref="B269:F269"/>
    <mergeCell ref="B292:D292"/>
    <mergeCell ref="B240:E240"/>
    <mergeCell ref="B242:F242"/>
    <mergeCell ref="B243:D243"/>
    <mergeCell ref="B246:F246"/>
    <mergeCell ref="B259:E259"/>
    <mergeCell ref="B282:E282"/>
    <mergeCell ref="B283:F283"/>
    <mergeCell ref="B287:E287"/>
    <mergeCell ref="B313:E313"/>
    <mergeCell ref="B2:F2"/>
    <mergeCell ref="B29:F29"/>
    <mergeCell ref="B4:D4"/>
    <mergeCell ref="B52:D52"/>
    <mergeCell ref="B100:D100"/>
    <mergeCell ref="B148:D148"/>
    <mergeCell ref="B196:D196"/>
    <mergeCell ref="B244:D244"/>
    <mergeCell ref="B42:E42"/>
    <mergeCell ref="B43:F43"/>
    <mergeCell ref="B47:E47"/>
    <mergeCell ref="B48:E48"/>
    <mergeCell ref="B51:D51"/>
    <mergeCell ref="B54:F54"/>
    <mergeCell ref="B76:E76"/>
    <mergeCell ref="B77:F77"/>
    <mergeCell ref="B90:E90"/>
    <mergeCell ref="B91:F91"/>
    <mergeCell ref="B95:E95"/>
    <mergeCell ref="B96:E96"/>
    <mergeCell ref="B121:E121"/>
    <mergeCell ref="B124:E124"/>
    <mergeCell ref="B138:E138"/>
    <mergeCell ref="B146:F146"/>
    <mergeCell ref="B147:D147"/>
    <mergeCell ref="B115:E115"/>
    <mergeCell ref="B98:F98"/>
    <mergeCell ref="B99:D99"/>
    <mergeCell ref="B102:F102"/>
    <mergeCell ref="B50:F50"/>
    <mergeCell ref="B67:E67"/>
    <mergeCell ref="B68:F68"/>
    <mergeCell ref="B73:E73"/>
    <mergeCell ref="B74:F74"/>
    <mergeCell ref="B116:F116"/>
    <mergeCell ref="B122:F122"/>
    <mergeCell ref="B125:F125"/>
    <mergeCell ref="B139:F139"/>
    <mergeCell ref="B143:E143"/>
    <mergeCell ref="B144:E144"/>
    <mergeCell ref="B234:E234"/>
    <mergeCell ref="B288:E288"/>
    <mergeCell ref="B290:F290"/>
    <mergeCell ref="B291:D291"/>
    <mergeCell ref="B150:F150"/>
    <mergeCell ref="B163:E163"/>
    <mergeCell ref="B164:F164"/>
    <mergeCell ref="B169:E169"/>
    <mergeCell ref="B170:F170"/>
    <mergeCell ref="B192:E192"/>
    <mergeCell ref="B173:F173"/>
    <mergeCell ref="B186:E186"/>
    <mergeCell ref="B187:F187"/>
    <mergeCell ref="B191:E191"/>
    <mergeCell ref="B194:F194"/>
    <mergeCell ref="B195:D195"/>
    <mergeCell ref="B198:F198"/>
    <mergeCell ref="B211:E211"/>
    <mergeCell ref="B212:F212"/>
    <mergeCell ref="B217:E217"/>
    <mergeCell ref="B218:F218"/>
    <mergeCell ref="B220:E220"/>
    <mergeCell ref="B221:F221"/>
    <mergeCell ref="B172:E172"/>
    <mergeCell ref="B1549:E1549"/>
    <mergeCell ref="B1554:E1554"/>
    <mergeCell ref="B1555:F1555"/>
    <mergeCell ref="B2094:D2094"/>
    <mergeCell ref="B1671:D1671"/>
    <mergeCell ref="B1716:D1716"/>
    <mergeCell ref="B1761:D1761"/>
    <mergeCell ref="B1806:D1806"/>
    <mergeCell ref="B1854:D1854"/>
    <mergeCell ref="B2046:D2046"/>
    <mergeCell ref="B1576:E1576"/>
    <mergeCell ref="B1558:F1558"/>
    <mergeCell ref="B1571:E1571"/>
    <mergeCell ref="B1572:F1572"/>
    <mergeCell ref="B1686:F1686"/>
    <mergeCell ref="B1690:E1690"/>
    <mergeCell ref="B1691:F1691"/>
    <mergeCell ref="B1647:E1647"/>
    <mergeCell ref="B1648:F1648"/>
    <mergeCell ref="B1579:F1579"/>
    <mergeCell ref="B1580:D1580"/>
    <mergeCell ref="B1581:D1581"/>
    <mergeCell ref="B1583:F1583"/>
    <mergeCell ref="B1594:E1594"/>
    <mergeCell ref="B2236:F2236"/>
    <mergeCell ref="B2237:D2237"/>
    <mergeCell ref="B2238:D2238"/>
    <mergeCell ref="B2240:F2240"/>
    <mergeCell ref="B2253:E2253"/>
    <mergeCell ref="B2254:F2254"/>
    <mergeCell ref="B2119:F2119"/>
    <mergeCell ref="B2132:E2132"/>
    <mergeCell ref="B2133:F2133"/>
    <mergeCell ref="B2137:E2137"/>
    <mergeCell ref="B2138:E2138"/>
    <mergeCell ref="B2140:F2140"/>
    <mergeCell ref="B2181:F2181"/>
    <mergeCell ref="B2185:E2185"/>
    <mergeCell ref="B2186:E2186"/>
    <mergeCell ref="B2141:D2141"/>
    <mergeCell ref="B2144:F2144"/>
    <mergeCell ref="B2157:E2157"/>
    <mergeCell ref="B2158:F2158"/>
    <mergeCell ref="B2163:E2163"/>
    <mergeCell ref="B2164:F2164"/>
    <mergeCell ref="B2142:D2142"/>
    <mergeCell ref="B2234:E2234"/>
    <mergeCell ref="B2212:F2212"/>
    <mergeCell ref="B2096:F2096"/>
    <mergeCell ref="B2109:E2109"/>
    <mergeCell ref="B2110:F2110"/>
    <mergeCell ref="B2115:E2115"/>
    <mergeCell ref="B2116:F2116"/>
    <mergeCell ref="B2118:E2118"/>
    <mergeCell ref="B2166:E2166"/>
    <mergeCell ref="B2167:F2167"/>
    <mergeCell ref="B2180:E2180"/>
    <mergeCell ref="B2259:E2259"/>
    <mergeCell ref="B2260:F2260"/>
    <mergeCell ref="B2262:E2262"/>
    <mergeCell ref="B2263:F2263"/>
    <mergeCell ref="B2276:E2276"/>
    <mergeCell ref="B2277:F2277"/>
    <mergeCell ref="B2281:E2281"/>
    <mergeCell ref="B2282:E2282"/>
    <mergeCell ref="B2284:F2284"/>
    <mergeCell ref="B2285:D2285"/>
    <mergeCell ref="B2286:D2286"/>
    <mergeCell ref="B2288:F2288"/>
    <mergeCell ref="B2299:E2299"/>
    <mergeCell ref="B2300:F2300"/>
    <mergeCell ref="B2304:E2304"/>
    <mergeCell ref="B2305:F2305"/>
    <mergeCell ref="B2307:E2307"/>
    <mergeCell ref="B2308:F2308"/>
    <mergeCell ref="B2321:E2321"/>
    <mergeCell ref="B2322:F2322"/>
    <mergeCell ref="B2326:E2326"/>
    <mergeCell ref="B2327:E2327"/>
    <mergeCell ref="B2329:F2329"/>
    <mergeCell ref="B2330:D2330"/>
    <mergeCell ref="B2331:D2331"/>
    <mergeCell ref="B2333:F2333"/>
    <mergeCell ref="B2346:E2346"/>
    <mergeCell ref="B2347:F2347"/>
    <mergeCell ref="B2352:E2352"/>
    <mergeCell ref="B2353:F2353"/>
    <mergeCell ref="B2355:E2355"/>
    <mergeCell ref="B2356:F2356"/>
    <mergeCell ref="B2369:E2369"/>
    <mergeCell ref="B2370:F2370"/>
    <mergeCell ref="B2374:E2374"/>
    <mergeCell ref="B2375:E2375"/>
    <mergeCell ref="B2377:F2377"/>
    <mergeCell ref="B2378:D2378"/>
    <mergeCell ref="B2379:D2379"/>
    <mergeCell ref="B2381:F2381"/>
    <mergeCell ref="B2394:E2394"/>
    <mergeCell ref="B2395:F2395"/>
    <mergeCell ref="B2400:E2400"/>
    <mergeCell ref="B2401:F2401"/>
    <mergeCell ref="B2403:E2403"/>
    <mergeCell ref="B2404:F2404"/>
    <mergeCell ref="B2417:E2417"/>
    <mergeCell ref="B2418:F2418"/>
    <mergeCell ref="B2422:E2422"/>
    <mergeCell ref="B2423:E2423"/>
    <mergeCell ref="B2425:F2425"/>
    <mergeCell ref="B2426:D2426"/>
    <mergeCell ref="B2427:D2427"/>
    <mergeCell ref="B2429:F2429"/>
    <mergeCell ref="B2442:E2442"/>
    <mergeCell ref="B2443:F2443"/>
    <mergeCell ref="B2448:E2448"/>
    <mergeCell ref="B2449:F2449"/>
    <mergeCell ref="B2451:E2451"/>
    <mergeCell ref="B2452:F2452"/>
    <mergeCell ref="B2465:E2465"/>
    <mergeCell ref="B2466:F2466"/>
    <mergeCell ref="B2470:E2470"/>
    <mergeCell ref="B2471:E2471"/>
    <mergeCell ref="B2473:F2473"/>
    <mergeCell ref="B2474:D2474"/>
    <mergeCell ref="B2475:D2475"/>
    <mergeCell ref="B2477:F2477"/>
    <mergeCell ref="B2490:E2490"/>
    <mergeCell ref="B2491:F2491"/>
    <mergeCell ref="B2496:E2496"/>
    <mergeCell ref="B2497:F2497"/>
    <mergeCell ref="B2499:E2499"/>
    <mergeCell ref="B2500:F2500"/>
    <mergeCell ref="B2513:E2513"/>
    <mergeCell ref="B2514:F2514"/>
    <mergeCell ref="B2518:E2518"/>
    <mergeCell ref="B2519:E2519"/>
    <mergeCell ref="B2521:F2521"/>
    <mergeCell ref="B2522:D2522"/>
    <mergeCell ref="B2523:D2523"/>
    <mergeCell ref="B2525:F2525"/>
    <mergeCell ref="B2538:E2538"/>
    <mergeCell ref="B2539:F2539"/>
    <mergeCell ref="B2544:E2544"/>
    <mergeCell ref="B2545:F2545"/>
    <mergeCell ref="B2547:E2547"/>
    <mergeCell ref="B2548:F2548"/>
    <mergeCell ref="B2561:E2561"/>
    <mergeCell ref="B2562:F2562"/>
    <mergeCell ref="B2566:E2566"/>
    <mergeCell ref="B2567:E2567"/>
    <mergeCell ref="B2569:F2569"/>
    <mergeCell ref="B2570:D2570"/>
    <mergeCell ref="B2571:D2571"/>
    <mergeCell ref="B2573:F2573"/>
    <mergeCell ref="B2586:E2586"/>
    <mergeCell ref="B2587:F2587"/>
    <mergeCell ref="B2592:E2592"/>
    <mergeCell ref="B2593:F2593"/>
    <mergeCell ref="B2595:E2595"/>
    <mergeCell ref="B2596:F2596"/>
    <mergeCell ref="B2609:E2609"/>
    <mergeCell ref="B2610:F2610"/>
    <mergeCell ref="B2614:E2614"/>
    <mergeCell ref="B2615:E2615"/>
    <mergeCell ref="B2617:F2617"/>
    <mergeCell ref="B2618:D2618"/>
    <mergeCell ref="B2619:D2619"/>
    <mergeCell ref="B2621:F2621"/>
    <mergeCell ref="B2634:E2634"/>
    <mergeCell ref="B2635:F2635"/>
    <mergeCell ref="B2640:E2640"/>
    <mergeCell ref="B2641:F2641"/>
    <mergeCell ref="B2643:E2643"/>
    <mergeCell ref="B2644:F2644"/>
    <mergeCell ref="B2657:E2657"/>
    <mergeCell ref="B2688:E2688"/>
    <mergeCell ref="B2689:F2689"/>
    <mergeCell ref="B2691:E2691"/>
    <mergeCell ref="B2692:F2692"/>
    <mergeCell ref="B2705:E2705"/>
    <mergeCell ref="B2706:F2706"/>
    <mergeCell ref="B2710:E2710"/>
    <mergeCell ref="B2711:E2711"/>
    <mergeCell ref="B2658:F2658"/>
    <mergeCell ref="B2662:E2662"/>
    <mergeCell ref="B2663:E2663"/>
    <mergeCell ref="B2665:F2665"/>
    <mergeCell ref="B2666:D2666"/>
    <mergeCell ref="B2667:D2667"/>
    <mergeCell ref="B2669:F2669"/>
    <mergeCell ref="B2682:E2682"/>
    <mergeCell ref="B2683:F2683"/>
    <mergeCell ref="B2857:F2857"/>
    <mergeCell ref="B2858:D2858"/>
    <mergeCell ref="B2859:D2859"/>
    <mergeCell ref="B2861:F2861"/>
    <mergeCell ref="B2874:E2874"/>
    <mergeCell ref="B2875:F2875"/>
    <mergeCell ref="B2880:E2880"/>
    <mergeCell ref="B2881:F2881"/>
    <mergeCell ref="B2883:E2883"/>
    <mergeCell ref="B2884:F2884"/>
    <mergeCell ref="B2897:E2897"/>
    <mergeCell ref="B2898:F2898"/>
    <mergeCell ref="B2902:E2902"/>
    <mergeCell ref="B2903:E2903"/>
    <mergeCell ref="B2905:F2905"/>
    <mergeCell ref="B2906:D2906"/>
    <mergeCell ref="B2907:D2907"/>
    <mergeCell ref="B2909:F2909"/>
    <mergeCell ref="B2922:E2922"/>
    <mergeCell ref="B2923:F2923"/>
    <mergeCell ref="B2928:E2928"/>
    <mergeCell ref="B2929:F2929"/>
    <mergeCell ref="B2931:E2931"/>
    <mergeCell ref="B2932:F2932"/>
    <mergeCell ref="B2945:E2945"/>
    <mergeCell ref="B2946:F2946"/>
    <mergeCell ref="B2950:E2950"/>
    <mergeCell ref="B2951:E2951"/>
    <mergeCell ref="B2953:F2953"/>
    <mergeCell ref="B2954:D2954"/>
    <mergeCell ref="B2955:D2955"/>
    <mergeCell ref="B2957:F2957"/>
    <mergeCell ref="B2970:E2970"/>
    <mergeCell ref="B2971:F2971"/>
    <mergeCell ref="B2976:E2976"/>
    <mergeCell ref="B2977:F2977"/>
    <mergeCell ref="B2979:E2979"/>
    <mergeCell ref="B2980:F2980"/>
    <mergeCell ref="B2990:E2990"/>
    <mergeCell ref="B2991:F2991"/>
    <mergeCell ref="B2995:E2995"/>
    <mergeCell ref="B2996:E2996"/>
    <mergeCell ref="B2998:F2998"/>
    <mergeCell ref="B2999:D2999"/>
    <mergeCell ref="B3000:D3000"/>
    <mergeCell ref="B3002:F3002"/>
    <mergeCell ref="B3015:E3015"/>
    <mergeCell ref="B3016:F3016"/>
    <mergeCell ref="B3021:E3021"/>
    <mergeCell ref="B3022:F3022"/>
    <mergeCell ref="B3024:E3024"/>
    <mergeCell ref="B3025:F3025"/>
    <mergeCell ref="B3038:E3038"/>
    <mergeCell ref="B3039:F3039"/>
    <mergeCell ref="B3043:E3043"/>
    <mergeCell ref="B3044:E3044"/>
    <mergeCell ref="B3046:F3046"/>
    <mergeCell ref="B3047:D3047"/>
    <mergeCell ref="B3048:D3048"/>
    <mergeCell ref="B3050:F3050"/>
    <mergeCell ref="B3063:E3063"/>
    <mergeCell ref="B3064:F3064"/>
    <mergeCell ref="B3069:E3069"/>
    <mergeCell ref="B3070:F3070"/>
    <mergeCell ref="B3072:E3072"/>
    <mergeCell ref="B3073:F3073"/>
    <mergeCell ref="B3086:E3086"/>
    <mergeCell ref="B3087:F3087"/>
    <mergeCell ref="B3091:E3091"/>
    <mergeCell ref="B3092:E3092"/>
    <mergeCell ref="B3094:F3094"/>
    <mergeCell ref="B3095:D3095"/>
    <mergeCell ref="B3096:D3096"/>
    <mergeCell ref="B3098:F3098"/>
    <mergeCell ref="B3111:E3111"/>
    <mergeCell ref="B3112:F3112"/>
    <mergeCell ref="B3117:E3117"/>
    <mergeCell ref="B3118:F3118"/>
    <mergeCell ref="B3120:E3120"/>
    <mergeCell ref="B3121:F3121"/>
    <mergeCell ref="B3134:E3134"/>
    <mergeCell ref="B3135:F3135"/>
    <mergeCell ref="B3139:E3139"/>
    <mergeCell ref="B3140:E3140"/>
    <mergeCell ref="B3142:F3142"/>
    <mergeCell ref="B3143:D3143"/>
    <mergeCell ref="B3144:D3144"/>
    <mergeCell ref="B3146:F3146"/>
    <mergeCell ref="B3159:E3159"/>
    <mergeCell ref="B3160:F3160"/>
    <mergeCell ref="B3165:E3165"/>
    <mergeCell ref="B3166:F3166"/>
    <mergeCell ref="B3168:E3168"/>
    <mergeCell ref="B3169:F3169"/>
    <mergeCell ref="B3182:E3182"/>
    <mergeCell ref="B3183:F3183"/>
    <mergeCell ref="B3187:E3187"/>
    <mergeCell ref="B3188:E3188"/>
    <mergeCell ref="B3190:F3190"/>
    <mergeCell ref="B3230:E3230"/>
    <mergeCell ref="B3231:F3231"/>
    <mergeCell ref="B3235:E3235"/>
    <mergeCell ref="B3236:E3236"/>
    <mergeCell ref="B3191:D3191"/>
    <mergeCell ref="B3192:D3192"/>
    <mergeCell ref="B3194:F3194"/>
    <mergeCell ref="B3207:E3207"/>
    <mergeCell ref="B3208:F3208"/>
    <mergeCell ref="B3213:E3213"/>
    <mergeCell ref="B3214:F3214"/>
    <mergeCell ref="B3216:E3216"/>
    <mergeCell ref="B3217:F3217"/>
    <mergeCell ref="B1948:F1948"/>
    <mergeCell ref="B1949:D1949"/>
    <mergeCell ref="B1950:D1950"/>
    <mergeCell ref="B1952:F1952"/>
    <mergeCell ref="B1965:E1965"/>
    <mergeCell ref="B1966:F1966"/>
    <mergeCell ref="B1971:E1971"/>
    <mergeCell ref="B1972:F1972"/>
    <mergeCell ref="B1974:E1974"/>
    <mergeCell ref="B1975:F1975"/>
    <mergeCell ref="B1988:E1988"/>
    <mergeCell ref="B1989:F1989"/>
    <mergeCell ref="B1993:E1993"/>
    <mergeCell ref="B1994:E1994"/>
    <mergeCell ref="B1996:F1996"/>
    <mergeCell ref="B1997:D1997"/>
    <mergeCell ref="B1998:D1998"/>
    <mergeCell ref="B2000:F2000"/>
    <mergeCell ref="B2042:E2042"/>
    <mergeCell ref="B2013:E2013"/>
    <mergeCell ref="B2014:F2014"/>
    <mergeCell ref="B2019:E2019"/>
    <mergeCell ref="B2020:F2020"/>
    <mergeCell ref="B2022:E2022"/>
    <mergeCell ref="B2023:F2023"/>
    <mergeCell ref="B2036:E2036"/>
    <mergeCell ref="B2037:F2037"/>
    <mergeCell ref="B2041:E2041"/>
    <mergeCell ref="B1229:F1229"/>
    <mergeCell ref="B1242:E1242"/>
    <mergeCell ref="B1243:F1243"/>
    <mergeCell ref="B1247:E1247"/>
    <mergeCell ref="B1248:E1248"/>
    <mergeCell ref="B1202:F1202"/>
    <mergeCell ref="B1203:D1203"/>
    <mergeCell ref="B1204:D1204"/>
    <mergeCell ref="B1206:F1206"/>
    <mergeCell ref="B1219:E1219"/>
    <mergeCell ref="B1220:F1220"/>
    <mergeCell ref="B1225:E1225"/>
    <mergeCell ref="B1226:F1226"/>
    <mergeCell ref="B1228:E1228"/>
  </mergeCells>
  <pageMargins left="0.7" right="0.7" top="0.75" bottom="0.75" header="0.3" footer="0.3"/>
  <pageSetup paperSize="9" scale="45" fitToHeight="0" orientation="portrait" r:id="rId1"/>
  <rowBreaks count="59" manualBreakCount="59">
    <brk id="48" max="16383" man="1"/>
    <brk id="97" max="16383" man="1"/>
    <brk id="145" max="16383" man="1"/>
    <brk id="193" max="16383" man="1"/>
    <brk id="241" max="16383" man="1"/>
    <brk id="289" max="16383" man="1"/>
    <brk id="337" max="16383" man="1"/>
    <brk id="385" max="16383" man="1"/>
    <brk id="433" max="16383" man="1"/>
    <brk id="481" max="16383" man="1"/>
    <brk id="529" max="16383" man="1"/>
    <brk id="577" max="16383" man="1"/>
    <brk id="625" max="16383" man="1"/>
    <brk id="673" max="16383" man="1"/>
    <brk id="721" max="16383" man="1"/>
    <brk id="769" max="16383" man="1"/>
    <brk id="817" max="16383" man="1"/>
    <brk id="865" max="16383" man="1"/>
    <brk id="913" max="16383" man="1"/>
    <brk id="961" max="16383" man="1"/>
    <brk id="1009" max="16383" man="1"/>
    <brk id="1057" max="16383" man="1"/>
    <brk id="1105" max="16383" man="1"/>
    <brk id="1249" max="16383" man="1"/>
    <brk id="1297" max="16383" man="1"/>
    <brk id="1345" max="16383" man="1"/>
    <brk id="1393" max="16383" man="1"/>
    <brk id="1441" max="16383" man="1"/>
    <brk id="1489" max="16383" man="1"/>
    <brk id="1532" max="16383" man="1"/>
    <brk id="1802" max="16383" man="1"/>
    <brk id="1851" max="16383" man="1"/>
    <brk id="1899" max="16383" man="1"/>
    <brk id="1947" max="16383" man="1"/>
    <brk id="1995" max="16383" man="1"/>
    <brk id="2043" max="16383" man="1"/>
    <brk id="2091" max="16383" man="1"/>
    <brk id="2139" max="16383" man="1"/>
    <brk id="2187" max="16383" man="1"/>
    <brk id="2283" max="16383" man="1"/>
    <brk id="2328" max="16383" man="1"/>
    <brk id="2376" max="16383" man="1"/>
    <brk id="2424" max="16383" man="1"/>
    <brk id="2472" max="16383" man="1"/>
    <brk id="2520" max="16383" man="1"/>
    <brk id="2568" max="16383" man="1"/>
    <brk id="2616" max="16383" man="1"/>
    <brk id="2664" max="16383" man="1"/>
    <brk id="2712" max="16383" man="1"/>
    <brk id="2760" max="16383" man="1"/>
    <brk id="2808" max="16383" man="1"/>
    <brk id="2856" max="16383" man="1"/>
    <brk id="2904" max="16383" man="1"/>
    <brk id="2952" max="16383" man="1"/>
    <brk id="2997" max="16383" man="1"/>
    <brk id="3045" max="16383" man="1"/>
    <brk id="3093" max="16383" man="1"/>
    <brk id="3141" max="16383" man="1"/>
    <brk id="3189" max="16383" man="1"/>
  </rowBreaks>
  <colBreaks count="1" manualBreakCount="1">
    <brk id="1" max="1048575" man="1"/>
  </col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0"/>
  <sheetViews>
    <sheetView topLeftCell="A7" workbookViewId="0">
      <selection activeCell="E5" sqref="E5"/>
    </sheetView>
  </sheetViews>
  <sheetFormatPr baseColWidth="10" defaultRowHeight="15" x14ac:dyDescent="0.25"/>
  <cols>
    <col min="1" max="1" width="10.85546875" customWidth="1"/>
    <col min="2" max="2" width="70.85546875" customWidth="1"/>
    <col min="3" max="3" width="12.7109375" bestFit="1" customWidth="1"/>
    <col min="4" max="4" width="11.85546875" customWidth="1"/>
    <col min="5" max="5" width="18.7109375" customWidth="1"/>
    <col min="6" max="6" width="22" customWidth="1"/>
  </cols>
  <sheetData>
    <row r="1" spans="1:6" ht="15.75" x14ac:dyDescent="0.25">
      <c r="A1" s="614" t="s">
        <v>147</v>
      </c>
      <c r="B1" s="615"/>
      <c r="C1" s="615"/>
      <c r="D1" s="615"/>
      <c r="E1" s="615"/>
      <c r="F1" s="616"/>
    </row>
    <row r="2" spans="1:6" ht="30" x14ac:dyDescent="0.25">
      <c r="A2" s="127">
        <v>1</v>
      </c>
      <c r="B2" s="128" t="s">
        <v>148</v>
      </c>
      <c r="C2" s="129" t="s">
        <v>17</v>
      </c>
      <c r="D2" s="129">
        <v>3</v>
      </c>
      <c r="E2" s="130">
        <v>180000</v>
      </c>
      <c r="F2" s="131">
        <f>ROUND(D2*E2,0)</f>
        <v>540000</v>
      </c>
    </row>
    <row r="3" spans="1:6" ht="30" x14ac:dyDescent="0.25">
      <c r="A3" s="127">
        <v>2</v>
      </c>
      <c r="B3" s="128" t="s">
        <v>149</v>
      </c>
      <c r="C3" s="129" t="s">
        <v>17</v>
      </c>
      <c r="D3" s="129">
        <v>3</v>
      </c>
      <c r="E3" s="130">
        <v>180000</v>
      </c>
      <c r="F3" s="131">
        <f>ROUND(D3*E3,0)</f>
        <v>540000</v>
      </c>
    </row>
    <row r="4" spans="1:6" ht="30" x14ac:dyDescent="0.25">
      <c r="A4" s="127">
        <v>3</v>
      </c>
      <c r="B4" s="128" t="s">
        <v>150</v>
      </c>
      <c r="C4" s="129" t="s">
        <v>17</v>
      </c>
      <c r="D4" s="129">
        <v>3</v>
      </c>
      <c r="E4" s="130">
        <v>180000</v>
      </c>
      <c r="F4" s="131">
        <f>ROUND(D4*E4,0)</f>
        <v>540000</v>
      </c>
    </row>
    <row r="5" spans="1:6" ht="30" x14ac:dyDescent="0.25">
      <c r="A5" s="127">
        <v>4</v>
      </c>
      <c r="B5" s="132" t="s">
        <v>151</v>
      </c>
      <c r="C5" s="129" t="s">
        <v>17</v>
      </c>
      <c r="D5" s="129">
        <v>2</v>
      </c>
      <c r="E5" s="133">
        <v>65000</v>
      </c>
      <c r="F5" s="131">
        <f>ROUND(D5*E5,0)</f>
        <v>130000</v>
      </c>
    </row>
    <row r="6" spans="1:6" x14ac:dyDescent="0.25">
      <c r="A6" s="127">
        <v>5</v>
      </c>
      <c r="B6" s="134" t="s">
        <v>152</v>
      </c>
      <c r="C6" s="129" t="s">
        <v>17</v>
      </c>
      <c r="D6" s="129">
        <v>6</v>
      </c>
      <c r="E6" s="135">
        <v>85000</v>
      </c>
      <c r="F6" s="131">
        <f>ROUND(D6*E6,0)</f>
        <v>510000</v>
      </c>
    </row>
    <row r="7" spans="1:6" x14ac:dyDescent="0.25">
      <c r="A7" s="127">
        <v>6</v>
      </c>
      <c r="B7" s="136" t="s">
        <v>153</v>
      </c>
      <c r="C7" s="129" t="s">
        <v>17</v>
      </c>
      <c r="D7" s="129">
        <v>0</v>
      </c>
      <c r="E7" s="135">
        <v>45000</v>
      </c>
      <c r="F7" s="131">
        <f t="shared" ref="F7:F11" si="0">ROUND(D7*E7,0)</f>
        <v>0</v>
      </c>
    </row>
    <row r="8" spans="1:6" x14ac:dyDescent="0.25">
      <c r="A8" s="127">
        <v>7</v>
      </c>
      <c r="B8" s="134" t="s">
        <v>154</v>
      </c>
      <c r="C8" s="129" t="s">
        <v>17</v>
      </c>
      <c r="D8" s="129">
        <v>5</v>
      </c>
      <c r="E8" s="135">
        <v>52000</v>
      </c>
      <c r="F8" s="131">
        <f t="shared" si="0"/>
        <v>260000</v>
      </c>
    </row>
    <row r="9" spans="1:6" x14ac:dyDescent="0.25">
      <c r="A9" s="127">
        <v>8</v>
      </c>
      <c r="B9" s="136" t="s">
        <v>155</v>
      </c>
      <c r="C9" s="129" t="s">
        <v>17</v>
      </c>
      <c r="D9" s="129">
        <v>0</v>
      </c>
      <c r="E9" s="135">
        <v>50000</v>
      </c>
      <c r="F9" s="131">
        <f t="shared" si="0"/>
        <v>0</v>
      </c>
    </row>
    <row r="10" spans="1:6" ht="30" x14ac:dyDescent="0.25">
      <c r="A10" s="127">
        <v>9</v>
      </c>
      <c r="B10" s="137" t="s">
        <v>156</v>
      </c>
      <c r="C10" s="138" t="s">
        <v>17</v>
      </c>
      <c r="D10" s="139">
        <v>4</v>
      </c>
      <c r="E10" s="135">
        <v>65000</v>
      </c>
      <c r="F10" s="131">
        <f t="shared" si="0"/>
        <v>260000</v>
      </c>
    </row>
    <row r="11" spans="1:6" ht="30" x14ac:dyDescent="0.25">
      <c r="A11" s="127">
        <v>10</v>
      </c>
      <c r="B11" s="136" t="s">
        <v>157</v>
      </c>
      <c r="C11" s="129" t="s">
        <v>111</v>
      </c>
      <c r="D11" s="129">
        <v>500</v>
      </c>
      <c r="E11" s="135">
        <v>2000</v>
      </c>
      <c r="F11" s="131">
        <f t="shared" si="0"/>
        <v>1000000</v>
      </c>
    </row>
    <row r="12" spans="1:6" x14ac:dyDescent="0.25">
      <c r="A12" s="140">
        <v>11</v>
      </c>
      <c r="B12" s="136" t="s">
        <v>158</v>
      </c>
      <c r="C12" s="141" t="s">
        <v>17</v>
      </c>
      <c r="D12" s="129">
        <v>1</v>
      </c>
      <c r="E12" s="135">
        <v>3500000</v>
      </c>
      <c r="F12" s="131">
        <f>ROUND(D12*E12,0)</f>
        <v>3500000</v>
      </c>
    </row>
    <row r="13" spans="1:6" x14ac:dyDescent="0.25">
      <c r="A13" s="140">
        <v>12</v>
      </c>
      <c r="B13" s="136" t="s">
        <v>159</v>
      </c>
      <c r="C13" s="142" t="s">
        <v>160</v>
      </c>
      <c r="D13" s="129">
        <v>1</v>
      </c>
      <c r="E13" s="135">
        <v>1926595</v>
      </c>
      <c r="F13" s="131">
        <f>ROUND(D13*E13,0)</f>
        <v>1926595</v>
      </c>
    </row>
    <row r="14" spans="1:6" ht="30" x14ac:dyDescent="0.25">
      <c r="A14" s="140">
        <v>13</v>
      </c>
      <c r="B14" s="136" t="s">
        <v>161</v>
      </c>
      <c r="C14" s="129" t="s">
        <v>17</v>
      </c>
      <c r="D14" s="129">
        <v>3</v>
      </c>
      <c r="E14" s="135">
        <v>265000</v>
      </c>
      <c r="F14" s="131">
        <f>ROUND(D14*E14,0)</f>
        <v>795000</v>
      </c>
    </row>
    <row r="15" spans="1:6" x14ac:dyDescent="0.25">
      <c r="A15" s="140">
        <v>14</v>
      </c>
      <c r="B15" s="136" t="s">
        <v>162</v>
      </c>
      <c r="C15" s="129" t="s">
        <v>17</v>
      </c>
      <c r="D15" s="129">
        <v>3</v>
      </c>
      <c r="E15" s="135">
        <v>323616</v>
      </c>
      <c r="F15" s="131">
        <f>ROUND(D15*E15,0)</f>
        <v>970848</v>
      </c>
    </row>
    <row r="16" spans="1:6" x14ac:dyDescent="0.25">
      <c r="A16" s="140">
        <v>15</v>
      </c>
      <c r="B16" s="136" t="s">
        <v>163</v>
      </c>
      <c r="C16" s="142" t="s">
        <v>164</v>
      </c>
      <c r="D16" s="129">
        <v>0</v>
      </c>
      <c r="E16" s="135">
        <v>2100000</v>
      </c>
      <c r="F16" s="131">
        <f>ROUND(D16*E16,0)</f>
        <v>0</v>
      </c>
    </row>
    <row r="17" spans="1:6" ht="15.75" x14ac:dyDescent="0.25">
      <c r="A17" s="143" t="s">
        <v>165</v>
      </c>
      <c r="B17" s="143"/>
      <c r="C17" s="143"/>
      <c r="D17" s="143"/>
      <c r="E17" s="144"/>
      <c r="F17" s="145">
        <f>+SUM(F2:F16)</f>
        <v>10972443</v>
      </c>
    </row>
    <row r="19" spans="1:6" ht="15.75" thickBot="1" x14ac:dyDescent="0.3"/>
    <row r="20" spans="1:6" ht="78" customHeight="1" thickBot="1" x14ac:dyDescent="0.3">
      <c r="A20" s="617" t="s">
        <v>166</v>
      </c>
      <c r="B20" s="618"/>
      <c r="C20" s="618"/>
      <c r="D20" s="618"/>
      <c r="E20" s="619"/>
    </row>
  </sheetData>
  <mergeCells count="2">
    <mergeCell ref="A1:F1"/>
    <mergeCell ref="A20:E20"/>
  </mergeCells>
  <pageMargins left="0.9055118110236221" right="0.9055118110236221" top="0.94488188976377963" bottom="0.94488188976377963" header="0.31496062992125984" footer="0.31496062992125984"/>
  <pageSetup scale="58" fitToHeight="0"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A1:WVP104"/>
  <sheetViews>
    <sheetView topLeftCell="A72" workbookViewId="0">
      <selection activeCell="B79" sqref="B79"/>
    </sheetView>
  </sheetViews>
  <sheetFormatPr baseColWidth="10" defaultColWidth="0" defaultRowHeight="12" x14ac:dyDescent="0.2"/>
  <cols>
    <col min="1" max="1" width="42.42578125" style="170" customWidth="1"/>
    <col min="2" max="2" width="17.7109375" style="150" customWidth="1"/>
    <col min="3" max="3" width="18.42578125" style="148" customWidth="1"/>
    <col min="4" max="4" width="13.85546875" style="148" bestFit="1" customWidth="1"/>
    <col min="5" max="5" width="14.28515625" style="148" customWidth="1"/>
    <col min="6" max="6" width="5.85546875" style="148" customWidth="1"/>
    <col min="7" max="7" width="16.5703125" style="148" customWidth="1"/>
    <col min="8" max="8" width="15.42578125" style="215" bestFit="1" customWidth="1"/>
    <col min="9" max="9" width="16" style="148" customWidth="1"/>
    <col min="10" max="10" width="15.42578125" style="148" customWidth="1"/>
    <col min="11" max="11" width="13.42578125" style="148" customWidth="1"/>
    <col min="12" max="12" width="12" style="148" bestFit="1" customWidth="1"/>
    <col min="13" max="13" width="11.42578125" style="147" customWidth="1"/>
    <col min="14" max="255" width="11.42578125" style="148" hidden="1"/>
    <col min="256" max="256" width="7" style="148" hidden="1"/>
    <col min="257" max="257" width="25.28515625" style="148" hidden="1"/>
    <col min="258" max="258" width="11.42578125" style="148" hidden="1"/>
    <col min="259" max="259" width="12.5703125" style="148" hidden="1"/>
    <col min="260" max="260" width="8.85546875" style="148" hidden="1"/>
    <col min="261" max="261" width="9.42578125" style="148" hidden="1"/>
    <col min="262" max="262" width="3.28515625" style="148" hidden="1"/>
    <col min="263" max="263" width="12" style="148" hidden="1"/>
    <col min="264" max="264" width="14.85546875" style="148" hidden="1"/>
    <col min="265" max="511" width="11.42578125" style="148" hidden="1"/>
    <col min="512" max="512" width="7" style="148" hidden="1"/>
    <col min="513" max="513" width="25.28515625" style="148" hidden="1"/>
    <col min="514" max="514" width="11.42578125" style="148" hidden="1"/>
    <col min="515" max="515" width="12.5703125" style="148" hidden="1"/>
    <col min="516" max="516" width="8.85546875" style="148" hidden="1"/>
    <col min="517" max="517" width="9.42578125" style="148" hidden="1"/>
    <col min="518" max="518" width="3.28515625" style="148" hidden="1"/>
    <col min="519" max="519" width="12" style="148" hidden="1"/>
    <col min="520" max="520" width="14.85546875" style="148" hidden="1"/>
    <col min="521" max="767" width="11.42578125" style="148" hidden="1"/>
    <col min="768" max="768" width="7" style="148" hidden="1"/>
    <col min="769" max="769" width="25.28515625" style="148" hidden="1"/>
    <col min="770" max="770" width="11.42578125" style="148" hidden="1"/>
    <col min="771" max="771" width="12.5703125" style="148" hidden="1"/>
    <col min="772" max="772" width="8.85546875" style="148" hidden="1"/>
    <col min="773" max="773" width="9.42578125" style="148" hidden="1"/>
    <col min="774" max="774" width="3.28515625" style="148" hidden="1"/>
    <col min="775" max="775" width="12" style="148" hidden="1"/>
    <col min="776" max="776" width="14.85546875" style="148" hidden="1"/>
    <col min="777" max="1023" width="11.42578125" style="148" hidden="1"/>
    <col min="1024" max="1024" width="7" style="148" hidden="1"/>
    <col min="1025" max="1025" width="25.28515625" style="148" hidden="1"/>
    <col min="1026" max="1026" width="11.42578125" style="148" hidden="1"/>
    <col min="1027" max="1027" width="12.5703125" style="148" hidden="1"/>
    <col min="1028" max="1028" width="8.85546875" style="148" hidden="1"/>
    <col min="1029" max="1029" width="9.42578125" style="148" hidden="1"/>
    <col min="1030" max="1030" width="3.28515625" style="148" hidden="1"/>
    <col min="1031" max="1031" width="12" style="148" hidden="1"/>
    <col min="1032" max="1032" width="14.85546875" style="148" hidden="1"/>
    <col min="1033" max="1279" width="11.42578125" style="148" hidden="1"/>
    <col min="1280" max="1280" width="7" style="148" hidden="1"/>
    <col min="1281" max="1281" width="25.28515625" style="148" hidden="1"/>
    <col min="1282" max="1282" width="11.42578125" style="148" hidden="1"/>
    <col min="1283" max="1283" width="12.5703125" style="148" hidden="1"/>
    <col min="1284" max="1284" width="8.85546875" style="148" hidden="1"/>
    <col min="1285" max="1285" width="9.42578125" style="148" hidden="1"/>
    <col min="1286" max="1286" width="3.28515625" style="148" hidden="1"/>
    <col min="1287" max="1287" width="12" style="148" hidden="1"/>
    <col min="1288" max="1288" width="14.85546875" style="148" hidden="1"/>
    <col min="1289" max="1535" width="11.42578125" style="148" hidden="1"/>
    <col min="1536" max="1536" width="7" style="148" hidden="1"/>
    <col min="1537" max="1537" width="25.28515625" style="148" hidden="1"/>
    <col min="1538" max="1538" width="11.42578125" style="148" hidden="1"/>
    <col min="1539" max="1539" width="12.5703125" style="148" hidden="1"/>
    <col min="1540" max="1540" width="8.85546875" style="148" hidden="1"/>
    <col min="1541" max="1541" width="9.42578125" style="148" hidden="1"/>
    <col min="1542" max="1542" width="3.28515625" style="148" hidden="1"/>
    <col min="1543" max="1543" width="12" style="148" hidden="1"/>
    <col min="1544" max="1544" width="14.85546875" style="148" hidden="1"/>
    <col min="1545" max="1791" width="11.42578125" style="148" hidden="1"/>
    <col min="1792" max="1792" width="7" style="148" hidden="1"/>
    <col min="1793" max="1793" width="25.28515625" style="148" hidden="1"/>
    <col min="1794" max="1794" width="11.42578125" style="148" hidden="1"/>
    <col min="1795" max="1795" width="12.5703125" style="148" hidden="1"/>
    <col min="1796" max="1796" width="8.85546875" style="148" hidden="1"/>
    <col min="1797" max="1797" width="9.42578125" style="148" hidden="1"/>
    <col min="1798" max="1798" width="3.28515625" style="148" hidden="1"/>
    <col min="1799" max="1799" width="12" style="148" hidden="1"/>
    <col min="1800" max="1800" width="14.85546875" style="148" hidden="1"/>
    <col min="1801" max="2047" width="11.42578125" style="148" hidden="1"/>
    <col min="2048" max="2048" width="7" style="148" hidden="1"/>
    <col min="2049" max="2049" width="25.28515625" style="148" hidden="1"/>
    <col min="2050" max="2050" width="11.42578125" style="148" hidden="1"/>
    <col min="2051" max="2051" width="12.5703125" style="148" hidden="1"/>
    <col min="2052" max="2052" width="8.85546875" style="148" hidden="1"/>
    <col min="2053" max="2053" width="9.42578125" style="148" hidden="1"/>
    <col min="2054" max="2054" width="3.28515625" style="148" hidden="1"/>
    <col min="2055" max="2055" width="12" style="148" hidden="1"/>
    <col min="2056" max="2056" width="14.85546875" style="148" hidden="1"/>
    <col min="2057" max="2303" width="11.42578125" style="148" hidden="1"/>
    <col min="2304" max="2304" width="7" style="148" hidden="1"/>
    <col min="2305" max="2305" width="25.28515625" style="148" hidden="1"/>
    <col min="2306" max="2306" width="11.42578125" style="148" hidden="1"/>
    <col min="2307" max="2307" width="12.5703125" style="148" hidden="1"/>
    <col min="2308" max="2308" width="8.85546875" style="148" hidden="1"/>
    <col min="2309" max="2309" width="9.42578125" style="148" hidden="1"/>
    <col min="2310" max="2310" width="3.28515625" style="148" hidden="1"/>
    <col min="2311" max="2311" width="12" style="148" hidden="1"/>
    <col min="2312" max="2312" width="14.85546875" style="148" hidden="1"/>
    <col min="2313" max="2559" width="11.42578125" style="148" hidden="1"/>
    <col min="2560" max="2560" width="7" style="148" hidden="1"/>
    <col min="2561" max="2561" width="25.28515625" style="148" hidden="1"/>
    <col min="2562" max="2562" width="11.42578125" style="148" hidden="1"/>
    <col min="2563" max="2563" width="12.5703125" style="148" hidden="1"/>
    <col min="2564" max="2564" width="8.85546875" style="148" hidden="1"/>
    <col min="2565" max="2565" width="9.42578125" style="148" hidden="1"/>
    <col min="2566" max="2566" width="3.28515625" style="148" hidden="1"/>
    <col min="2567" max="2567" width="12" style="148" hidden="1"/>
    <col min="2568" max="2568" width="14.85546875" style="148" hidden="1"/>
    <col min="2569" max="2815" width="11.42578125" style="148" hidden="1"/>
    <col min="2816" max="2816" width="7" style="148" hidden="1"/>
    <col min="2817" max="2817" width="25.28515625" style="148" hidden="1"/>
    <col min="2818" max="2818" width="11.42578125" style="148" hidden="1"/>
    <col min="2819" max="2819" width="12.5703125" style="148" hidden="1"/>
    <col min="2820" max="2820" width="8.85546875" style="148" hidden="1"/>
    <col min="2821" max="2821" width="9.42578125" style="148" hidden="1"/>
    <col min="2822" max="2822" width="3.28515625" style="148" hidden="1"/>
    <col min="2823" max="2823" width="12" style="148" hidden="1"/>
    <col min="2824" max="2824" width="14.85546875" style="148" hidden="1"/>
    <col min="2825" max="3071" width="11.42578125" style="148" hidden="1"/>
    <col min="3072" max="3072" width="7" style="148" hidden="1"/>
    <col min="3073" max="3073" width="25.28515625" style="148" hidden="1"/>
    <col min="3074" max="3074" width="11.42578125" style="148" hidden="1"/>
    <col min="3075" max="3075" width="12.5703125" style="148" hidden="1"/>
    <col min="3076" max="3076" width="8.85546875" style="148" hidden="1"/>
    <col min="3077" max="3077" width="9.42578125" style="148" hidden="1"/>
    <col min="3078" max="3078" width="3.28515625" style="148" hidden="1"/>
    <col min="3079" max="3079" width="12" style="148" hidden="1"/>
    <col min="3080" max="3080" width="14.85546875" style="148" hidden="1"/>
    <col min="3081" max="3327" width="11.42578125" style="148" hidden="1"/>
    <col min="3328" max="3328" width="7" style="148" hidden="1"/>
    <col min="3329" max="3329" width="25.28515625" style="148" hidden="1"/>
    <col min="3330" max="3330" width="11.42578125" style="148" hidden="1"/>
    <col min="3331" max="3331" width="12.5703125" style="148" hidden="1"/>
    <col min="3332" max="3332" width="8.85546875" style="148" hidden="1"/>
    <col min="3333" max="3333" width="9.42578125" style="148" hidden="1"/>
    <col min="3334" max="3334" width="3.28515625" style="148" hidden="1"/>
    <col min="3335" max="3335" width="12" style="148" hidden="1"/>
    <col min="3336" max="3336" width="14.85546875" style="148" hidden="1"/>
    <col min="3337" max="3583" width="11.42578125" style="148" hidden="1"/>
    <col min="3584" max="3584" width="7" style="148" hidden="1"/>
    <col min="3585" max="3585" width="25.28515625" style="148" hidden="1"/>
    <col min="3586" max="3586" width="11.42578125" style="148" hidden="1"/>
    <col min="3587" max="3587" width="12.5703125" style="148" hidden="1"/>
    <col min="3588" max="3588" width="8.85546875" style="148" hidden="1"/>
    <col min="3589" max="3589" width="9.42578125" style="148" hidden="1"/>
    <col min="3590" max="3590" width="3.28515625" style="148" hidden="1"/>
    <col min="3591" max="3591" width="12" style="148" hidden="1"/>
    <col min="3592" max="3592" width="14.85546875" style="148" hidden="1"/>
    <col min="3593" max="3839" width="11.42578125" style="148" hidden="1"/>
    <col min="3840" max="3840" width="7" style="148" hidden="1"/>
    <col min="3841" max="3841" width="25.28515625" style="148" hidden="1"/>
    <col min="3842" max="3842" width="11.42578125" style="148" hidden="1"/>
    <col min="3843" max="3843" width="12.5703125" style="148" hidden="1"/>
    <col min="3844" max="3844" width="8.85546875" style="148" hidden="1"/>
    <col min="3845" max="3845" width="9.42578125" style="148" hidden="1"/>
    <col min="3846" max="3846" width="3.28515625" style="148" hidden="1"/>
    <col min="3847" max="3847" width="12" style="148" hidden="1"/>
    <col min="3848" max="3848" width="14.85546875" style="148" hidden="1"/>
    <col min="3849" max="4095" width="11.42578125" style="148" hidden="1"/>
    <col min="4096" max="4096" width="7" style="148" hidden="1"/>
    <col min="4097" max="4097" width="25.28515625" style="148" hidden="1"/>
    <col min="4098" max="4098" width="11.42578125" style="148" hidden="1"/>
    <col min="4099" max="4099" width="12.5703125" style="148" hidden="1"/>
    <col min="4100" max="4100" width="8.85546875" style="148" hidden="1"/>
    <col min="4101" max="4101" width="9.42578125" style="148" hidden="1"/>
    <col min="4102" max="4102" width="3.28515625" style="148" hidden="1"/>
    <col min="4103" max="4103" width="12" style="148" hidden="1"/>
    <col min="4104" max="4104" width="14.85546875" style="148" hidden="1"/>
    <col min="4105" max="4351" width="11.42578125" style="148" hidden="1"/>
    <col min="4352" max="4352" width="7" style="148" hidden="1"/>
    <col min="4353" max="4353" width="25.28515625" style="148" hidden="1"/>
    <col min="4354" max="4354" width="11.42578125" style="148" hidden="1"/>
    <col min="4355" max="4355" width="12.5703125" style="148" hidden="1"/>
    <col min="4356" max="4356" width="8.85546875" style="148" hidden="1"/>
    <col min="4357" max="4357" width="9.42578125" style="148" hidden="1"/>
    <col min="4358" max="4358" width="3.28515625" style="148" hidden="1"/>
    <col min="4359" max="4359" width="12" style="148" hidden="1"/>
    <col min="4360" max="4360" width="14.85546875" style="148" hidden="1"/>
    <col min="4361" max="4607" width="11.42578125" style="148" hidden="1"/>
    <col min="4608" max="4608" width="7" style="148" hidden="1"/>
    <col min="4609" max="4609" width="25.28515625" style="148" hidden="1"/>
    <col min="4610" max="4610" width="11.42578125" style="148" hidden="1"/>
    <col min="4611" max="4611" width="12.5703125" style="148" hidden="1"/>
    <col min="4612" max="4612" width="8.85546875" style="148" hidden="1"/>
    <col min="4613" max="4613" width="9.42578125" style="148" hidden="1"/>
    <col min="4614" max="4614" width="3.28515625" style="148" hidden="1"/>
    <col min="4615" max="4615" width="12" style="148" hidden="1"/>
    <col min="4616" max="4616" width="14.85546875" style="148" hidden="1"/>
    <col min="4617" max="4863" width="11.42578125" style="148" hidden="1"/>
    <col min="4864" max="4864" width="7" style="148" hidden="1"/>
    <col min="4865" max="4865" width="25.28515625" style="148" hidden="1"/>
    <col min="4866" max="4866" width="11.42578125" style="148" hidden="1"/>
    <col min="4867" max="4867" width="12.5703125" style="148" hidden="1"/>
    <col min="4868" max="4868" width="8.85546875" style="148" hidden="1"/>
    <col min="4869" max="4869" width="9.42578125" style="148" hidden="1"/>
    <col min="4870" max="4870" width="3.28515625" style="148" hidden="1"/>
    <col min="4871" max="4871" width="12" style="148" hidden="1"/>
    <col min="4872" max="4872" width="14.85546875" style="148" hidden="1"/>
    <col min="4873" max="5119" width="11.42578125" style="148" hidden="1"/>
    <col min="5120" max="5120" width="7" style="148" hidden="1"/>
    <col min="5121" max="5121" width="25.28515625" style="148" hidden="1"/>
    <col min="5122" max="5122" width="11.42578125" style="148" hidden="1"/>
    <col min="5123" max="5123" width="12.5703125" style="148" hidden="1"/>
    <col min="5124" max="5124" width="8.85546875" style="148" hidden="1"/>
    <col min="5125" max="5125" width="9.42578125" style="148" hidden="1"/>
    <col min="5126" max="5126" width="3.28515625" style="148" hidden="1"/>
    <col min="5127" max="5127" width="12" style="148" hidden="1"/>
    <col min="5128" max="5128" width="14.85546875" style="148" hidden="1"/>
    <col min="5129" max="5375" width="11.42578125" style="148" hidden="1"/>
    <col min="5376" max="5376" width="7" style="148" hidden="1"/>
    <col min="5377" max="5377" width="25.28515625" style="148" hidden="1"/>
    <col min="5378" max="5378" width="11.42578125" style="148" hidden="1"/>
    <col min="5379" max="5379" width="12.5703125" style="148" hidden="1"/>
    <col min="5380" max="5380" width="8.85546875" style="148" hidden="1"/>
    <col min="5381" max="5381" width="9.42578125" style="148" hidden="1"/>
    <col min="5382" max="5382" width="3.28515625" style="148" hidden="1"/>
    <col min="5383" max="5383" width="12" style="148" hidden="1"/>
    <col min="5384" max="5384" width="14.85546875" style="148" hidden="1"/>
    <col min="5385" max="5631" width="11.42578125" style="148" hidden="1"/>
    <col min="5632" max="5632" width="7" style="148" hidden="1"/>
    <col min="5633" max="5633" width="25.28515625" style="148" hidden="1"/>
    <col min="5634" max="5634" width="11.42578125" style="148" hidden="1"/>
    <col min="5635" max="5635" width="12.5703125" style="148" hidden="1"/>
    <col min="5636" max="5636" width="8.85546875" style="148" hidden="1"/>
    <col min="5637" max="5637" width="9.42578125" style="148" hidden="1"/>
    <col min="5638" max="5638" width="3.28515625" style="148" hidden="1"/>
    <col min="5639" max="5639" width="12" style="148" hidden="1"/>
    <col min="5640" max="5640" width="14.85546875" style="148" hidden="1"/>
    <col min="5641" max="5887" width="11.42578125" style="148" hidden="1"/>
    <col min="5888" max="5888" width="7" style="148" hidden="1"/>
    <col min="5889" max="5889" width="25.28515625" style="148" hidden="1"/>
    <col min="5890" max="5890" width="11.42578125" style="148" hidden="1"/>
    <col min="5891" max="5891" width="12.5703125" style="148" hidden="1"/>
    <col min="5892" max="5892" width="8.85546875" style="148" hidden="1"/>
    <col min="5893" max="5893" width="9.42578125" style="148" hidden="1"/>
    <col min="5894" max="5894" width="3.28515625" style="148" hidden="1"/>
    <col min="5895" max="5895" width="12" style="148" hidden="1"/>
    <col min="5896" max="5896" width="14.85546875" style="148" hidden="1"/>
    <col min="5897" max="6143" width="11.42578125" style="148" hidden="1"/>
    <col min="6144" max="6144" width="7" style="148" hidden="1"/>
    <col min="6145" max="6145" width="25.28515625" style="148" hidden="1"/>
    <col min="6146" max="6146" width="11.42578125" style="148" hidden="1"/>
    <col min="6147" max="6147" width="12.5703125" style="148" hidden="1"/>
    <col min="6148" max="6148" width="8.85546875" style="148" hidden="1"/>
    <col min="6149" max="6149" width="9.42578125" style="148" hidden="1"/>
    <col min="6150" max="6150" width="3.28515625" style="148" hidden="1"/>
    <col min="6151" max="6151" width="12" style="148" hidden="1"/>
    <col min="6152" max="6152" width="14.85546875" style="148" hidden="1"/>
    <col min="6153" max="6399" width="11.42578125" style="148" hidden="1"/>
    <col min="6400" max="6400" width="7" style="148" hidden="1"/>
    <col min="6401" max="6401" width="25.28515625" style="148" hidden="1"/>
    <col min="6402" max="6402" width="11.42578125" style="148" hidden="1"/>
    <col min="6403" max="6403" width="12.5703125" style="148" hidden="1"/>
    <col min="6404" max="6404" width="8.85546875" style="148" hidden="1"/>
    <col min="6405" max="6405" width="9.42578125" style="148" hidden="1"/>
    <col min="6406" max="6406" width="3.28515625" style="148" hidden="1"/>
    <col min="6407" max="6407" width="12" style="148" hidden="1"/>
    <col min="6408" max="6408" width="14.85546875" style="148" hidden="1"/>
    <col min="6409" max="6655" width="11.42578125" style="148" hidden="1"/>
    <col min="6656" max="6656" width="7" style="148" hidden="1"/>
    <col min="6657" max="6657" width="25.28515625" style="148" hidden="1"/>
    <col min="6658" max="6658" width="11.42578125" style="148" hidden="1"/>
    <col min="6659" max="6659" width="12.5703125" style="148" hidden="1"/>
    <col min="6660" max="6660" width="8.85546875" style="148" hidden="1"/>
    <col min="6661" max="6661" width="9.42578125" style="148" hidden="1"/>
    <col min="6662" max="6662" width="3.28515625" style="148" hidden="1"/>
    <col min="6663" max="6663" width="12" style="148" hidden="1"/>
    <col min="6664" max="6664" width="14.85546875" style="148" hidden="1"/>
    <col min="6665" max="6911" width="11.42578125" style="148" hidden="1"/>
    <col min="6912" max="6912" width="7" style="148" hidden="1"/>
    <col min="6913" max="6913" width="25.28515625" style="148" hidden="1"/>
    <col min="6914" max="6914" width="11.42578125" style="148" hidden="1"/>
    <col min="6915" max="6915" width="12.5703125" style="148" hidden="1"/>
    <col min="6916" max="6916" width="8.85546875" style="148" hidden="1"/>
    <col min="6917" max="6917" width="9.42578125" style="148" hidden="1"/>
    <col min="6918" max="6918" width="3.28515625" style="148" hidden="1"/>
    <col min="6919" max="6919" width="12" style="148" hidden="1"/>
    <col min="6920" max="6920" width="14.85546875" style="148" hidden="1"/>
    <col min="6921" max="7167" width="11.42578125" style="148" hidden="1"/>
    <col min="7168" max="7168" width="7" style="148" hidden="1"/>
    <col min="7169" max="7169" width="25.28515625" style="148" hidden="1"/>
    <col min="7170" max="7170" width="11.42578125" style="148" hidden="1"/>
    <col min="7171" max="7171" width="12.5703125" style="148" hidden="1"/>
    <col min="7172" max="7172" width="8.85546875" style="148" hidden="1"/>
    <col min="7173" max="7173" width="9.42578125" style="148" hidden="1"/>
    <col min="7174" max="7174" width="3.28515625" style="148" hidden="1"/>
    <col min="7175" max="7175" width="12" style="148" hidden="1"/>
    <col min="7176" max="7176" width="14.85546875" style="148" hidden="1"/>
    <col min="7177" max="7423" width="11.42578125" style="148" hidden="1"/>
    <col min="7424" max="7424" width="7" style="148" hidden="1"/>
    <col min="7425" max="7425" width="25.28515625" style="148" hidden="1"/>
    <col min="7426" max="7426" width="11.42578125" style="148" hidden="1"/>
    <col min="7427" max="7427" width="12.5703125" style="148" hidden="1"/>
    <col min="7428" max="7428" width="8.85546875" style="148" hidden="1"/>
    <col min="7429" max="7429" width="9.42578125" style="148" hidden="1"/>
    <col min="7430" max="7430" width="3.28515625" style="148" hidden="1"/>
    <col min="7431" max="7431" width="12" style="148" hidden="1"/>
    <col min="7432" max="7432" width="14.85546875" style="148" hidden="1"/>
    <col min="7433" max="7679" width="11.42578125" style="148" hidden="1"/>
    <col min="7680" max="7680" width="7" style="148" hidden="1"/>
    <col min="7681" max="7681" width="25.28515625" style="148" hidden="1"/>
    <col min="7682" max="7682" width="11.42578125" style="148" hidden="1"/>
    <col min="7683" max="7683" width="12.5703125" style="148" hidden="1"/>
    <col min="7684" max="7684" width="8.85546875" style="148" hidden="1"/>
    <col min="7685" max="7685" width="9.42578125" style="148" hidden="1"/>
    <col min="7686" max="7686" width="3.28515625" style="148" hidden="1"/>
    <col min="7687" max="7687" width="12" style="148" hidden="1"/>
    <col min="7688" max="7688" width="14.85546875" style="148" hidden="1"/>
    <col min="7689" max="7935" width="11.42578125" style="148" hidden="1"/>
    <col min="7936" max="7936" width="7" style="148" hidden="1"/>
    <col min="7937" max="7937" width="25.28515625" style="148" hidden="1"/>
    <col min="7938" max="7938" width="11.42578125" style="148" hidden="1"/>
    <col min="7939" max="7939" width="12.5703125" style="148" hidden="1"/>
    <col min="7940" max="7940" width="8.85546875" style="148" hidden="1"/>
    <col min="7941" max="7941" width="9.42578125" style="148" hidden="1"/>
    <col min="7942" max="7942" width="3.28515625" style="148" hidden="1"/>
    <col min="7943" max="7943" width="12" style="148" hidden="1"/>
    <col min="7944" max="7944" width="14.85546875" style="148" hidden="1"/>
    <col min="7945" max="8191" width="11.42578125" style="148" hidden="1"/>
    <col min="8192" max="8192" width="7" style="148" hidden="1"/>
    <col min="8193" max="8193" width="25.28515625" style="148" hidden="1"/>
    <col min="8194" max="8194" width="11.42578125" style="148" hidden="1"/>
    <col min="8195" max="8195" width="12.5703125" style="148" hidden="1"/>
    <col min="8196" max="8196" width="8.85546875" style="148" hidden="1"/>
    <col min="8197" max="8197" width="9.42578125" style="148" hidden="1"/>
    <col min="8198" max="8198" width="3.28515625" style="148" hidden="1"/>
    <col min="8199" max="8199" width="12" style="148" hidden="1"/>
    <col min="8200" max="8200" width="14.85546875" style="148" hidden="1"/>
    <col min="8201" max="8447" width="11.42578125" style="148" hidden="1"/>
    <col min="8448" max="8448" width="7" style="148" hidden="1"/>
    <col min="8449" max="8449" width="25.28515625" style="148" hidden="1"/>
    <col min="8450" max="8450" width="11.42578125" style="148" hidden="1"/>
    <col min="8451" max="8451" width="12.5703125" style="148" hidden="1"/>
    <col min="8452" max="8452" width="8.85546875" style="148" hidden="1"/>
    <col min="8453" max="8453" width="9.42578125" style="148" hidden="1"/>
    <col min="8454" max="8454" width="3.28515625" style="148" hidden="1"/>
    <col min="8455" max="8455" width="12" style="148" hidden="1"/>
    <col min="8456" max="8456" width="14.85546875" style="148" hidden="1"/>
    <col min="8457" max="8703" width="11.42578125" style="148" hidden="1"/>
    <col min="8704" max="8704" width="7" style="148" hidden="1"/>
    <col min="8705" max="8705" width="25.28515625" style="148" hidden="1"/>
    <col min="8706" max="8706" width="11.42578125" style="148" hidden="1"/>
    <col min="8707" max="8707" width="12.5703125" style="148" hidden="1"/>
    <col min="8708" max="8708" width="8.85546875" style="148" hidden="1"/>
    <col min="8709" max="8709" width="9.42578125" style="148" hidden="1"/>
    <col min="8710" max="8710" width="3.28515625" style="148" hidden="1"/>
    <col min="8711" max="8711" width="12" style="148" hidden="1"/>
    <col min="8712" max="8712" width="14.85546875" style="148" hidden="1"/>
    <col min="8713" max="8959" width="11.42578125" style="148" hidden="1"/>
    <col min="8960" max="8960" width="7" style="148" hidden="1"/>
    <col min="8961" max="8961" width="25.28515625" style="148" hidden="1"/>
    <col min="8962" max="8962" width="11.42578125" style="148" hidden="1"/>
    <col min="8963" max="8963" width="12.5703125" style="148" hidden="1"/>
    <col min="8964" max="8964" width="8.85546875" style="148" hidden="1"/>
    <col min="8965" max="8965" width="9.42578125" style="148" hidden="1"/>
    <col min="8966" max="8966" width="3.28515625" style="148" hidden="1"/>
    <col min="8967" max="8967" width="12" style="148" hidden="1"/>
    <col min="8968" max="8968" width="14.85546875" style="148" hidden="1"/>
    <col min="8969" max="9215" width="11.42578125" style="148" hidden="1"/>
    <col min="9216" max="9216" width="7" style="148" hidden="1"/>
    <col min="9217" max="9217" width="25.28515625" style="148" hidden="1"/>
    <col min="9218" max="9218" width="11.42578125" style="148" hidden="1"/>
    <col min="9219" max="9219" width="12.5703125" style="148" hidden="1"/>
    <col min="9220" max="9220" width="8.85546875" style="148" hidden="1"/>
    <col min="9221" max="9221" width="9.42578125" style="148" hidden="1"/>
    <col min="9222" max="9222" width="3.28515625" style="148" hidden="1"/>
    <col min="9223" max="9223" width="12" style="148" hidden="1"/>
    <col min="9224" max="9224" width="14.85546875" style="148" hidden="1"/>
    <col min="9225" max="9471" width="11.42578125" style="148" hidden="1"/>
    <col min="9472" max="9472" width="7" style="148" hidden="1"/>
    <col min="9473" max="9473" width="25.28515625" style="148" hidden="1"/>
    <col min="9474" max="9474" width="11.42578125" style="148" hidden="1"/>
    <col min="9475" max="9475" width="12.5703125" style="148" hidden="1"/>
    <col min="9476" max="9476" width="8.85546875" style="148" hidden="1"/>
    <col min="9477" max="9477" width="9.42578125" style="148" hidden="1"/>
    <col min="9478" max="9478" width="3.28515625" style="148" hidden="1"/>
    <col min="9479" max="9479" width="12" style="148" hidden="1"/>
    <col min="9480" max="9480" width="14.85546875" style="148" hidden="1"/>
    <col min="9481" max="9727" width="11.42578125" style="148" hidden="1"/>
    <col min="9728" max="9728" width="7" style="148" hidden="1"/>
    <col min="9729" max="9729" width="25.28515625" style="148" hidden="1"/>
    <col min="9730" max="9730" width="11.42578125" style="148" hidden="1"/>
    <col min="9731" max="9731" width="12.5703125" style="148" hidden="1"/>
    <col min="9732" max="9732" width="8.85546875" style="148" hidden="1"/>
    <col min="9733" max="9733" width="9.42578125" style="148" hidden="1"/>
    <col min="9734" max="9734" width="3.28515625" style="148" hidden="1"/>
    <col min="9735" max="9735" width="12" style="148" hidden="1"/>
    <col min="9736" max="9736" width="14.85546875" style="148" hidden="1"/>
    <col min="9737" max="9983" width="11.42578125" style="148" hidden="1"/>
    <col min="9984" max="9984" width="7" style="148" hidden="1"/>
    <col min="9985" max="9985" width="25.28515625" style="148" hidden="1"/>
    <col min="9986" max="9986" width="11.42578125" style="148" hidden="1"/>
    <col min="9987" max="9987" width="12.5703125" style="148" hidden="1"/>
    <col min="9988" max="9988" width="8.85546875" style="148" hidden="1"/>
    <col min="9989" max="9989" width="9.42578125" style="148" hidden="1"/>
    <col min="9990" max="9990" width="3.28515625" style="148" hidden="1"/>
    <col min="9991" max="9991" width="12" style="148" hidden="1"/>
    <col min="9992" max="9992" width="14.85546875" style="148" hidden="1"/>
    <col min="9993" max="10239" width="11.42578125" style="148" hidden="1"/>
    <col min="10240" max="10240" width="7" style="148" hidden="1"/>
    <col min="10241" max="10241" width="25.28515625" style="148" hidden="1"/>
    <col min="10242" max="10242" width="11.42578125" style="148" hidden="1"/>
    <col min="10243" max="10243" width="12.5703125" style="148" hidden="1"/>
    <col min="10244" max="10244" width="8.85546875" style="148" hidden="1"/>
    <col min="10245" max="10245" width="9.42578125" style="148" hidden="1"/>
    <col min="10246" max="10246" width="3.28515625" style="148" hidden="1"/>
    <col min="10247" max="10247" width="12" style="148" hidden="1"/>
    <col min="10248" max="10248" width="14.85546875" style="148" hidden="1"/>
    <col min="10249" max="10495" width="11.42578125" style="148" hidden="1"/>
    <col min="10496" max="10496" width="7" style="148" hidden="1"/>
    <col min="10497" max="10497" width="25.28515625" style="148" hidden="1"/>
    <col min="10498" max="10498" width="11.42578125" style="148" hidden="1"/>
    <col min="10499" max="10499" width="12.5703125" style="148" hidden="1"/>
    <col min="10500" max="10500" width="8.85546875" style="148" hidden="1"/>
    <col min="10501" max="10501" width="9.42578125" style="148" hidden="1"/>
    <col min="10502" max="10502" width="3.28515625" style="148" hidden="1"/>
    <col min="10503" max="10503" width="12" style="148" hidden="1"/>
    <col min="10504" max="10504" width="14.85546875" style="148" hidden="1"/>
    <col min="10505" max="10751" width="11.42578125" style="148" hidden="1"/>
    <col min="10752" max="10752" width="7" style="148" hidden="1"/>
    <col min="10753" max="10753" width="25.28515625" style="148" hidden="1"/>
    <col min="10754" max="10754" width="11.42578125" style="148" hidden="1"/>
    <col min="10755" max="10755" width="12.5703125" style="148" hidden="1"/>
    <col min="10756" max="10756" width="8.85546875" style="148" hidden="1"/>
    <col min="10757" max="10757" width="9.42578125" style="148" hidden="1"/>
    <col min="10758" max="10758" width="3.28515625" style="148" hidden="1"/>
    <col min="10759" max="10759" width="12" style="148" hidden="1"/>
    <col min="10760" max="10760" width="14.85546875" style="148" hidden="1"/>
    <col min="10761" max="11007" width="11.42578125" style="148" hidden="1"/>
    <col min="11008" max="11008" width="7" style="148" hidden="1"/>
    <col min="11009" max="11009" width="25.28515625" style="148" hidden="1"/>
    <col min="11010" max="11010" width="11.42578125" style="148" hidden="1"/>
    <col min="11011" max="11011" width="12.5703125" style="148" hidden="1"/>
    <col min="11012" max="11012" width="8.85546875" style="148" hidden="1"/>
    <col min="11013" max="11013" width="9.42578125" style="148" hidden="1"/>
    <col min="11014" max="11014" width="3.28515625" style="148" hidden="1"/>
    <col min="11015" max="11015" width="12" style="148" hidden="1"/>
    <col min="11016" max="11016" width="14.85546875" style="148" hidden="1"/>
    <col min="11017" max="11263" width="11.42578125" style="148" hidden="1"/>
    <col min="11264" max="11264" width="7" style="148" hidden="1"/>
    <col min="11265" max="11265" width="25.28515625" style="148" hidden="1"/>
    <col min="11266" max="11266" width="11.42578125" style="148" hidden="1"/>
    <col min="11267" max="11267" width="12.5703125" style="148" hidden="1"/>
    <col min="11268" max="11268" width="8.85546875" style="148" hidden="1"/>
    <col min="11269" max="11269" width="9.42578125" style="148" hidden="1"/>
    <col min="11270" max="11270" width="3.28515625" style="148" hidden="1"/>
    <col min="11271" max="11271" width="12" style="148" hidden="1"/>
    <col min="11272" max="11272" width="14.85546875" style="148" hidden="1"/>
    <col min="11273" max="11519" width="11.42578125" style="148" hidden="1"/>
    <col min="11520" max="11520" width="7" style="148" hidden="1"/>
    <col min="11521" max="11521" width="25.28515625" style="148" hidden="1"/>
    <col min="11522" max="11522" width="11.42578125" style="148" hidden="1"/>
    <col min="11523" max="11523" width="12.5703125" style="148" hidden="1"/>
    <col min="11524" max="11524" width="8.85546875" style="148" hidden="1"/>
    <col min="11525" max="11525" width="9.42578125" style="148" hidden="1"/>
    <col min="11526" max="11526" width="3.28515625" style="148" hidden="1"/>
    <col min="11527" max="11527" width="12" style="148" hidden="1"/>
    <col min="11528" max="11528" width="14.85546875" style="148" hidden="1"/>
    <col min="11529" max="11775" width="11.42578125" style="148" hidden="1"/>
    <col min="11776" max="11776" width="7" style="148" hidden="1"/>
    <col min="11777" max="11777" width="25.28515625" style="148" hidden="1"/>
    <col min="11778" max="11778" width="11.42578125" style="148" hidden="1"/>
    <col min="11779" max="11779" width="12.5703125" style="148" hidden="1"/>
    <col min="11780" max="11780" width="8.85546875" style="148" hidden="1"/>
    <col min="11781" max="11781" width="9.42578125" style="148" hidden="1"/>
    <col min="11782" max="11782" width="3.28515625" style="148" hidden="1"/>
    <col min="11783" max="11783" width="12" style="148" hidden="1"/>
    <col min="11784" max="11784" width="14.85546875" style="148" hidden="1"/>
    <col min="11785" max="12031" width="11.42578125" style="148" hidden="1"/>
    <col min="12032" max="12032" width="7" style="148" hidden="1"/>
    <col min="12033" max="12033" width="25.28515625" style="148" hidden="1"/>
    <col min="12034" max="12034" width="11.42578125" style="148" hidden="1"/>
    <col min="12035" max="12035" width="12.5703125" style="148" hidden="1"/>
    <col min="12036" max="12036" width="8.85546875" style="148" hidden="1"/>
    <col min="12037" max="12037" width="9.42578125" style="148" hidden="1"/>
    <col min="12038" max="12038" width="3.28515625" style="148" hidden="1"/>
    <col min="12039" max="12039" width="12" style="148" hidden="1"/>
    <col min="12040" max="12040" width="14.85546875" style="148" hidden="1"/>
    <col min="12041" max="12287" width="11.42578125" style="148" hidden="1"/>
    <col min="12288" max="12288" width="7" style="148" hidden="1"/>
    <col min="12289" max="12289" width="25.28515625" style="148" hidden="1"/>
    <col min="12290" max="12290" width="11.42578125" style="148" hidden="1"/>
    <col min="12291" max="12291" width="12.5703125" style="148" hidden="1"/>
    <col min="12292" max="12292" width="8.85546875" style="148" hidden="1"/>
    <col min="12293" max="12293" width="9.42578125" style="148" hidden="1"/>
    <col min="12294" max="12294" width="3.28515625" style="148" hidden="1"/>
    <col min="12295" max="12295" width="12" style="148" hidden="1"/>
    <col min="12296" max="12296" width="14.85546875" style="148" hidden="1"/>
    <col min="12297" max="12543" width="11.42578125" style="148" hidden="1"/>
    <col min="12544" max="12544" width="7" style="148" hidden="1"/>
    <col min="12545" max="12545" width="25.28515625" style="148" hidden="1"/>
    <col min="12546" max="12546" width="11.42578125" style="148" hidden="1"/>
    <col min="12547" max="12547" width="12.5703125" style="148" hidden="1"/>
    <col min="12548" max="12548" width="8.85546875" style="148" hidden="1"/>
    <col min="12549" max="12549" width="9.42578125" style="148" hidden="1"/>
    <col min="12550" max="12550" width="3.28515625" style="148" hidden="1"/>
    <col min="12551" max="12551" width="12" style="148" hidden="1"/>
    <col min="12552" max="12552" width="14.85546875" style="148" hidden="1"/>
    <col min="12553" max="12799" width="11.42578125" style="148" hidden="1"/>
    <col min="12800" max="12800" width="7" style="148" hidden="1"/>
    <col min="12801" max="12801" width="25.28515625" style="148" hidden="1"/>
    <col min="12802" max="12802" width="11.42578125" style="148" hidden="1"/>
    <col min="12803" max="12803" width="12.5703125" style="148" hidden="1"/>
    <col min="12804" max="12804" width="8.85546875" style="148" hidden="1"/>
    <col min="12805" max="12805" width="9.42578125" style="148" hidden="1"/>
    <col min="12806" max="12806" width="3.28515625" style="148" hidden="1"/>
    <col min="12807" max="12807" width="12" style="148" hidden="1"/>
    <col min="12808" max="12808" width="14.85546875" style="148" hidden="1"/>
    <col min="12809" max="13055" width="11.42578125" style="148" hidden="1"/>
    <col min="13056" max="13056" width="7" style="148" hidden="1"/>
    <col min="13057" max="13057" width="25.28515625" style="148" hidden="1"/>
    <col min="13058" max="13058" width="11.42578125" style="148" hidden="1"/>
    <col min="13059" max="13059" width="12.5703125" style="148" hidden="1"/>
    <col min="13060" max="13060" width="8.85546875" style="148" hidden="1"/>
    <col min="13061" max="13061" width="9.42578125" style="148" hidden="1"/>
    <col min="13062" max="13062" width="3.28515625" style="148" hidden="1"/>
    <col min="13063" max="13063" width="12" style="148" hidden="1"/>
    <col min="13064" max="13064" width="14.85546875" style="148" hidden="1"/>
    <col min="13065" max="13311" width="11.42578125" style="148" hidden="1"/>
    <col min="13312" max="13312" width="7" style="148" hidden="1"/>
    <col min="13313" max="13313" width="25.28515625" style="148" hidden="1"/>
    <col min="13314" max="13314" width="11.42578125" style="148" hidden="1"/>
    <col min="13315" max="13315" width="12.5703125" style="148" hidden="1"/>
    <col min="13316" max="13316" width="8.85546875" style="148" hidden="1"/>
    <col min="13317" max="13317" width="9.42578125" style="148" hidden="1"/>
    <col min="13318" max="13318" width="3.28515625" style="148" hidden="1"/>
    <col min="13319" max="13319" width="12" style="148" hidden="1"/>
    <col min="13320" max="13320" width="14.85546875" style="148" hidden="1"/>
    <col min="13321" max="13567" width="11.42578125" style="148" hidden="1"/>
    <col min="13568" max="13568" width="7" style="148" hidden="1"/>
    <col min="13569" max="13569" width="25.28515625" style="148" hidden="1"/>
    <col min="13570" max="13570" width="11.42578125" style="148" hidden="1"/>
    <col min="13571" max="13571" width="12.5703125" style="148" hidden="1"/>
    <col min="13572" max="13572" width="8.85546875" style="148" hidden="1"/>
    <col min="13573" max="13573" width="9.42578125" style="148" hidden="1"/>
    <col min="13574" max="13574" width="3.28515625" style="148" hidden="1"/>
    <col min="13575" max="13575" width="12" style="148" hidden="1"/>
    <col min="13576" max="13576" width="14.85546875" style="148" hidden="1"/>
    <col min="13577" max="13823" width="11.42578125" style="148" hidden="1"/>
    <col min="13824" max="13824" width="7" style="148" hidden="1"/>
    <col min="13825" max="13825" width="25.28515625" style="148" hidden="1"/>
    <col min="13826" max="13826" width="11.42578125" style="148" hidden="1"/>
    <col min="13827" max="13827" width="12.5703125" style="148" hidden="1"/>
    <col min="13828" max="13828" width="8.85546875" style="148" hidden="1"/>
    <col min="13829" max="13829" width="9.42578125" style="148" hidden="1"/>
    <col min="13830" max="13830" width="3.28515625" style="148" hidden="1"/>
    <col min="13831" max="13831" width="12" style="148" hidden="1"/>
    <col min="13832" max="13832" width="14.85546875" style="148" hidden="1"/>
    <col min="13833" max="14079" width="11.42578125" style="148" hidden="1"/>
    <col min="14080" max="14080" width="7" style="148" hidden="1"/>
    <col min="14081" max="14081" width="25.28515625" style="148" hidden="1"/>
    <col min="14082" max="14082" width="11.42578125" style="148" hidden="1"/>
    <col min="14083" max="14083" width="12.5703125" style="148" hidden="1"/>
    <col min="14084" max="14084" width="8.85546875" style="148" hidden="1"/>
    <col min="14085" max="14085" width="9.42578125" style="148" hidden="1"/>
    <col min="14086" max="14086" width="3.28515625" style="148" hidden="1"/>
    <col min="14087" max="14087" width="12" style="148" hidden="1"/>
    <col min="14088" max="14088" width="14.85546875" style="148" hidden="1"/>
    <col min="14089" max="14335" width="11.42578125" style="148" hidden="1"/>
    <col min="14336" max="14336" width="7" style="148" hidden="1"/>
    <col min="14337" max="14337" width="25.28515625" style="148" hidden="1"/>
    <col min="14338" max="14338" width="11.42578125" style="148" hidden="1"/>
    <col min="14339" max="14339" width="12.5703125" style="148" hidden="1"/>
    <col min="14340" max="14340" width="8.85546875" style="148" hidden="1"/>
    <col min="14341" max="14341" width="9.42578125" style="148" hidden="1"/>
    <col min="14342" max="14342" width="3.28515625" style="148" hidden="1"/>
    <col min="14343" max="14343" width="12" style="148" hidden="1"/>
    <col min="14344" max="14344" width="14.85546875" style="148" hidden="1"/>
    <col min="14345" max="14591" width="11.42578125" style="148" hidden="1"/>
    <col min="14592" max="14592" width="7" style="148" hidden="1"/>
    <col min="14593" max="14593" width="25.28515625" style="148" hidden="1"/>
    <col min="14594" max="14594" width="11.42578125" style="148" hidden="1"/>
    <col min="14595" max="14595" width="12.5703125" style="148" hidden="1"/>
    <col min="14596" max="14596" width="8.85546875" style="148" hidden="1"/>
    <col min="14597" max="14597" width="9.42578125" style="148" hidden="1"/>
    <col min="14598" max="14598" width="3.28515625" style="148" hidden="1"/>
    <col min="14599" max="14599" width="12" style="148" hidden="1"/>
    <col min="14600" max="14600" width="14.85546875" style="148" hidden="1"/>
    <col min="14601" max="14847" width="11.42578125" style="148" hidden="1"/>
    <col min="14848" max="14848" width="7" style="148" hidden="1"/>
    <col min="14849" max="14849" width="25.28515625" style="148" hidden="1"/>
    <col min="14850" max="14850" width="11.42578125" style="148" hidden="1"/>
    <col min="14851" max="14851" width="12.5703125" style="148" hidden="1"/>
    <col min="14852" max="14852" width="8.85546875" style="148" hidden="1"/>
    <col min="14853" max="14853" width="9.42578125" style="148" hidden="1"/>
    <col min="14854" max="14854" width="3.28515625" style="148" hidden="1"/>
    <col min="14855" max="14855" width="12" style="148" hidden="1"/>
    <col min="14856" max="14856" width="14.85546875" style="148" hidden="1"/>
    <col min="14857" max="15103" width="11.42578125" style="148" hidden="1"/>
    <col min="15104" max="15104" width="7" style="148" hidden="1"/>
    <col min="15105" max="15105" width="25.28515625" style="148" hidden="1"/>
    <col min="15106" max="15106" width="11.42578125" style="148" hidden="1"/>
    <col min="15107" max="15107" width="12.5703125" style="148" hidden="1"/>
    <col min="15108" max="15108" width="8.85546875" style="148" hidden="1"/>
    <col min="15109" max="15109" width="9.42578125" style="148" hidden="1"/>
    <col min="15110" max="15110" width="3.28515625" style="148" hidden="1"/>
    <col min="15111" max="15111" width="12" style="148" hidden="1"/>
    <col min="15112" max="15112" width="14.85546875" style="148" hidden="1"/>
    <col min="15113" max="15359" width="11.42578125" style="148" hidden="1"/>
    <col min="15360" max="15360" width="7" style="148" hidden="1"/>
    <col min="15361" max="15361" width="25.28515625" style="148" hidden="1"/>
    <col min="15362" max="15362" width="11.42578125" style="148" hidden="1"/>
    <col min="15363" max="15363" width="12.5703125" style="148" hidden="1"/>
    <col min="15364" max="15364" width="8.85546875" style="148" hidden="1"/>
    <col min="15365" max="15365" width="9.42578125" style="148" hidden="1"/>
    <col min="15366" max="15366" width="3.28515625" style="148" hidden="1"/>
    <col min="15367" max="15367" width="12" style="148" hidden="1"/>
    <col min="15368" max="15368" width="14.85546875" style="148" hidden="1"/>
    <col min="15369" max="15615" width="11.42578125" style="148" hidden="1"/>
    <col min="15616" max="15616" width="7" style="148" hidden="1"/>
    <col min="15617" max="15617" width="25.28515625" style="148" hidden="1"/>
    <col min="15618" max="15618" width="11.42578125" style="148" hidden="1"/>
    <col min="15619" max="15619" width="12.5703125" style="148" hidden="1"/>
    <col min="15620" max="15620" width="8.85546875" style="148" hidden="1"/>
    <col min="15621" max="15621" width="9.42578125" style="148" hidden="1"/>
    <col min="15622" max="15622" width="3.28515625" style="148" hidden="1"/>
    <col min="15623" max="15623" width="12" style="148" hidden="1"/>
    <col min="15624" max="15624" width="14.85546875" style="148" hidden="1"/>
    <col min="15625" max="15871" width="11.42578125" style="148" hidden="1"/>
    <col min="15872" max="15872" width="7" style="148" hidden="1"/>
    <col min="15873" max="15873" width="25.28515625" style="148" hidden="1"/>
    <col min="15874" max="15874" width="11.42578125" style="148" hidden="1"/>
    <col min="15875" max="15875" width="12.5703125" style="148" hidden="1"/>
    <col min="15876" max="15876" width="8.85546875" style="148" hidden="1"/>
    <col min="15877" max="15877" width="9.42578125" style="148" hidden="1"/>
    <col min="15878" max="15878" width="3.28515625" style="148" hidden="1"/>
    <col min="15879" max="15879" width="12" style="148" hidden="1"/>
    <col min="15880" max="15880" width="14.85546875" style="148" hidden="1"/>
    <col min="15881" max="16127" width="11.42578125" style="148" hidden="1"/>
    <col min="16128" max="16128" width="7" style="148" hidden="1"/>
    <col min="16129" max="16129" width="25.28515625" style="148" hidden="1"/>
    <col min="16130" max="16130" width="11.42578125" style="148" hidden="1"/>
    <col min="16131" max="16131" width="12.5703125" style="148" hidden="1"/>
    <col min="16132" max="16132" width="8.85546875" style="148" hidden="1"/>
    <col min="16133" max="16133" width="9.42578125" style="148" hidden="1"/>
    <col min="16134" max="16134" width="3.28515625" style="148" hidden="1"/>
    <col min="16135" max="16135" width="12" style="148" hidden="1"/>
    <col min="16136" max="16136" width="14.85546875" style="148" hidden="1"/>
    <col min="16137" max="16384" width="11.42578125" style="148" hidden="1"/>
  </cols>
  <sheetData>
    <row r="1" spans="1:13" ht="15" customHeight="1" x14ac:dyDescent="0.2">
      <c r="A1" s="620" t="s">
        <v>167</v>
      </c>
      <c r="B1" s="621"/>
      <c r="C1" s="621"/>
      <c r="D1" s="621"/>
      <c r="E1" s="621"/>
      <c r="F1" s="146"/>
      <c r="G1" s="622" t="s">
        <v>168</v>
      </c>
      <c r="H1" s="623"/>
      <c r="I1" s="623"/>
      <c r="J1" s="623"/>
      <c r="K1" s="623"/>
      <c r="L1" s="624"/>
    </row>
    <row r="2" spans="1:13" ht="19.5" customHeight="1" x14ac:dyDescent="0.2">
      <c r="A2" s="149"/>
      <c r="C2" s="148">
        <f>+B5*1.7233</f>
        <v>1925222.5076000001</v>
      </c>
      <c r="G2" s="625"/>
      <c r="H2" s="626"/>
      <c r="I2" s="626"/>
      <c r="J2" s="626"/>
      <c r="K2" s="626"/>
      <c r="L2" s="627"/>
    </row>
    <row r="3" spans="1:13" s="147" customFormat="1" ht="21" x14ac:dyDescent="0.2">
      <c r="A3" s="151" t="s">
        <v>169</v>
      </c>
      <c r="B3" s="152">
        <f>H36</f>
        <v>1000000</v>
      </c>
      <c r="C3" s="153"/>
      <c r="D3" s="153"/>
      <c r="E3" s="154">
        <v>100</v>
      </c>
      <c r="F3" s="155"/>
      <c r="G3" s="156" t="s">
        <v>170</v>
      </c>
      <c r="H3" s="156" t="s">
        <v>171</v>
      </c>
      <c r="I3" s="156" t="s">
        <v>172</v>
      </c>
      <c r="J3" s="157"/>
      <c r="K3" s="156" t="s">
        <v>173</v>
      </c>
      <c r="L3" s="156" t="s">
        <v>174</v>
      </c>
    </row>
    <row r="4" spans="1:13" ht="14.25" x14ac:dyDescent="0.2">
      <c r="A4" s="151" t="s">
        <v>175</v>
      </c>
      <c r="B4" s="158">
        <f>I36</f>
        <v>117172</v>
      </c>
      <c r="C4" s="153"/>
      <c r="D4" s="153"/>
      <c r="E4" s="153"/>
      <c r="F4" s="159"/>
      <c r="G4" s="160">
        <v>1990</v>
      </c>
      <c r="H4" s="161">
        <v>41025</v>
      </c>
      <c r="I4" s="161">
        <v>3798</v>
      </c>
      <c r="J4" s="162">
        <f t="shared" ref="J4:J36" si="0">H4+I4</f>
        <v>44823</v>
      </c>
      <c r="K4" s="163"/>
      <c r="L4" s="164"/>
    </row>
    <row r="5" spans="1:13" s="170" customFormat="1" ht="14.25" x14ac:dyDescent="0.25">
      <c r="A5" s="151" t="s">
        <v>176</v>
      </c>
      <c r="B5" s="165">
        <f>B3+B4</f>
        <v>1117172</v>
      </c>
      <c r="C5" s="166"/>
      <c r="D5" s="166"/>
      <c r="E5" s="167"/>
      <c r="F5" s="168"/>
      <c r="G5" s="160">
        <v>1991</v>
      </c>
      <c r="H5" s="161">
        <v>51720</v>
      </c>
      <c r="I5" s="161">
        <v>4787</v>
      </c>
      <c r="J5" s="162">
        <f t="shared" si="0"/>
        <v>56507</v>
      </c>
      <c r="K5" s="163">
        <f>(H5-H4)/H4</f>
        <v>0.2606946983546618</v>
      </c>
      <c r="L5" s="163">
        <f t="shared" ref="L5:L29" si="1">(I5-I4)/I4</f>
        <v>0.26040021063717744</v>
      </c>
      <c r="M5" s="169">
        <v>1</v>
      </c>
    </row>
    <row r="6" spans="1:13" ht="14.25" x14ac:dyDescent="0.2">
      <c r="A6" s="151" t="s">
        <v>177</v>
      </c>
      <c r="B6" s="171">
        <f>B5/30</f>
        <v>37239.066666666666</v>
      </c>
      <c r="C6" s="153"/>
      <c r="D6" s="172"/>
      <c r="E6" s="173"/>
      <c r="F6" s="174"/>
      <c r="G6" s="160">
        <v>1992</v>
      </c>
      <c r="H6" s="161">
        <v>65190</v>
      </c>
      <c r="I6" s="161">
        <v>6033</v>
      </c>
      <c r="J6" s="162">
        <f t="shared" si="0"/>
        <v>71223</v>
      </c>
      <c r="K6" s="163">
        <f t="shared" ref="K6:K30" si="2">(H6-H5)/H5</f>
        <v>0.26044083526682132</v>
      </c>
      <c r="L6" s="163">
        <f t="shared" si="1"/>
        <v>0.26028828076039273</v>
      </c>
      <c r="M6" s="147">
        <v>2</v>
      </c>
    </row>
    <row r="7" spans="1:13" s="170" customFormat="1" ht="14.25" x14ac:dyDescent="0.25">
      <c r="A7" s="151" t="s">
        <v>178</v>
      </c>
      <c r="B7" s="165">
        <f>B3*C7</f>
        <v>12166666.666666666</v>
      </c>
      <c r="C7" s="175">
        <f>365/30</f>
        <v>12.166666666666666</v>
      </c>
      <c r="D7" s="166"/>
      <c r="E7" s="176"/>
      <c r="F7" s="177"/>
      <c r="G7" s="160">
        <v>1993</v>
      </c>
      <c r="H7" s="161">
        <v>81520</v>
      </c>
      <c r="I7" s="161">
        <v>7542</v>
      </c>
      <c r="J7" s="162">
        <f t="shared" si="0"/>
        <v>89062</v>
      </c>
      <c r="K7" s="163">
        <f t="shared" si="2"/>
        <v>0.25049854272127625</v>
      </c>
      <c r="L7" s="163">
        <f t="shared" si="1"/>
        <v>0.25012431626056686</v>
      </c>
      <c r="M7" s="169">
        <v>3</v>
      </c>
    </row>
    <row r="8" spans="1:13" ht="14.25" x14ac:dyDescent="0.2">
      <c r="A8" s="151" t="s">
        <v>179</v>
      </c>
      <c r="B8" s="165">
        <f>B5*C7</f>
        <v>13592259.333333332</v>
      </c>
      <c r="C8" s="153"/>
      <c r="D8" s="153"/>
      <c r="E8" s="173"/>
      <c r="F8" s="174"/>
      <c r="G8" s="160">
        <v>1994</v>
      </c>
      <c r="H8" s="161">
        <v>89700</v>
      </c>
      <c r="I8" s="161">
        <v>8705</v>
      </c>
      <c r="J8" s="162">
        <f t="shared" si="0"/>
        <v>98405</v>
      </c>
      <c r="K8" s="163">
        <f t="shared" si="2"/>
        <v>0.10034347399411188</v>
      </c>
      <c r="L8" s="163">
        <f t="shared" si="1"/>
        <v>0.15420312914346326</v>
      </c>
      <c r="M8" s="147">
        <v>4</v>
      </c>
    </row>
    <row r="9" spans="1:13" ht="14.25" x14ac:dyDescent="0.2">
      <c r="A9" s="178" t="s">
        <v>180</v>
      </c>
      <c r="B9" s="179" t="s">
        <v>181</v>
      </c>
      <c r="C9" s="180" t="s">
        <v>182</v>
      </c>
      <c r="D9" s="180" t="s">
        <v>183</v>
      </c>
      <c r="E9" s="180" t="s">
        <v>184</v>
      </c>
      <c r="F9" s="181"/>
      <c r="G9" s="160">
        <v>1995</v>
      </c>
      <c r="H9" s="161">
        <v>118934</v>
      </c>
      <c r="I9" s="161">
        <v>10815</v>
      </c>
      <c r="J9" s="162">
        <f t="shared" si="0"/>
        <v>129749</v>
      </c>
      <c r="K9" s="163">
        <f t="shared" si="2"/>
        <v>0.32590858416945373</v>
      </c>
      <c r="L9" s="163">
        <f t="shared" si="1"/>
        <v>0.24238943136128663</v>
      </c>
      <c r="M9" s="169">
        <v>5</v>
      </c>
    </row>
    <row r="10" spans="1:13" ht="14.25" x14ac:dyDescent="0.2">
      <c r="A10" s="151" t="s">
        <v>185</v>
      </c>
      <c r="B10" s="182">
        <f>B8*C10</f>
        <v>1340606.3999999999</v>
      </c>
      <c r="C10" s="183">
        <f>36/365</f>
        <v>9.8630136986301367E-2</v>
      </c>
      <c r="D10" s="184">
        <f>B10*C10</f>
        <v>132224.1928767123</v>
      </c>
      <c r="E10" s="185">
        <f>B10/$B$7</f>
        <v>0.11018682739726027</v>
      </c>
      <c r="F10" s="186"/>
      <c r="G10" s="160">
        <v>1996</v>
      </c>
      <c r="H10" s="161">
        <v>142125</v>
      </c>
      <c r="I10" s="161">
        <v>13567</v>
      </c>
      <c r="J10" s="162">
        <f t="shared" si="0"/>
        <v>155692</v>
      </c>
      <c r="K10" s="163">
        <f t="shared" si="2"/>
        <v>0.19499049893218087</v>
      </c>
      <c r="L10" s="163">
        <f t="shared" si="1"/>
        <v>0.25446139620896902</v>
      </c>
      <c r="M10" s="147">
        <v>6</v>
      </c>
    </row>
    <row r="11" spans="1:13" ht="14.25" x14ac:dyDescent="0.2">
      <c r="A11" s="151" t="s">
        <v>186</v>
      </c>
      <c r="B11" s="182">
        <f>$B$10*C11</f>
        <v>160872.76799999998</v>
      </c>
      <c r="C11" s="187">
        <v>0.12</v>
      </c>
      <c r="D11" s="188">
        <f>D10*C11</f>
        <v>15866.903145205475</v>
      </c>
      <c r="E11" s="185">
        <f>B11/$B$7</f>
        <v>1.3222419287671231E-2</v>
      </c>
      <c r="F11" s="186"/>
      <c r="G11" s="160">
        <v>1997</v>
      </c>
      <c r="H11" s="161">
        <v>172005</v>
      </c>
      <c r="I11" s="161">
        <v>17250</v>
      </c>
      <c r="J11" s="162">
        <f t="shared" si="0"/>
        <v>189255</v>
      </c>
      <c r="K11" s="163">
        <f t="shared" si="2"/>
        <v>0.21023746701846965</v>
      </c>
      <c r="L11" s="163">
        <f t="shared" si="1"/>
        <v>0.2714675315102823</v>
      </c>
      <c r="M11" s="169">
        <v>7</v>
      </c>
    </row>
    <row r="12" spans="1:13" ht="14.25" x14ac:dyDescent="0.2">
      <c r="A12" s="151" t="s">
        <v>187</v>
      </c>
      <c r="B12" s="182">
        <f>B3*C12</f>
        <v>500000</v>
      </c>
      <c r="C12" s="187">
        <v>0.5</v>
      </c>
      <c r="D12" s="184">
        <f>B3/30*15</f>
        <v>500000.00000000006</v>
      </c>
      <c r="E12" s="185">
        <f>B12/$B$7</f>
        <v>4.1095890410958909E-2</v>
      </c>
      <c r="F12" s="186"/>
      <c r="G12" s="160">
        <v>1998</v>
      </c>
      <c r="H12" s="161">
        <v>203825</v>
      </c>
      <c r="I12" s="161">
        <v>20700</v>
      </c>
      <c r="J12" s="162">
        <f t="shared" si="0"/>
        <v>224525</v>
      </c>
      <c r="K12" s="163">
        <f t="shared" si="2"/>
        <v>0.18499462224935323</v>
      </c>
      <c r="L12" s="163">
        <f t="shared" si="1"/>
        <v>0.2</v>
      </c>
      <c r="M12" s="147">
        <v>8</v>
      </c>
    </row>
    <row r="13" spans="1:13" ht="14.25" x14ac:dyDescent="0.2">
      <c r="A13" s="151" t="s">
        <v>188</v>
      </c>
      <c r="B13" s="182">
        <f>$B$4+$B$3</f>
        <v>1117172</v>
      </c>
      <c r="C13" s="187">
        <v>1</v>
      </c>
      <c r="D13" s="184">
        <f>B3+B4</f>
        <v>1117172</v>
      </c>
      <c r="E13" s="185">
        <f>D13/12/(B3+B4)</f>
        <v>8.3333333333333343E-2</v>
      </c>
      <c r="F13" s="186"/>
      <c r="G13" s="160">
        <v>1999</v>
      </c>
      <c r="H13" s="161">
        <v>236438</v>
      </c>
      <c r="I13" s="161">
        <v>24012</v>
      </c>
      <c r="J13" s="162">
        <f t="shared" si="0"/>
        <v>260450</v>
      </c>
      <c r="K13" s="163">
        <f t="shared" si="2"/>
        <v>0.16000490616950816</v>
      </c>
      <c r="L13" s="163">
        <f t="shared" si="1"/>
        <v>0.16</v>
      </c>
      <c r="M13" s="169">
        <v>9</v>
      </c>
    </row>
    <row r="14" spans="1:13" ht="14.25" x14ac:dyDescent="0.2">
      <c r="A14" s="178" t="s">
        <v>189</v>
      </c>
      <c r="B14" s="182"/>
      <c r="C14" s="189"/>
      <c r="D14" s="190"/>
      <c r="E14" s="173"/>
      <c r="F14" s="186"/>
      <c r="G14" s="160">
        <v>2000</v>
      </c>
      <c r="H14" s="161">
        <v>260100</v>
      </c>
      <c r="I14" s="161">
        <v>26413</v>
      </c>
      <c r="J14" s="162">
        <f t="shared" si="0"/>
        <v>286513</v>
      </c>
      <c r="K14" s="163">
        <f t="shared" si="2"/>
        <v>0.10007697578223466</v>
      </c>
      <c r="L14" s="163">
        <f t="shared" si="1"/>
        <v>9.9991670831251045E-2</v>
      </c>
      <c r="M14" s="147">
        <v>10</v>
      </c>
    </row>
    <row r="15" spans="1:13" ht="14.25" x14ac:dyDescent="0.2">
      <c r="A15" s="151" t="s">
        <v>190</v>
      </c>
      <c r="B15" s="182"/>
      <c r="C15" s="189"/>
      <c r="D15" s="190"/>
      <c r="E15" s="185">
        <v>0.01</v>
      </c>
      <c r="F15" s="186"/>
      <c r="G15" s="160">
        <v>2001</v>
      </c>
      <c r="H15" s="161">
        <v>286000</v>
      </c>
      <c r="I15" s="161">
        <v>30000</v>
      </c>
      <c r="J15" s="162">
        <f t="shared" si="0"/>
        <v>316000</v>
      </c>
      <c r="K15" s="163">
        <f t="shared" si="2"/>
        <v>9.9577085736255289E-2</v>
      </c>
      <c r="L15" s="163">
        <f t="shared" si="1"/>
        <v>0.13580433877257411</v>
      </c>
      <c r="M15" s="169">
        <v>11</v>
      </c>
    </row>
    <row r="16" spans="1:13" ht="14.25" x14ac:dyDescent="0.2">
      <c r="A16" s="151" t="s">
        <v>191</v>
      </c>
      <c r="B16" s="182"/>
      <c r="C16" s="182">
        <f>$B$4+$B$3</f>
        <v>1117172</v>
      </c>
      <c r="D16" s="184">
        <f>+(500000/12)</f>
        <v>41666.666666666664</v>
      </c>
      <c r="E16" s="185">
        <v>0.05</v>
      </c>
      <c r="F16" s="186"/>
      <c r="G16" s="160">
        <v>2002</v>
      </c>
      <c r="H16" s="161">
        <v>309000</v>
      </c>
      <c r="I16" s="161">
        <v>34000</v>
      </c>
      <c r="J16" s="162">
        <f t="shared" si="0"/>
        <v>343000</v>
      </c>
      <c r="K16" s="163">
        <f t="shared" si="2"/>
        <v>8.0419580419580416E-2</v>
      </c>
      <c r="L16" s="163">
        <f t="shared" si="1"/>
        <v>0.13333333333333333</v>
      </c>
      <c r="M16" s="147">
        <v>12</v>
      </c>
    </row>
    <row r="17" spans="1:13" ht="14.25" x14ac:dyDescent="0.2">
      <c r="A17" s="151" t="s">
        <v>192</v>
      </c>
      <c r="B17" s="182"/>
      <c r="C17" s="189"/>
      <c r="D17" s="190"/>
      <c r="E17" s="185">
        <v>0.06</v>
      </c>
      <c r="F17" s="191"/>
      <c r="G17" s="160">
        <v>2003</v>
      </c>
      <c r="H17" s="161">
        <v>332000</v>
      </c>
      <c r="I17" s="161">
        <v>37500</v>
      </c>
      <c r="J17" s="162">
        <f t="shared" si="0"/>
        <v>369500</v>
      </c>
      <c r="K17" s="163">
        <f t="shared" si="2"/>
        <v>7.4433656957928807E-2</v>
      </c>
      <c r="L17" s="163">
        <f t="shared" si="1"/>
        <v>0.10294117647058823</v>
      </c>
      <c r="M17" s="169">
        <v>13</v>
      </c>
    </row>
    <row r="18" spans="1:13" ht="14.25" x14ac:dyDescent="0.2">
      <c r="A18" s="178" t="s">
        <v>193</v>
      </c>
      <c r="B18" s="182"/>
      <c r="C18" s="189"/>
      <c r="D18" s="190"/>
      <c r="E18" s="192"/>
      <c r="F18" s="191"/>
      <c r="G18" s="160">
        <v>2004</v>
      </c>
      <c r="H18" s="161">
        <v>358000</v>
      </c>
      <c r="I18" s="161">
        <v>41600</v>
      </c>
      <c r="J18" s="162">
        <f t="shared" si="0"/>
        <v>399600</v>
      </c>
      <c r="K18" s="163">
        <f t="shared" si="2"/>
        <v>7.8313253012048195E-2</v>
      </c>
      <c r="L18" s="163">
        <f t="shared" si="1"/>
        <v>0.10933333333333334</v>
      </c>
      <c r="M18" s="147">
        <v>14</v>
      </c>
    </row>
    <row r="19" spans="1:13" ht="14.25" x14ac:dyDescent="0.2">
      <c r="A19" s="151" t="s">
        <v>194</v>
      </c>
      <c r="B19" s="182">
        <f>B3</f>
        <v>1000000</v>
      </c>
      <c r="C19" s="193">
        <v>0.12</v>
      </c>
      <c r="D19" s="184">
        <f>B5*C19</f>
        <v>134060.63999999998</v>
      </c>
      <c r="E19" s="185">
        <f>D19/B5</f>
        <v>0.11999999999999998</v>
      </c>
      <c r="F19" s="186"/>
      <c r="G19" s="160">
        <v>2005</v>
      </c>
      <c r="H19" s="161">
        <v>381500</v>
      </c>
      <c r="I19" s="161">
        <v>44500</v>
      </c>
      <c r="J19" s="162">
        <f t="shared" si="0"/>
        <v>426000</v>
      </c>
      <c r="K19" s="163">
        <f t="shared" si="2"/>
        <v>6.5642458100558659E-2</v>
      </c>
      <c r="L19" s="163">
        <f t="shared" si="1"/>
        <v>6.9711538461538464E-2</v>
      </c>
      <c r="M19" s="169">
        <v>15</v>
      </c>
    </row>
    <row r="20" spans="1:13" ht="14.25" x14ac:dyDescent="0.2">
      <c r="A20" s="151" t="s">
        <v>195</v>
      </c>
      <c r="B20" s="182">
        <f>B3</f>
        <v>1000000</v>
      </c>
      <c r="C20" s="193">
        <v>0</v>
      </c>
      <c r="D20" s="184">
        <f>B5*C20</f>
        <v>0</v>
      </c>
      <c r="E20" s="185">
        <v>8.5000000000000006E-2</v>
      </c>
      <c r="F20" s="186"/>
      <c r="G20" s="160">
        <v>2006</v>
      </c>
      <c r="H20" s="161">
        <v>408000</v>
      </c>
      <c r="I20" s="161">
        <v>47700</v>
      </c>
      <c r="J20" s="162">
        <f t="shared" si="0"/>
        <v>455700</v>
      </c>
      <c r="K20" s="163">
        <f t="shared" si="2"/>
        <v>6.9462647444298822E-2</v>
      </c>
      <c r="L20" s="163">
        <f t="shared" si="1"/>
        <v>7.1910112359550568E-2</v>
      </c>
      <c r="M20" s="147">
        <v>16</v>
      </c>
    </row>
    <row r="21" spans="1:13" ht="14.25" x14ac:dyDescent="0.2">
      <c r="A21" s="151" t="s">
        <v>196</v>
      </c>
      <c r="B21" s="182">
        <f>B3</f>
        <v>1000000</v>
      </c>
      <c r="C21" s="187">
        <v>6.9599999999999995E-2</v>
      </c>
      <c r="D21" s="184">
        <f>B5*C21</f>
        <v>77755.171199999997</v>
      </c>
      <c r="E21" s="185">
        <f>D21/B5</f>
        <v>6.9599999999999995E-2</v>
      </c>
      <c r="F21" s="191"/>
      <c r="G21" s="160">
        <v>2007</v>
      </c>
      <c r="H21" s="161">
        <v>433700</v>
      </c>
      <c r="I21" s="161">
        <v>50800</v>
      </c>
      <c r="J21" s="162">
        <f t="shared" si="0"/>
        <v>484500</v>
      </c>
      <c r="K21" s="163">
        <f t="shared" si="2"/>
        <v>6.2990196078431371E-2</v>
      </c>
      <c r="L21" s="163">
        <f t="shared" si="1"/>
        <v>6.4989517819706494E-2</v>
      </c>
      <c r="M21" s="169">
        <v>17</v>
      </c>
    </row>
    <row r="22" spans="1:13" ht="14.25" x14ac:dyDescent="0.2">
      <c r="A22" s="178" t="s">
        <v>197</v>
      </c>
      <c r="B22" s="182"/>
      <c r="C22" s="189"/>
      <c r="D22" s="184" t="s">
        <v>192</v>
      </c>
      <c r="E22" s="192"/>
      <c r="F22" s="191"/>
      <c r="G22" s="160">
        <v>2008</v>
      </c>
      <c r="H22" s="161">
        <v>461500</v>
      </c>
      <c r="I22" s="161">
        <v>55000</v>
      </c>
      <c r="J22" s="162">
        <f t="shared" si="0"/>
        <v>516500</v>
      </c>
      <c r="K22" s="163">
        <f t="shared" si="2"/>
        <v>6.4099608023979709E-2</v>
      </c>
      <c r="L22" s="163">
        <f t="shared" si="1"/>
        <v>8.2677165354330714E-2</v>
      </c>
      <c r="M22" s="147">
        <v>18</v>
      </c>
    </row>
    <row r="23" spans="1:13" ht="14.25" x14ac:dyDescent="0.2">
      <c r="A23" s="151" t="s">
        <v>198</v>
      </c>
      <c r="B23" s="182"/>
      <c r="C23" s="189"/>
      <c r="D23" s="190"/>
      <c r="E23" s="185">
        <v>0.01</v>
      </c>
      <c r="F23" s="191"/>
      <c r="G23" s="160">
        <v>2009</v>
      </c>
      <c r="H23" s="161">
        <v>496900</v>
      </c>
      <c r="I23" s="161">
        <v>59300</v>
      </c>
      <c r="J23" s="162">
        <f t="shared" si="0"/>
        <v>556200</v>
      </c>
      <c r="K23" s="163">
        <f t="shared" si="2"/>
        <v>7.6706392199349951E-2</v>
      </c>
      <c r="L23" s="163">
        <f t="shared" si="1"/>
        <v>7.8181818181818186E-2</v>
      </c>
      <c r="M23" s="169">
        <v>19</v>
      </c>
    </row>
    <row r="24" spans="1:13" ht="14.25" x14ac:dyDescent="0.2">
      <c r="A24" s="194" t="s">
        <v>199</v>
      </c>
      <c r="B24" s="182">
        <f>B3</f>
        <v>1000000</v>
      </c>
      <c r="C24" s="195"/>
      <c r="D24" s="184">
        <f>B5*C24</f>
        <v>0</v>
      </c>
      <c r="E24" s="185">
        <f>D24/B5</f>
        <v>0</v>
      </c>
      <c r="F24" s="191"/>
      <c r="G24" s="160">
        <v>2010</v>
      </c>
      <c r="H24" s="161">
        <v>515000</v>
      </c>
      <c r="I24" s="161">
        <v>61500</v>
      </c>
      <c r="J24" s="162">
        <f t="shared" si="0"/>
        <v>576500</v>
      </c>
      <c r="K24" s="163">
        <f t="shared" si="2"/>
        <v>3.6425840209297643E-2</v>
      </c>
      <c r="L24" s="163">
        <f t="shared" si="1"/>
        <v>3.7099494097807759E-2</v>
      </c>
      <c r="M24" s="147">
        <v>20</v>
      </c>
    </row>
    <row r="25" spans="1:13" ht="14.25" x14ac:dyDescent="0.2">
      <c r="A25" s="194" t="s">
        <v>200</v>
      </c>
      <c r="B25" s="182">
        <f>B3</f>
        <v>1000000</v>
      </c>
      <c r="C25" s="195"/>
      <c r="D25" s="184">
        <f>B5*C25</f>
        <v>0</v>
      </c>
      <c r="E25" s="185">
        <f>D25/B5</f>
        <v>0</v>
      </c>
      <c r="F25" s="191"/>
      <c r="G25" s="160">
        <v>2011</v>
      </c>
      <c r="H25" s="161">
        <v>535600</v>
      </c>
      <c r="I25" s="161">
        <v>63600</v>
      </c>
      <c r="J25" s="162">
        <f t="shared" si="0"/>
        <v>599200</v>
      </c>
      <c r="K25" s="163">
        <f t="shared" si="2"/>
        <v>0.04</v>
      </c>
      <c r="L25" s="163">
        <f t="shared" si="1"/>
        <v>3.4146341463414637E-2</v>
      </c>
      <c r="M25" s="169">
        <v>21</v>
      </c>
    </row>
    <row r="26" spans="1:13" ht="14.25" x14ac:dyDescent="0.2">
      <c r="A26" s="151" t="s">
        <v>201</v>
      </c>
      <c r="B26" s="182">
        <f>B3</f>
        <v>1000000</v>
      </c>
      <c r="C26" s="195">
        <v>0.04</v>
      </c>
      <c r="D26" s="184">
        <f>B5*C26</f>
        <v>44686.879999999997</v>
      </c>
      <c r="E26" s="185">
        <v>0.04</v>
      </c>
      <c r="F26" s="191"/>
      <c r="G26" s="160">
        <v>2012</v>
      </c>
      <c r="H26" s="161">
        <v>566700</v>
      </c>
      <c r="I26" s="161">
        <v>67800</v>
      </c>
      <c r="J26" s="162">
        <f t="shared" si="0"/>
        <v>634500</v>
      </c>
      <c r="K26" s="163">
        <f t="shared" si="2"/>
        <v>5.8065720687079908E-2</v>
      </c>
      <c r="L26" s="163">
        <f t="shared" si="1"/>
        <v>6.6037735849056603E-2</v>
      </c>
      <c r="M26" s="147">
        <v>22</v>
      </c>
    </row>
    <row r="27" spans="1:13" ht="14.25" x14ac:dyDescent="0.2">
      <c r="A27" s="194" t="s">
        <v>202</v>
      </c>
      <c r="B27" s="182">
        <f>B3/40*15</f>
        <v>375000</v>
      </c>
      <c r="C27" s="187">
        <f>B27/B7</f>
        <v>3.082191780821918E-2</v>
      </c>
      <c r="D27" s="184">
        <f>B5*C27</f>
        <v>34433.383561643837</v>
      </c>
      <c r="E27" s="185">
        <f>B27/B7</f>
        <v>3.082191780821918E-2</v>
      </c>
      <c r="F27" s="191"/>
      <c r="G27" s="160">
        <v>2013</v>
      </c>
      <c r="H27" s="161">
        <v>589500</v>
      </c>
      <c r="I27" s="161">
        <v>70500</v>
      </c>
      <c r="J27" s="162">
        <f t="shared" si="0"/>
        <v>660000</v>
      </c>
      <c r="K27" s="163">
        <f t="shared" si="2"/>
        <v>4.0232927474854421E-2</v>
      </c>
      <c r="L27" s="163">
        <f t="shared" si="1"/>
        <v>3.9823008849557522E-2</v>
      </c>
      <c r="M27" s="169">
        <v>23</v>
      </c>
    </row>
    <row r="28" spans="1:13" ht="19.5" customHeight="1" x14ac:dyDescent="0.2">
      <c r="A28" s="196"/>
      <c r="B28" s="197"/>
      <c r="C28" s="198"/>
      <c r="D28" s="199" t="s">
        <v>203</v>
      </c>
      <c r="E28" s="200">
        <f>SUM(E10:E27)</f>
        <v>0.72326038823744299</v>
      </c>
      <c r="F28" s="191"/>
      <c r="G28" s="160">
        <v>2014</v>
      </c>
      <c r="H28" s="161">
        <v>616000</v>
      </c>
      <c r="I28" s="161">
        <v>72000</v>
      </c>
      <c r="J28" s="162">
        <f t="shared" si="0"/>
        <v>688000</v>
      </c>
      <c r="K28" s="163">
        <f t="shared" si="2"/>
        <v>4.4953350296861747E-2</v>
      </c>
      <c r="L28" s="163">
        <f t="shared" si="1"/>
        <v>2.1276595744680851E-2</v>
      </c>
      <c r="M28" s="147">
        <v>24</v>
      </c>
    </row>
    <row r="29" spans="1:13" ht="23.25" customHeight="1" x14ac:dyDescent="0.2">
      <c r="A29" s="201"/>
      <c r="B29" s="202"/>
      <c r="C29" s="203"/>
      <c r="D29" s="203"/>
      <c r="E29" s="203"/>
      <c r="F29" s="191"/>
      <c r="G29" s="160">
        <v>2015</v>
      </c>
      <c r="H29" s="161">
        <v>644350</v>
      </c>
      <c r="I29" s="161">
        <v>73950</v>
      </c>
      <c r="J29" s="162">
        <f t="shared" si="0"/>
        <v>718300</v>
      </c>
      <c r="K29" s="163">
        <f t="shared" si="2"/>
        <v>4.6022727272727271E-2</v>
      </c>
      <c r="L29" s="163">
        <f t="shared" si="1"/>
        <v>2.7083333333333334E-2</v>
      </c>
      <c r="M29" s="147">
        <v>25</v>
      </c>
    </row>
    <row r="30" spans="1:13" ht="14.25" x14ac:dyDescent="0.2">
      <c r="A30" s="204"/>
      <c r="B30" s="204"/>
      <c r="C30" s="204"/>
      <c r="D30" s="204"/>
      <c r="E30" s="204"/>
      <c r="F30" s="204"/>
      <c r="G30" s="160">
        <v>2016</v>
      </c>
      <c r="H30" s="161">
        <v>689455</v>
      </c>
      <c r="I30" s="161">
        <v>77700</v>
      </c>
      <c r="J30" s="162">
        <f t="shared" si="0"/>
        <v>767155</v>
      </c>
      <c r="K30" s="163">
        <f t="shared" si="2"/>
        <v>7.0000775975789561E-2</v>
      </c>
      <c r="L30" s="163">
        <f>(I30-I29)/I29</f>
        <v>5.0709939148073022E-2</v>
      </c>
      <c r="M30" s="147">
        <v>26</v>
      </c>
    </row>
    <row r="31" spans="1:13" ht="14.25" x14ac:dyDescent="0.2">
      <c r="A31" s="201"/>
      <c r="B31" s="202" t="s">
        <v>204</v>
      </c>
      <c r="C31" s="203" t="s">
        <v>205</v>
      </c>
      <c r="D31" s="203" t="s">
        <v>206</v>
      </c>
      <c r="E31" s="203" t="s">
        <v>207</v>
      </c>
      <c r="F31" s="191"/>
      <c r="G31" s="160">
        <v>2017</v>
      </c>
      <c r="H31" s="161">
        <f>H30*1.07</f>
        <v>737716.85000000009</v>
      </c>
      <c r="I31" s="161">
        <v>83140</v>
      </c>
      <c r="J31" s="162">
        <f t="shared" si="0"/>
        <v>820856.85000000009</v>
      </c>
      <c r="K31" s="163">
        <v>7.0000000000000007E-2</v>
      </c>
      <c r="L31" s="163">
        <f>(I31-I30)/I30</f>
        <v>7.0012870012870015E-2</v>
      </c>
      <c r="M31" s="147">
        <v>27</v>
      </c>
    </row>
    <row r="32" spans="1:13" ht="14.25" x14ac:dyDescent="0.2">
      <c r="A32" s="205" t="s">
        <v>208</v>
      </c>
      <c r="B32" s="206">
        <f>B3</f>
        <v>1000000</v>
      </c>
      <c r="C32" s="207">
        <f>IF(B32&lt;=$B$3*2,ROUND(B32*(1+$E$28)+$B$4,0),ROUND(B32*(1+$E$28),0))</f>
        <v>1840432</v>
      </c>
      <c r="D32" s="208">
        <v>26</v>
      </c>
      <c r="E32" s="206">
        <f>ROUND(C32/D32,0)</f>
        <v>70786</v>
      </c>
      <c r="F32" s="191"/>
      <c r="G32" s="160">
        <v>2018</v>
      </c>
      <c r="H32" s="161">
        <v>781242</v>
      </c>
      <c r="I32" s="161">
        <v>88211</v>
      </c>
      <c r="J32" s="162">
        <f t="shared" si="0"/>
        <v>869453</v>
      </c>
      <c r="K32" s="163">
        <v>5.8999999999999997E-2</v>
      </c>
      <c r="L32" s="163">
        <v>6.0999999999999999E-2</v>
      </c>
      <c r="M32" s="147">
        <v>28</v>
      </c>
    </row>
    <row r="33" spans="1:13" ht="14.25" x14ac:dyDescent="0.2">
      <c r="A33" s="205" t="s">
        <v>209</v>
      </c>
      <c r="B33" s="206">
        <f>ROUND($B$3*1.05,0)</f>
        <v>1050000</v>
      </c>
      <c r="C33" s="207">
        <f t="shared" ref="C33:C42" si="3">IF(B33&lt;=$B$3*2,ROUND(B33*(1+$E$28)+$B$4,0),ROUND(B33*(1+$E$28),0))</f>
        <v>1926595</v>
      </c>
      <c r="D33" s="208">
        <v>26</v>
      </c>
      <c r="E33" s="206">
        <f t="shared" ref="E33:E41" si="4">ROUND(C33/D33,0)</f>
        <v>74100</v>
      </c>
      <c r="F33" s="191"/>
      <c r="G33" s="160">
        <v>2019</v>
      </c>
      <c r="H33" s="161">
        <v>828116</v>
      </c>
      <c r="I33" s="161">
        <v>97032</v>
      </c>
      <c r="J33" s="162">
        <f t="shared" si="0"/>
        <v>925148</v>
      </c>
      <c r="K33" s="163">
        <f t="shared" ref="K33:L36" si="5">(H33-H32)/H32</f>
        <v>5.9999334393184188E-2</v>
      </c>
      <c r="L33" s="163">
        <f t="shared" si="5"/>
        <v>9.9998866354536281E-2</v>
      </c>
      <c r="M33" s="169">
        <v>29</v>
      </c>
    </row>
    <row r="34" spans="1:13" ht="14.25" x14ac:dyDescent="0.2">
      <c r="A34" s="205" t="s">
        <v>210</v>
      </c>
      <c r="B34" s="206">
        <f>ROUND($B$3*1.05,0)</f>
        <v>1050000</v>
      </c>
      <c r="C34" s="207">
        <f t="shared" si="3"/>
        <v>1926595</v>
      </c>
      <c r="D34" s="208">
        <v>26</v>
      </c>
      <c r="E34" s="206">
        <f t="shared" si="4"/>
        <v>74100</v>
      </c>
      <c r="F34" s="191"/>
      <c r="G34" s="160">
        <v>2020</v>
      </c>
      <c r="H34" s="161">
        <v>877803</v>
      </c>
      <c r="I34" s="161">
        <v>102854</v>
      </c>
      <c r="J34" s="162">
        <f t="shared" si="0"/>
        <v>980657</v>
      </c>
      <c r="K34" s="163">
        <f>(H34-H33)/H33</f>
        <v>6.0000048302411742E-2</v>
      </c>
      <c r="L34" s="163">
        <f t="shared" si="5"/>
        <v>6.0000824470277846E-2</v>
      </c>
      <c r="M34" s="169">
        <v>30</v>
      </c>
    </row>
    <row r="35" spans="1:13" ht="14.25" x14ac:dyDescent="0.2">
      <c r="A35" s="205" t="s">
        <v>211</v>
      </c>
      <c r="B35" s="206">
        <f>ROUND($B$3*2,0)</f>
        <v>2000000</v>
      </c>
      <c r="C35" s="207">
        <f t="shared" si="3"/>
        <v>3563693</v>
      </c>
      <c r="D35" s="208">
        <v>26</v>
      </c>
      <c r="E35" s="206">
        <f t="shared" si="4"/>
        <v>137065</v>
      </c>
      <c r="F35" s="191"/>
      <c r="G35" s="209">
        <v>2021</v>
      </c>
      <c r="H35" s="210">
        <v>908526</v>
      </c>
      <c r="I35" s="210">
        <v>106454</v>
      </c>
      <c r="J35" s="210">
        <f t="shared" si="0"/>
        <v>1014980</v>
      </c>
      <c r="K35" s="163">
        <f>(H35-H34)/H34</f>
        <v>3.4999880383183926E-2</v>
      </c>
      <c r="L35" s="163">
        <f t="shared" si="5"/>
        <v>3.5001069477122913E-2</v>
      </c>
      <c r="M35" s="169">
        <v>31</v>
      </c>
    </row>
    <row r="36" spans="1:13" ht="14.25" x14ac:dyDescent="0.2">
      <c r="A36" s="205" t="s">
        <v>212</v>
      </c>
      <c r="B36" s="206">
        <f>ROUND(B35*1.05,0)</f>
        <v>2100000</v>
      </c>
      <c r="C36" s="207">
        <f t="shared" si="3"/>
        <v>3618847</v>
      </c>
      <c r="D36" s="208">
        <v>26</v>
      </c>
      <c r="E36" s="206">
        <f t="shared" si="4"/>
        <v>139186</v>
      </c>
      <c r="F36" s="191"/>
      <c r="G36" s="209">
        <v>2022</v>
      </c>
      <c r="H36" s="210">
        <v>1000000</v>
      </c>
      <c r="I36" s="210">
        <v>117172</v>
      </c>
      <c r="J36" s="210">
        <f t="shared" si="0"/>
        <v>1117172</v>
      </c>
      <c r="K36" s="163">
        <f t="shared" ref="K36" si="6">(H36-H35)/H35</f>
        <v>0.10068396501586085</v>
      </c>
      <c r="L36" s="163">
        <f t="shared" si="5"/>
        <v>0.10068198470700961</v>
      </c>
      <c r="M36" s="169">
        <v>32</v>
      </c>
    </row>
    <row r="37" spans="1:13" ht="14.25" x14ac:dyDescent="0.2">
      <c r="A37" s="205" t="s">
        <v>213</v>
      </c>
      <c r="B37" s="207">
        <f>+B36*1.24322</f>
        <v>2610762</v>
      </c>
      <c r="C37" s="207">
        <f t="shared" si="3"/>
        <v>4499023</v>
      </c>
      <c r="D37" s="208">
        <v>26</v>
      </c>
      <c r="E37" s="206">
        <f t="shared" si="4"/>
        <v>173039</v>
      </c>
      <c r="F37" s="191"/>
      <c r="G37" s="209"/>
      <c r="H37" s="210"/>
      <c r="I37" s="210"/>
      <c r="J37" s="210"/>
      <c r="K37" s="163"/>
      <c r="L37" s="163"/>
      <c r="M37" s="169"/>
    </row>
    <row r="38" spans="1:13" x14ac:dyDescent="0.2">
      <c r="A38" s="205" t="s">
        <v>214</v>
      </c>
      <c r="B38" s="207">
        <f>+B36*1.24322</f>
        <v>2610762</v>
      </c>
      <c r="C38" s="207">
        <f t="shared" si="3"/>
        <v>4499023</v>
      </c>
      <c r="D38" s="208">
        <v>26</v>
      </c>
      <c r="E38" s="206">
        <f t="shared" si="4"/>
        <v>173039</v>
      </c>
      <c r="F38" s="191"/>
      <c r="G38" s="204"/>
      <c r="H38" s="211"/>
    </row>
    <row r="39" spans="1:13" x14ac:dyDescent="0.2">
      <c r="A39" s="205" t="s">
        <v>215</v>
      </c>
      <c r="B39" s="206">
        <f>B36*1.9</f>
        <v>3990000</v>
      </c>
      <c r="C39" s="207">
        <f t="shared" si="3"/>
        <v>6875809</v>
      </c>
      <c r="D39" s="208">
        <v>26</v>
      </c>
      <c r="E39" s="206">
        <f t="shared" si="4"/>
        <v>264454</v>
      </c>
      <c r="F39" s="191"/>
      <c r="G39" s="204"/>
      <c r="H39" s="211"/>
    </row>
    <row r="40" spans="1:13" x14ac:dyDescent="0.2">
      <c r="A40" s="205" t="s">
        <v>216</v>
      </c>
      <c r="B40" s="206">
        <f>ROUND($B$3*1.8,0)</f>
        <v>1800000</v>
      </c>
      <c r="C40" s="207">
        <f t="shared" si="3"/>
        <v>3219041</v>
      </c>
      <c r="D40" s="208">
        <v>26</v>
      </c>
      <c r="E40" s="206">
        <f t="shared" si="4"/>
        <v>123809</v>
      </c>
      <c r="F40" s="191"/>
      <c r="G40" s="204"/>
      <c r="H40" s="211"/>
    </row>
    <row r="41" spans="1:13" x14ac:dyDescent="0.2">
      <c r="A41" s="205" t="s">
        <v>217</v>
      </c>
      <c r="B41" s="206">
        <f>ROUND($B$3*2,0)</f>
        <v>2000000</v>
      </c>
      <c r="C41" s="207">
        <f t="shared" si="3"/>
        <v>3563693</v>
      </c>
      <c r="D41" s="208">
        <v>26</v>
      </c>
      <c r="E41" s="206">
        <f t="shared" si="4"/>
        <v>137065</v>
      </c>
      <c r="F41" s="191"/>
      <c r="G41" s="204"/>
      <c r="H41" s="211"/>
    </row>
    <row r="42" spans="1:13" x14ac:dyDescent="0.2">
      <c r="A42" s="212" t="s">
        <v>218</v>
      </c>
      <c r="B42" s="206">
        <f>ROUND(B41*1.05,0)</f>
        <v>2100000</v>
      </c>
      <c r="C42" s="207">
        <f t="shared" si="3"/>
        <v>3618847</v>
      </c>
      <c r="D42" s="208">
        <v>26</v>
      </c>
      <c r="E42" s="206">
        <f>ROUND(C42/D42,0)</f>
        <v>139186</v>
      </c>
      <c r="F42" s="191"/>
      <c r="G42" s="204"/>
      <c r="H42" s="211"/>
    </row>
    <row r="43" spans="1:13" x14ac:dyDescent="0.2">
      <c r="C43" s="213"/>
      <c r="D43" s="214"/>
      <c r="E43" s="213"/>
      <c r="F43" s="191"/>
      <c r="G43" s="204"/>
    </row>
    <row r="44" spans="1:13" ht="30" customHeight="1" x14ac:dyDescent="0.2">
      <c r="A44" s="628" t="s">
        <v>219</v>
      </c>
      <c r="B44" s="628"/>
      <c r="C44" s="628"/>
      <c r="D44" s="216"/>
      <c r="E44" s="216"/>
      <c r="F44" s="191"/>
      <c r="G44" s="217"/>
      <c r="H44" s="218" t="s">
        <v>220</v>
      </c>
      <c r="I44" s="219"/>
      <c r="J44" s="219"/>
      <c r="K44" s="163">
        <f>SUM(K5:K43)/M31</f>
        <v>0.12741555750525019</v>
      </c>
      <c r="L44" s="163">
        <f>SUM(L5:L43)/M31</f>
        <v>0.13722519867807048</v>
      </c>
    </row>
    <row r="45" spans="1:13" ht="12.75" x14ac:dyDescent="0.2">
      <c r="A45" s="220"/>
      <c r="B45" s="220"/>
      <c r="C45" s="220"/>
      <c r="D45" s="221"/>
      <c r="E45" s="222"/>
      <c r="F45" s="191"/>
      <c r="G45" s="223"/>
    </row>
    <row r="46" spans="1:13" ht="12.75" x14ac:dyDescent="0.2">
      <c r="A46" s="224"/>
      <c r="B46" s="225" t="s">
        <v>221</v>
      </c>
      <c r="C46" s="225" t="s">
        <v>203</v>
      </c>
      <c r="D46" s="221"/>
      <c r="E46" s="222"/>
      <c r="F46" s="191"/>
      <c r="G46" s="223"/>
    </row>
    <row r="47" spans="1:13" ht="12.75" x14ac:dyDescent="0.2">
      <c r="A47" s="226"/>
      <c r="B47" s="227"/>
      <c r="C47" s="227"/>
      <c r="D47" s="221"/>
      <c r="E47" s="222"/>
      <c r="F47" s="191"/>
      <c r="G47" s="223"/>
      <c r="H47" s="228"/>
    </row>
    <row r="48" spans="1:13" ht="12.75" x14ac:dyDescent="0.2">
      <c r="A48" s="229" t="s">
        <v>222</v>
      </c>
      <c r="B48" s="230">
        <v>100</v>
      </c>
      <c r="C48" s="230">
        <f>+B48</f>
        <v>100</v>
      </c>
      <c r="D48" s="214"/>
      <c r="E48" s="213"/>
      <c r="F48" s="191"/>
      <c r="G48" s="204"/>
      <c r="H48" s="211"/>
    </row>
    <row r="49" spans="1:8" ht="12.75" x14ac:dyDescent="0.2">
      <c r="A49" s="226"/>
      <c r="B49" s="227"/>
      <c r="C49" s="227"/>
      <c r="D49" s="214"/>
      <c r="E49" s="213"/>
      <c r="F49" s="191"/>
      <c r="G49" s="204"/>
      <c r="H49" s="211"/>
    </row>
    <row r="50" spans="1:8" ht="12.75" x14ac:dyDescent="0.2">
      <c r="A50" s="229" t="s">
        <v>223</v>
      </c>
      <c r="B50" s="230"/>
      <c r="C50" s="231">
        <f>SUM(B51:B56)</f>
        <v>22.835999999999999</v>
      </c>
      <c r="D50" s="214"/>
      <c r="E50" s="213"/>
      <c r="F50" s="191"/>
      <c r="G50" s="204"/>
      <c r="H50" s="211"/>
    </row>
    <row r="51" spans="1:8" ht="12.75" x14ac:dyDescent="0.2">
      <c r="A51" s="224" t="s">
        <v>224</v>
      </c>
      <c r="B51" s="230">
        <v>1</v>
      </c>
      <c r="C51" s="231"/>
      <c r="D51" s="214"/>
      <c r="E51" s="213"/>
      <c r="F51" s="191"/>
      <c r="G51" s="204"/>
    </row>
    <row r="52" spans="1:8" ht="12.75" x14ac:dyDescent="0.2">
      <c r="A52" s="224" t="s">
        <v>225</v>
      </c>
      <c r="B52" s="232">
        <v>8.3330000000000002</v>
      </c>
      <c r="C52" s="231"/>
      <c r="D52" s="214"/>
      <c r="E52" s="213"/>
      <c r="F52" s="213"/>
      <c r="G52" s="204"/>
    </row>
    <row r="53" spans="1:8" ht="12.75" x14ac:dyDescent="0.2">
      <c r="A53" s="224" t="s">
        <v>226</v>
      </c>
      <c r="B53" s="232">
        <v>8.3330000000000002</v>
      </c>
      <c r="C53" s="231"/>
      <c r="D53" s="221"/>
      <c r="E53" s="222"/>
      <c r="F53" s="222"/>
      <c r="G53" s="223"/>
    </row>
    <row r="54" spans="1:8" ht="12.75" x14ac:dyDescent="0.2">
      <c r="A54" s="224" t="s">
        <v>227</v>
      </c>
      <c r="B54" s="232">
        <v>1</v>
      </c>
      <c r="C54" s="231"/>
      <c r="D54" s="221"/>
      <c r="E54" s="222"/>
      <c r="F54" s="222"/>
      <c r="G54" s="223"/>
      <c r="H54" s="228"/>
    </row>
    <row r="55" spans="1:8" ht="12.75" x14ac:dyDescent="0.2">
      <c r="A55" s="224" t="s">
        <v>228</v>
      </c>
      <c r="B55" s="232">
        <v>4.17</v>
      </c>
      <c r="C55" s="231"/>
      <c r="D55" s="214"/>
      <c r="E55" s="213"/>
      <c r="F55" s="213"/>
      <c r="G55" s="204"/>
      <c r="H55" s="211"/>
    </row>
    <row r="56" spans="1:8" ht="12.75" x14ac:dyDescent="0.2">
      <c r="A56" s="224" t="s">
        <v>229</v>
      </c>
      <c r="B56" s="232">
        <v>0</v>
      </c>
      <c r="C56" s="231"/>
      <c r="D56" s="214"/>
      <c r="E56" s="213"/>
      <c r="F56" s="213"/>
      <c r="G56" s="204"/>
      <c r="H56" s="211"/>
    </row>
    <row r="57" spans="1:8" ht="12.75" x14ac:dyDescent="0.2">
      <c r="A57" s="226"/>
      <c r="B57" s="233"/>
      <c r="C57" s="234"/>
      <c r="D57" s="214"/>
      <c r="E57" s="213"/>
      <c r="F57" s="213"/>
      <c r="G57" s="204"/>
      <c r="H57" s="211"/>
    </row>
    <row r="58" spans="1:8" ht="12.75" x14ac:dyDescent="0.2">
      <c r="A58" s="229" t="s">
        <v>230</v>
      </c>
      <c r="B58" s="235"/>
      <c r="C58" s="231">
        <f>SUM(B60:B62)</f>
        <v>27.46</v>
      </c>
      <c r="D58" s="214"/>
      <c r="E58" s="213"/>
      <c r="F58" s="213"/>
      <c r="G58" s="204"/>
    </row>
    <row r="59" spans="1:8" ht="12.75" x14ac:dyDescent="0.2">
      <c r="A59" s="224"/>
      <c r="B59" s="235"/>
      <c r="C59" s="231"/>
      <c r="D59" s="214"/>
      <c r="E59" s="213"/>
      <c r="F59" s="213"/>
      <c r="G59" s="204"/>
    </row>
    <row r="60" spans="1:8" ht="12.75" x14ac:dyDescent="0.2">
      <c r="A60" s="236" t="s">
        <v>231</v>
      </c>
      <c r="B60" s="237">
        <v>8.5</v>
      </c>
      <c r="C60" s="231"/>
      <c r="D60" s="221"/>
      <c r="E60" s="222"/>
      <c r="F60" s="222"/>
      <c r="G60" s="223"/>
    </row>
    <row r="61" spans="1:8" ht="12.75" x14ac:dyDescent="0.2">
      <c r="A61" s="236" t="s">
        <v>232</v>
      </c>
      <c r="B61" s="237">
        <v>12</v>
      </c>
      <c r="C61" s="231"/>
      <c r="D61" s="221"/>
      <c r="E61" s="222"/>
      <c r="F61" s="222"/>
      <c r="G61" s="223"/>
      <c r="H61" s="228"/>
    </row>
    <row r="62" spans="1:8" ht="12.75" x14ac:dyDescent="0.2">
      <c r="A62" s="224" t="s">
        <v>233</v>
      </c>
      <c r="B62" s="235">
        <v>6.96</v>
      </c>
      <c r="C62" s="231"/>
      <c r="D62" s="214"/>
      <c r="E62" s="213"/>
      <c r="F62" s="213"/>
      <c r="G62" s="204"/>
      <c r="H62" s="211"/>
    </row>
    <row r="63" spans="1:8" ht="12.75" x14ac:dyDescent="0.2">
      <c r="A63" s="226"/>
      <c r="B63" s="233"/>
      <c r="C63" s="234"/>
      <c r="D63" s="214"/>
      <c r="E63" s="213"/>
      <c r="F63" s="213"/>
      <c r="G63" s="204"/>
      <c r="H63" s="211"/>
    </row>
    <row r="64" spans="1:8" ht="12.75" x14ac:dyDescent="0.2">
      <c r="A64" s="229" t="s">
        <v>234</v>
      </c>
      <c r="B64" s="235"/>
      <c r="C64" s="231">
        <f>SUM(B66:B68)</f>
        <v>9</v>
      </c>
      <c r="D64" s="214"/>
      <c r="E64" s="213"/>
      <c r="F64" s="213"/>
      <c r="G64" s="204"/>
      <c r="H64" s="211"/>
    </row>
    <row r="65" spans="1:8" ht="12.75" x14ac:dyDescent="0.2">
      <c r="A65" s="224"/>
      <c r="B65" s="235"/>
      <c r="C65" s="231"/>
      <c r="D65" s="214"/>
      <c r="E65" s="213"/>
      <c r="F65" s="213"/>
      <c r="G65" s="204"/>
    </row>
    <row r="66" spans="1:8" ht="12.75" x14ac:dyDescent="0.2">
      <c r="A66" s="224" t="s">
        <v>235</v>
      </c>
      <c r="B66" s="235">
        <v>2</v>
      </c>
      <c r="C66" s="231"/>
      <c r="D66" s="214"/>
      <c r="E66" s="213"/>
      <c r="F66" s="213"/>
      <c r="G66" s="204"/>
    </row>
    <row r="67" spans="1:8" ht="12.75" x14ac:dyDescent="0.2">
      <c r="A67" s="224" t="s">
        <v>236</v>
      </c>
      <c r="B67" s="235">
        <v>3</v>
      </c>
      <c r="C67" s="231"/>
      <c r="D67" s="221"/>
      <c r="E67" s="222"/>
      <c r="F67" s="222"/>
      <c r="G67" s="223"/>
    </row>
    <row r="68" spans="1:8" ht="12.75" x14ac:dyDescent="0.2">
      <c r="A68" s="224" t="s">
        <v>237</v>
      </c>
      <c r="B68" s="235">
        <v>4</v>
      </c>
      <c r="C68" s="231"/>
      <c r="D68" s="221"/>
      <c r="E68" s="222"/>
      <c r="F68" s="222"/>
      <c r="G68" s="223"/>
      <c r="H68" s="238"/>
    </row>
    <row r="69" spans="1:8" ht="12.75" x14ac:dyDescent="0.2">
      <c r="A69" s="239"/>
      <c r="B69" s="239"/>
      <c r="C69" s="240">
        <f>SUM(C48:C68)</f>
        <v>159.29599999999999</v>
      </c>
      <c r="D69" s="214"/>
      <c r="E69" s="213"/>
      <c r="F69" s="213"/>
      <c r="G69" s="204"/>
      <c r="H69" s="211"/>
    </row>
    <row r="70" spans="1:8" ht="12.75" x14ac:dyDescent="0.2">
      <c r="A70" s="239"/>
      <c r="B70" s="239"/>
      <c r="C70" s="241">
        <f>ROUND((C69/100),3)</f>
        <v>1.593</v>
      </c>
      <c r="D70" s="214"/>
      <c r="E70" s="213"/>
      <c r="F70" s="213"/>
      <c r="G70" s="204"/>
      <c r="H70" s="211"/>
    </row>
    <row r="71" spans="1:8" x14ac:dyDescent="0.2">
      <c r="C71" s="213"/>
      <c r="D71" s="214"/>
      <c r="E71" s="213"/>
      <c r="F71" s="213"/>
      <c r="G71" s="204"/>
      <c r="H71" s="211"/>
    </row>
    <row r="72" spans="1:8" x14ac:dyDescent="0.2">
      <c r="A72" s="242" t="s">
        <v>238</v>
      </c>
      <c r="B72" s="243">
        <f>+E35+5*E32</f>
        <v>490995</v>
      </c>
      <c r="C72" s="213"/>
      <c r="D72" s="214"/>
      <c r="E72" s="213"/>
      <c r="F72" s="213"/>
      <c r="G72" s="204"/>
    </row>
    <row r="73" spans="1:8" x14ac:dyDescent="0.2">
      <c r="A73" s="242" t="s">
        <v>239</v>
      </c>
      <c r="B73" s="243">
        <f>2*E35+4*E32</f>
        <v>557274</v>
      </c>
      <c r="C73" s="213"/>
      <c r="D73" s="214"/>
      <c r="E73" s="213"/>
      <c r="F73" s="213"/>
      <c r="G73" s="204"/>
    </row>
    <row r="74" spans="1:8" x14ac:dyDescent="0.2">
      <c r="A74" s="242" t="s">
        <v>240</v>
      </c>
      <c r="B74" s="243">
        <f>2*E35+6*E32</f>
        <v>698846</v>
      </c>
      <c r="C74" s="222"/>
      <c r="D74" s="221"/>
      <c r="E74" s="222"/>
      <c r="F74" s="222"/>
      <c r="G74" s="223"/>
    </row>
    <row r="75" spans="1:8" x14ac:dyDescent="0.2">
      <c r="A75" s="242" t="s">
        <v>241</v>
      </c>
      <c r="B75" s="243">
        <f>+E36+E33</f>
        <v>213286</v>
      </c>
      <c r="C75" s="222"/>
      <c r="D75" s="221"/>
      <c r="E75" s="222"/>
      <c r="F75" s="222"/>
      <c r="G75" s="223"/>
      <c r="H75" s="228"/>
    </row>
    <row r="76" spans="1:8" x14ac:dyDescent="0.2">
      <c r="A76" s="242" t="s">
        <v>242</v>
      </c>
      <c r="B76" s="243">
        <f>+E36+E33</f>
        <v>213286</v>
      </c>
      <c r="C76" s="213"/>
      <c r="D76" s="214"/>
      <c r="E76" s="213"/>
      <c r="F76" s="213"/>
      <c r="G76" s="204"/>
      <c r="H76" s="211"/>
    </row>
    <row r="77" spans="1:8" x14ac:dyDescent="0.2">
      <c r="A77" s="242" t="s">
        <v>243</v>
      </c>
      <c r="B77" s="243">
        <f>+E39+E35+E32</f>
        <v>472305</v>
      </c>
      <c r="C77" s="213"/>
      <c r="D77" s="214"/>
      <c r="E77" s="213"/>
      <c r="F77" s="213"/>
      <c r="G77" s="204"/>
      <c r="H77" s="211"/>
    </row>
    <row r="78" spans="1:8" x14ac:dyDescent="0.2">
      <c r="A78" s="242" t="s">
        <v>244</v>
      </c>
      <c r="B78" s="243">
        <f>+E35+E33</f>
        <v>211165</v>
      </c>
      <c r="C78" s="213"/>
      <c r="D78" s="214"/>
      <c r="E78" s="213"/>
      <c r="F78" s="213"/>
      <c r="G78" s="204"/>
      <c r="H78" s="211"/>
    </row>
    <row r="79" spans="1:8" x14ac:dyDescent="0.2">
      <c r="A79" s="242" t="s">
        <v>245</v>
      </c>
      <c r="B79" s="243">
        <f>+E35+E32</f>
        <v>207851</v>
      </c>
      <c r="C79" s="213"/>
      <c r="D79" s="214"/>
      <c r="E79" s="213"/>
      <c r="F79" s="213"/>
      <c r="G79" s="204"/>
    </row>
    <row r="80" spans="1:8" x14ac:dyDescent="0.2">
      <c r="A80" s="242" t="s">
        <v>246</v>
      </c>
      <c r="B80" s="243">
        <f>+E32</f>
        <v>70786</v>
      </c>
      <c r="C80" s="213"/>
      <c r="D80" s="214"/>
      <c r="E80" s="213"/>
      <c r="F80" s="213"/>
      <c r="G80" s="204"/>
    </row>
    <row r="81" spans="1:8" x14ac:dyDescent="0.2">
      <c r="A81" s="483" t="s">
        <v>973</v>
      </c>
      <c r="B81" s="484">
        <f>+E32*2</f>
        <v>141572</v>
      </c>
      <c r="C81" s="213"/>
      <c r="D81" s="214"/>
      <c r="E81" s="213"/>
      <c r="F81" s="213"/>
      <c r="G81" s="204"/>
    </row>
    <row r="82" spans="1:8" x14ac:dyDescent="0.2">
      <c r="A82" s="456" t="s">
        <v>899</v>
      </c>
      <c r="B82" s="457">
        <f>+B80*2</f>
        <v>141572</v>
      </c>
      <c r="C82" s="213"/>
      <c r="D82" s="214"/>
      <c r="E82" s="213"/>
      <c r="F82" s="213"/>
      <c r="G82" s="204"/>
    </row>
    <row r="83" spans="1:8" x14ac:dyDescent="0.2">
      <c r="A83" s="483" t="s">
        <v>938</v>
      </c>
      <c r="B83" s="484">
        <f>B82</f>
        <v>141572</v>
      </c>
      <c r="C83" s="213"/>
      <c r="D83" s="214"/>
      <c r="E83" s="213"/>
      <c r="F83" s="213"/>
      <c r="G83" s="204"/>
    </row>
    <row r="84" spans="1:8" x14ac:dyDescent="0.2">
      <c r="A84" s="242" t="s">
        <v>247</v>
      </c>
      <c r="B84" s="243">
        <v>85000</v>
      </c>
      <c r="C84" s="222"/>
      <c r="D84" s="221"/>
      <c r="E84" s="222"/>
      <c r="F84" s="222"/>
      <c r="G84" s="223"/>
    </row>
    <row r="85" spans="1:8" x14ac:dyDescent="0.2">
      <c r="A85" s="242" t="s">
        <v>248</v>
      </c>
      <c r="B85" s="243">
        <f>E34</f>
        <v>74100</v>
      </c>
      <c r="C85" s="222"/>
      <c r="D85" s="221"/>
      <c r="E85" s="222"/>
      <c r="F85" s="222"/>
      <c r="G85" s="223"/>
    </row>
    <row r="86" spans="1:8" x14ac:dyDescent="0.2">
      <c r="A86" s="242" t="s">
        <v>249</v>
      </c>
      <c r="B86" s="243">
        <f>E36+2*E32</f>
        <v>280758</v>
      </c>
      <c r="C86" s="222"/>
      <c r="D86" s="221"/>
      <c r="E86" s="222"/>
      <c r="F86" s="222"/>
      <c r="G86" s="223"/>
    </row>
    <row r="87" spans="1:8" x14ac:dyDescent="0.2">
      <c r="A87" s="242" t="s">
        <v>250</v>
      </c>
      <c r="B87" s="243">
        <f>E35+2*E32</f>
        <v>278637</v>
      </c>
      <c r="D87" s="221"/>
      <c r="E87" s="222"/>
      <c r="F87" s="222"/>
      <c r="G87" s="223"/>
    </row>
    <row r="88" spans="1:8" x14ac:dyDescent="0.2">
      <c r="A88" s="242" t="s">
        <v>251</v>
      </c>
      <c r="B88" s="243">
        <f>2*E38+E33</f>
        <v>420178</v>
      </c>
      <c r="C88" s="222"/>
      <c r="D88" s="221"/>
      <c r="E88" s="222"/>
      <c r="F88" s="222"/>
      <c r="G88" s="223"/>
      <c r="H88" s="228"/>
    </row>
    <row r="89" spans="1:8" x14ac:dyDescent="0.2">
      <c r="A89" s="483" t="s">
        <v>945</v>
      </c>
      <c r="B89" s="484">
        <f>E38*2</f>
        <v>346078</v>
      </c>
      <c r="C89" s="222"/>
      <c r="D89" s="221"/>
      <c r="E89" s="222"/>
      <c r="F89" s="222"/>
      <c r="G89" s="223"/>
      <c r="H89" s="228"/>
    </row>
    <row r="90" spans="1:8" x14ac:dyDescent="0.2">
      <c r="A90" s="242" t="s">
        <v>252</v>
      </c>
      <c r="B90" s="243">
        <f>+E37+E33</f>
        <v>247139</v>
      </c>
      <c r="C90" s="213"/>
      <c r="D90" s="214"/>
      <c r="E90" s="213"/>
      <c r="F90" s="213"/>
      <c r="G90" s="204"/>
      <c r="H90" s="211"/>
    </row>
    <row r="91" spans="1:8" x14ac:dyDescent="0.2">
      <c r="A91" s="242" t="s">
        <v>253</v>
      </c>
      <c r="B91" s="243">
        <f>+E33+2*E32</f>
        <v>215672</v>
      </c>
      <c r="C91" s="213"/>
      <c r="D91" s="214"/>
      <c r="E91" s="213"/>
      <c r="F91" s="213"/>
      <c r="G91" s="204"/>
      <c r="H91" s="211"/>
    </row>
    <row r="92" spans="1:8" x14ac:dyDescent="0.2">
      <c r="A92" s="242" t="s">
        <v>254</v>
      </c>
      <c r="B92" s="243">
        <f>+E35+3*E32</f>
        <v>349423</v>
      </c>
      <c r="C92" s="213"/>
      <c r="D92" s="214"/>
      <c r="E92" s="213"/>
      <c r="F92" s="213"/>
      <c r="G92" s="204"/>
      <c r="H92" s="211"/>
    </row>
    <row r="93" spans="1:8" x14ac:dyDescent="0.2">
      <c r="A93" s="242" t="s">
        <v>255</v>
      </c>
      <c r="B93" s="243">
        <f>+E35+2*E32</f>
        <v>278637</v>
      </c>
      <c r="C93" s="213"/>
      <c r="D93" s="214"/>
      <c r="E93" s="213"/>
      <c r="F93" s="213"/>
      <c r="G93" s="204"/>
    </row>
    <row r="94" spans="1:8" x14ac:dyDescent="0.2">
      <c r="A94" s="242" t="s">
        <v>256</v>
      </c>
      <c r="B94" s="243">
        <f>+E35+2*E32</f>
        <v>278637</v>
      </c>
      <c r="C94" s="213"/>
      <c r="D94" s="214"/>
      <c r="E94" s="213"/>
      <c r="F94" s="213"/>
      <c r="G94" s="204"/>
    </row>
    <row r="95" spans="1:8" x14ac:dyDescent="0.2">
      <c r="A95" s="242" t="s">
        <v>257</v>
      </c>
      <c r="B95" s="243">
        <f>4*E32</f>
        <v>283144</v>
      </c>
      <c r="C95" s="222"/>
      <c r="D95" s="221"/>
      <c r="E95" s="222"/>
      <c r="F95" s="222"/>
      <c r="G95" s="223"/>
    </row>
    <row r="96" spans="1:8" x14ac:dyDescent="0.2">
      <c r="A96" s="242" t="s">
        <v>258</v>
      </c>
      <c r="B96" s="243">
        <f>E35+4*E32</f>
        <v>420209</v>
      </c>
    </row>
    <row r="97" spans="1:2" x14ac:dyDescent="0.2">
      <c r="A97" s="242" t="s">
        <v>259</v>
      </c>
      <c r="B97" s="243">
        <f>E35+E32*4</f>
        <v>420209</v>
      </c>
    </row>
    <row r="98" spans="1:2" x14ac:dyDescent="0.2">
      <c r="A98" s="242" t="s">
        <v>260</v>
      </c>
      <c r="B98" s="243">
        <f>E36+2*E32</f>
        <v>280758</v>
      </c>
    </row>
    <row r="99" spans="1:2" x14ac:dyDescent="0.2">
      <c r="A99" s="242" t="s">
        <v>261</v>
      </c>
      <c r="B99" s="243">
        <f>E40+E41+2*E33</f>
        <v>409074</v>
      </c>
    </row>
    <row r="100" spans="1:2" x14ac:dyDescent="0.2">
      <c r="A100" s="242" t="s">
        <v>262</v>
      </c>
      <c r="B100" s="243">
        <f>3000000*C70/30</f>
        <v>159300</v>
      </c>
    </row>
    <row r="101" spans="1:2" x14ac:dyDescent="0.2">
      <c r="A101" s="242" t="s">
        <v>263</v>
      </c>
      <c r="B101" s="243">
        <f>E36+2*E34</f>
        <v>287386</v>
      </c>
    </row>
    <row r="102" spans="1:2" x14ac:dyDescent="0.2">
      <c r="A102" s="456" t="s">
        <v>264</v>
      </c>
      <c r="B102" s="150">
        <f>+E37+2*E35+E33+6*E32</f>
        <v>945985</v>
      </c>
    </row>
    <row r="103" spans="1:2" x14ac:dyDescent="0.2">
      <c r="A103" s="170" t="s">
        <v>880</v>
      </c>
      <c r="B103" s="150">
        <v>58198</v>
      </c>
    </row>
    <row r="104" spans="1:2" x14ac:dyDescent="0.2">
      <c r="A104" s="456" t="s">
        <v>264</v>
      </c>
    </row>
  </sheetData>
  <mergeCells count="3">
    <mergeCell ref="A1:E1"/>
    <mergeCell ref="G1:L2"/>
    <mergeCell ref="A44:C4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K1903"/>
  <sheetViews>
    <sheetView topLeftCell="A288" workbookViewId="0">
      <selection activeCell="G434" sqref="G434"/>
    </sheetView>
  </sheetViews>
  <sheetFormatPr baseColWidth="10" defaultRowHeight="15" x14ac:dyDescent="0.25"/>
  <cols>
    <col min="2" max="2" width="72.7109375" customWidth="1"/>
    <col min="4" max="4" width="23.28515625" customWidth="1"/>
    <col min="5" max="5" width="18.140625" customWidth="1"/>
    <col min="6" max="6" width="17.28515625" customWidth="1"/>
    <col min="7" max="7" width="23.85546875" customWidth="1"/>
    <col min="8" max="8" width="16.140625" customWidth="1"/>
    <col min="9" max="9" width="16" customWidth="1"/>
    <col min="10" max="10" width="12.7109375" bestFit="1" customWidth="1"/>
  </cols>
  <sheetData>
    <row r="1" spans="1:11" ht="30" x14ac:dyDescent="0.25">
      <c r="A1" s="361" t="s">
        <v>382</v>
      </c>
      <c r="B1" s="362" t="s">
        <v>104</v>
      </c>
      <c r="C1" s="363" t="s">
        <v>105</v>
      </c>
      <c r="D1" s="364" t="s">
        <v>383</v>
      </c>
      <c r="E1" s="365" t="s">
        <v>384</v>
      </c>
      <c r="F1" s="98">
        <v>2022</v>
      </c>
      <c r="G1" s="367" t="s">
        <v>385</v>
      </c>
      <c r="H1" s="366"/>
      <c r="I1" s="368"/>
      <c r="J1" s="366"/>
      <c r="K1" s="366"/>
    </row>
    <row r="2" spans="1:11" x14ac:dyDescent="0.25">
      <c r="A2" s="369" t="s">
        <v>386</v>
      </c>
      <c r="B2" s="370" t="s">
        <v>387</v>
      </c>
      <c r="C2" s="371" t="s">
        <v>111</v>
      </c>
      <c r="D2" s="372">
        <f>ROUND(2571022+50000,0)</f>
        <v>2621022</v>
      </c>
      <c r="E2" s="373"/>
      <c r="G2" s="374">
        <f>+D2/6</f>
        <v>436837</v>
      </c>
      <c r="I2" s="375"/>
    </row>
    <row r="3" spans="1:11" x14ac:dyDescent="0.25">
      <c r="A3" s="369" t="s">
        <v>386</v>
      </c>
      <c r="B3" s="370" t="s">
        <v>388</v>
      </c>
      <c r="C3" s="371" t="s">
        <v>111</v>
      </c>
      <c r="D3" s="372">
        <f>3078292+50000</f>
        <v>3128292</v>
      </c>
      <c r="E3" s="373"/>
      <c r="G3" s="374"/>
      <c r="I3" s="375"/>
    </row>
    <row r="4" spans="1:11" x14ac:dyDescent="0.25">
      <c r="A4" s="369" t="s">
        <v>386</v>
      </c>
      <c r="B4" s="370" t="s">
        <v>389</v>
      </c>
      <c r="C4" s="371" t="s">
        <v>111</v>
      </c>
      <c r="D4" s="372">
        <f>3611689+50000</f>
        <v>3661689</v>
      </c>
      <c r="E4" s="373"/>
      <c r="G4" s="374"/>
      <c r="I4" s="375"/>
    </row>
    <row r="5" spans="1:11" x14ac:dyDescent="0.25">
      <c r="A5" s="369" t="s">
        <v>386</v>
      </c>
      <c r="B5" s="370" t="s">
        <v>390</v>
      </c>
      <c r="C5" s="371" t="s">
        <v>111</v>
      </c>
      <c r="D5" s="372">
        <f>3802162+50000</f>
        <v>3852162</v>
      </c>
      <c r="E5" s="373"/>
      <c r="G5" s="374"/>
      <c r="I5" s="375"/>
    </row>
    <row r="6" spans="1:11" x14ac:dyDescent="0.25">
      <c r="A6" s="369" t="s">
        <v>386</v>
      </c>
      <c r="B6" s="370" t="s">
        <v>391</v>
      </c>
      <c r="C6" s="371" t="s">
        <v>111</v>
      </c>
      <c r="D6" s="372">
        <f>3970392+50000</f>
        <v>4020392</v>
      </c>
      <c r="E6" s="373"/>
      <c r="G6" s="374"/>
      <c r="I6" s="375"/>
    </row>
    <row r="7" spans="1:11" x14ac:dyDescent="0.25">
      <c r="A7" s="369" t="s">
        <v>386</v>
      </c>
      <c r="B7" s="370" t="s">
        <v>392</v>
      </c>
      <c r="C7" s="371" t="s">
        <v>111</v>
      </c>
      <c r="D7" s="372">
        <f>4497322</f>
        <v>4497322</v>
      </c>
      <c r="E7" s="373"/>
      <c r="G7" s="374">
        <f>2188047*1.19</f>
        <v>2603775.9299999997</v>
      </c>
      <c r="I7" s="375"/>
    </row>
    <row r="8" spans="1:11" x14ac:dyDescent="0.25">
      <c r="A8" s="369" t="s">
        <v>386</v>
      </c>
      <c r="B8" s="370" t="s">
        <v>393</v>
      </c>
      <c r="C8" s="371" t="s">
        <v>17</v>
      </c>
      <c r="D8" s="372">
        <v>200454</v>
      </c>
      <c r="E8" s="373"/>
      <c r="G8" s="374"/>
      <c r="I8" s="375"/>
    </row>
    <row r="9" spans="1:11" x14ac:dyDescent="0.25">
      <c r="A9" s="369" t="s">
        <v>386</v>
      </c>
      <c r="B9" s="370" t="s">
        <v>394</v>
      </c>
      <c r="C9" s="371" t="s">
        <v>17</v>
      </c>
      <c r="D9" s="372">
        <v>200454</v>
      </c>
      <c r="E9" s="373"/>
      <c r="G9" s="374"/>
      <c r="I9" s="375"/>
    </row>
    <row r="10" spans="1:11" x14ac:dyDescent="0.25">
      <c r="A10" s="369" t="s">
        <v>386</v>
      </c>
      <c r="B10" s="370" t="s">
        <v>395</v>
      </c>
      <c r="C10" s="371" t="s">
        <v>17</v>
      </c>
      <c r="D10" s="372">
        <v>206558</v>
      </c>
      <c r="E10" s="373"/>
      <c r="G10" s="374"/>
      <c r="I10" s="375"/>
    </row>
    <row r="11" spans="1:11" x14ac:dyDescent="0.25">
      <c r="A11" s="369" t="s">
        <v>386</v>
      </c>
      <c r="B11" s="370" t="s">
        <v>396</v>
      </c>
      <c r="C11" s="371" t="s">
        <v>17</v>
      </c>
      <c r="D11" s="372">
        <v>208851</v>
      </c>
      <c r="E11" s="373"/>
      <c r="G11" s="374"/>
      <c r="I11" s="375"/>
    </row>
    <row r="12" spans="1:11" x14ac:dyDescent="0.25">
      <c r="A12" s="369" t="s">
        <v>386</v>
      </c>
      <c r="B12" s="370" t="s">
        <v>397</v>
      </c>
      <c r="C12" s="371" t="s">
        <v>17</v>
      </c>
      <c r="D12" s="372">
        <v>227889</v>
      </c>
      <c r="E12" s="373"/>
      <c r="G12" s="374"/>
      <c r="I12" s="375"/>
    </row>
    <row r="13" spans="1:11" x14ac:dyDescent="0.25">
      <c r="A13" s="376" t="s">
        <v>386</v>
      </c>
      <c r="B13" s="377" t="s">
        <v>398</v>
      </c>
      <c r="C13" s="378" t="s">
        <v>17</v>
      </c>
      <c r="D13" s="373">
        <v>0</v>
      </c>
      <c r="E13" s="373">
        <v>194000</v>
      </c>
      <c r="G13" s="374"/>
      <c r="I13" s="375"/>
    </row>
    <row r="14" spans="1:11" x14ac:dyDescent="0.25">
      <c r="A14" s="376" t="s">
        <v>386</v>
      </c>
      <c r="B14" s="377" t="s">
        <v>399</v>
      </c>
      <c r="C14" s="378" t="s">
        <v>17</v>
      </c>
      <c r="D14" s="373">
        <v>0</v>
      </c>
      <c r="E14" s="373">
        <v>74700</v>
      </c>
      <c r="G14" s="374"/>
      <c r="I14" s="375"/>
    </row>
    <row r="15" spans="1:11" x14ac:dyDescent="0.25">
      <c r="A15" s="376" t="s">
        <v>386</v>
      </c>
      <c r="B15" s="377" t="s">
        <v>400</v>
      </c>
      <c r="C15" s="378" t="s">
        <v>17</v>
      </c>
      <c r="D15" s="373">
        <v>0</v>
      </c>
      <c r="E15" s="373">
        <v>80300</v>
      </c>
      <c r="G15" s="374"/>
      <c r="I15" s="375"/>
    </row>
    <row r="16" spans="1:11" ht="30" x14ac:dyDescent="0.25">
      <c r="A16" s="376" t="s">
        <v>386</v>
      </c>
      <c r="B16" s="377" t="s">
        <v>401</v>
      </c>
      <c r="C16" s="378" t="s">
        <v>17</v>
      </c>
      <c r="D16" s="373">
        <v>0</v>
      </c>
      <c r="E16" s="373">
        <v>150100</v>
      </c>
      <c r="G16" s="374"/>
      <c r="I16" s="375"/>
    </row>
    <row r="17" spans="1:9" ht="30" x14ac:dyDescent="0.25">
      <c r="A17" s="376" t="s">
        <v>386</v>
      </c>
      <c r="B17" s="377" t="s">
        <v>402</v>
      </c>
      <c r="C17" s="378" t="s">
        <v>17</v>
      </c>
      <c r="D17" s="373">
        <v>0</v>
      </c>
      <c r="E17" s="373">
        <v>168000</v>
      </c>
      <c r="G17" s="374"/>
      <c r="I17" s="375"/>
    </row>
    <row r="18" spans="1:9" x14ac:dyDescent="0.25">
      <c r="A18" s="376"/>
      <c r="B18" s="370" t="s">
        <v>403</v>
      </c>
      <c r="C18" s="371" t="s">
        <v>17</v>
      </c>
      <c r="D18" s="372">
        <v>230634</v>
      </c>
      <c r="E18" s="373"/>
      <c r="G18" s="374"/>
      <c r="I18" s="375"/>
    </row>
    <row r="19" spans="1:9" x14ac:dyDescent="0.25">
      <c r="A19" s="369" t="s">
        <v>386</v>
      </c>
      <c r="B19" s="370" t="s">
        <v>404</v>
      </c>
      <c r="C19" s="371" t="s">
        <v>17</v>
      </c>
      <c r="D19" s="372">
        <v>230635</v>
      </c>
      <c r="E19" s="373"/>
      <c r="G19" s="374"/>
      <c r="I19" s="375"/>
    </row>
    <row r="20" spans="1:9" x14ac:dyDescent="0.25">
      <c r="A20" s="369" t="s">
        <v>386</v>
      </c>
      <c r="B20" s="370" t="s">
        <v>405</v>
      </c>
      <c r="C20" s="371" t="s">
        <v>17</v>
      </c>
      <c r="D20" s="372">
        <v>230635</v>
      </c>
      <c r="E20" s="373"/>
      <c r="G20" s="374"/>
      <c r="I20" s="375"/>
    </row>
    <row r="21" spans="1:9" x14ac:dyDescent="0.25">
      <c r="A21" s="369" t="s">
        <v>386</v>
      </c>
      <c r="B21" s="370" t="s">
        <v>406</v>
      </c>
      <c r="C21" s="371" t="s">
        <v>17</v>
      </c>
      <c r="D21" s="372">
        <v>238169</v>
      </c>
      <c r="E21" s="373"/>
      <c r="G21" s="374"/>
      <c r="I21" s="375"/>
    </row>
    <row r="22" spans="1:9" x14ac:dyDescent="0.25">
      <c r="A22" s="369" t="s">
        <v>386</v>
      </c>
      <c r="B22" s="370" t="s">
        <v>407</v>
      </c>
      <c r="C22" s="371" t="s">
        <v>17</v>
      </c>
      <c r="D22" s="372">
        <v>256712</v>
      </c>
      <c r="E22" s="373"/>
      <c r="G22" s="374"/>
      <c r="I22" s="375"/>
    </row>
    <row r="23" spans="1:9" x14ac:dyDescent="0.25">
      <c r="A23" s="369" t="s">
        <v>386</v>
      </c>
      <c r="B23" s="370" t="s">
        <v>408</v>
      </c>
      <c r="C23" s="371" t="s">
        <v>17</v>
      </c>
      <c r="D23" s="372">
        <v>283372</v>
      </c>
      <c r="E23" s="373"/>
      <c r="G23" s="374"/>
      <c r="I23" s="375"/>
    </row>
    <row r="24" spans="1:9" x14ac:dyDescent="0.25">
      <c r="A24" s="376" t="s">
        <v>386</v>
      </c>
      <c r="B24" s="377" t="s">
        <v>409</v>
      </c>
      <c r="C24" s="378" t="s">
        <v>17</v>
      </c>
      <c r="D24" s="373">
        <v>0</v>
      </c>
      <c r="E24" s="373">
        <v>1636000</v>
      </c>
      <c r="G24" s="374"/>
      <c r="I24" s="375"/>
    </row>
    <row r="25" spans="1:9" x14ac:dyDescent="0.25">
      <c r="A25" s="376" t="s">
        <v>386</v>
      </c>
      <c r="B25" s="377" t="s">
        <v>410</v>
      </c>
      <c r="C25" s="378" t="s">
        <v>17</v>
      </c>
      <c r="D25" s="373">
        <v>0</v>
      </c>
      <c r="E25" s="373">
        <v>2200000</v>
      </c>
      <c r="G25" s="374"/>
      <c r="I25" s="375"/>
    </row>
    <row r="26" spans="1:9" x14ac:dyDescent="0.25">
      <c r="A26" s="369" t="s">
        <v>386</v>
      </c>
      <c r="B26" s="370" t="s">
        <v>411</v>
      </c>
      <c r="C26" s="371" t="s">
        <v>17</v>
      </c>
      <c r="D26" s="372">
        <v>849415</v>
      </c>
      <c r="E26" s="373"/>
      <c r="G26" s="374"/>
      <c r="I26" s="375"/>
    </row>
    <row r="27" spans="1:9" x14ac:dyDescent="0.25">
      <c r="A27" s="369" t="s">
        <v>386</v>
      </c>
      <c r="B27" s="370" t="s">
        <v>412</v>
      </c>
      <c r="C27" s="371" t="s">
        <v>17</v>
      </c>
      <c r="D27" s="372">
        <v>927035</v>
      </c>
      <c r="E27" s="373"/>
      <c r="G27" s="374"/>
      <c r="I27" s="375"/>
    </row>
    <row r="28" spans="1:9" x14ac:dyDescent="0.25">
      <c r="A28" s="369" t="s">
        <v>386</v>
      </c>
      <c r="B28" s="370" t="s">
        <v>413</v>
      </c>
      <c r="C28" s="371" t="s">
        <v>17</v>
      </c>
      <c r="D28" s="372">
        <v>1112617</v>
      </c>
      <c r="E28" s="373"/>
      <c r="G28" s="374"/>
      <c r="I28" s="375"/>
    </row>
    <row r="29" spans="1:9" x14ac:dyDescent="0.25">
      <c r="A29" s="369" t="s">
        <v>386</v>
      </c>
      <c r="B29" s="370" t="s">
        <v>414</v>
      </c>
      <c r="C29" s="371" t="s">
        <v>17</v>
      </c>
      <c r="D29" s="372">
        <v>1185314</v>
      </c>
      <c r="E29" s="373"/>
      <c r="G29" s="374"/>
      <c r="I29" s="375"/>
    </row>
    <row r="30" spans="1:9" x14ac:dyDescent="0.25">
      <c r="A30" s="369" t="s">
        <v>386</v>
      </c>
      <c r="B30" s="370" t="s">
        <v>415</v>
      </c>
      <c r="C30" s="371" t="s">
        <v>17</v>
      </c>
      <c r="D30" s="372">
        <v>1322443</v>
      </c>
      <c r="E30" s="373"/>
      <c r="G30" s="374"/>
      <c r="I30" s="375"/>
    </row>
    <row r="31" spans="1:9" x14ac:dyDescent="0.25">
      <c r="A31" s="369" t="s">
        <v>386</v>
      </c>
      <c r="B31" s="370" t="s">
        <v>416</v>
      </c>
      <c r="C31" s="371" t="s">
        <v>17</v>
      </c>
      <c r="D31" s="372">
        <v>1391920</v>
      </c>
      <c r="E31" s="373"/>
      <c r="G31" s="374"/>
      <c r="I31" s="375"/>
    </row>
    <row r="32" spans="1:9" x14ac:dyDescent="0.25">
      <c r="A32" s="379" t="s">
        <v>386</v>
      </c>
      <c r="B32" s="380" t="s">
        <v>417</v>
      </c>
      <c r="C32" s="381" t="s">
        <v>17</v>
      </c>
      <c r="D32" s="382">
        <v>4058</v>
      </c>
      <c r="E32" s="373"/>
      <c r="G32" s="374"/>
      <c r="I32" s="375"/>
    </row>
    <row r="33" spans="1:9" x14ac:dyDescent="0.25">
      <c r="A33" s="369" t="s">
        <v>386</v>
      </c>
      <c r="B33" s="370" t="s">
        <v>418</v>
      </c>
      <c r="C33" s="371" t="s">
        <v>111</v>
      </c>
      <c r="D33" s="372">
        <f>132298/6+15000</f>
        <v>37049.666666666672</v>
      </c>
      <c r="E33" s="373">
        <f>105540/6+15000</f>
        <v>32590</v>
      </c>
      <c r="G33" s="374"/>
      <c r="I33" s="375"/>
    </row>
    <row r="34" spans="1:9" x14ac:dyDescent="0.25">
      <c r="A34" s="369" t="s">
        <v>386</v>
      </c>
      <c r="B34" s="370" t="s">
        <v>419</v>
      </c>
      <c r="C34" s="371" t="s">
        <v>111</v>
      </c>
      <c r="D34" s="372">
        <f>256007/6+15000</f>
        <v>57667.833333333336</v>
      </c>
      <c r="E34" s="373">
        <f>204230/6+15000</f>
        <v>49038.333333333336</v>
      </c>
      <c r="G34" s="374"/>
      <c r="I34" s="375"/>
    </row>
    <row r="35" spans="1:9" x14ac:dyDescent="0.25">
      <c r="A35" s="369" t="s">
        <v>386</v>
      </c>
      <c r="B35" s="370" t="s">
        <v>420</v>
      </c>
      <c r="C35" s="371" t="s">
        <v>111</v>
      </c>
      <c r="D35" s="372">
        <f>365963/6+15000</f>
        <v>75993.833333333343</v>
      </c>
      <c r="E35" s="373">
        <f>290000/6+15000</f>
        <v>63333.333333333336</v>
      </c>
      <c r="G35" s="374"/>
      <c r="I35" s="375"/>
    </row>
    <row r="36" spans="1:9" x14ac:dyDescent="0.25">
      <c r="A36" s="369" t="s">
        <v>386</v>
      </c>
      <c r="B36" s="370" t="s">
        <v>421</v>
      </c>
      <c r="C36" s="371" t="s">
        <v>111</v>
      </c>
      <c r="D36" s="372">
        <f>534506/6+15000</f>
        <v>104084.33333333333</v>
      </c>
      <c r="E36" s="373">
        <f>70.8333333333333+15000</f>
        <v>15070.833333333334</v>
      </c>
      <c r="G36" s="374"/>
      <c r="I36" s="375"/>
    </row>
    <row r="37" spans="1:9" x14ac:dyDescent="0.25">
      <c r="A37" s="369" t="s">
        <v>386</v>
      </c>
      <c r="B37" s="370" t="s">
        <v>422</v>
      </c>
      <c r="C37" s="371" t="s">
        <v>111</v>
      </c>
      <c r="D37" s="372">
        <f>769122/6+15000</f>
        <v>143187</v>
      </c>
      <c r="E37" s="373">
        <f>613000/6+15000</f>
        <v>117166.66666666667</v>
      </c>
      <c r="G37" s="374"/>
      <c r="I37" s="375"/>
    </row>
    <row r="38" spans="1:9" x14ac:dyDescent="0.25">
      <c r="A38" s="369" t="s">
        <v>386</v>
      </c>
      <c r="B38" s="370" t="s">
        <v>423</v>
      </c>
      <c r="C38" s="371" t="s">
        <v>111</v>
      </c>
      <c r="D38" s="372">
        <f>1152632/6+30000</f>
        <v>222105.33333333334</v>
      </c>
      <c r="E38" s="373">
        <f>152.666666666667+30000</f>
        <v>30152.666666666668</v>
      </c>
      <c r="G38" s="374"/>
      <c r="I38" s="375"/>
    </row>
    <row r="39" spans="1:9" x14ac:dyDescent="0.25">
      <c r="A39" s="369" t="s">
        <v>386</v>
      </c>
      <c r="B39" s="370" t="s">
        <v>424</v>
      </c>
      <c r="C39" s="371" t="s">
        <v>111</v>
      </c>
      <c r="D39" s="372">
        <f>1409793/6+30000</f>
        <v>264965.5</v>
      </c>
      <c r="E39" s="373">
        <f>1124500/6+30000</f>
        <v>217416.66666666666</v>
      </c>
      <c r="G39" s="374"/>
      <c r="I39" s="375"/>
    </row>
    <row r="40" spans="1:9" x14ac:dyDescent="0.25">
      <c r="A40" s="369" t="s">
        <v>386</v>
      </c>
      <c r="B40" s="370" t="s">
        <v>425</v>
      </c>
      <c r="C40" s="371" t="s">
        <v>111</v>
      </c>
      <c r="D40" s="372">
        <f>1820748/6+50000</f>
        <v>353458</v>
      </c>
      <c r="E40" s="373">
        <f>1420000/6+50000</f>
        <v>286666.66666666663</v>
      </c>
      <c r="G40" s="374"/>
      <c r="I40" s="375"/>
    </row>
    <row r="41" spans="1:9" x14ac:dyDescent="0.25">
      <c r="A41" s="369" t="s">
        <v>386</v>
      </c>
      <c r="B41" s="370" t="s">
        <v>426</v>
      </c>
      <c r="C41" s="371" t="s">
        <v>111</v>
      </c>
      <c r="D41" s="372">
        <f>2373717/6+50000</f>
        <v>445619.5</v>
      </c>
      <c r="E41" s="373">
        <f>1850000/6+50000</f>
        <v>358333.33333333331</v>
      </c>
      <c r="G41" s="374"/>
      <c r="I41" s="375"/>
    </row>
    <row r="42" spans="1:9" x14ac:dyDescent="0.25">
      <c r="A42" s="379" t="s">
        <v>386</v>
      </c>
      <c r="B42" s="380" t="s">
        <v>427</v>
      </c>
      <c r="C42" s="381" t="s">
        <v>111</v>
      </c>
      <c r="D42" s="383">
        <f>3523765/6+30000</f>
        <v>617294.16666666663</v>
      </c>
      <c r="E42" s="373">
        <f>2900000/6.5+50000</f>
        <v>496153.84615384613</v>
      </c>
      <c r="G42" s="374"/>
      <c r="I42" s="375"/>
    </row>
    <row r="43" spans="1:9" x14ac:dyDescent="0.25">
      <c r="A43" s="379" t="s">
        <v>386</v>
      </c>
      <c r="B43" s="380" t="s">
        <v>428</v>
      </c>
      <c r="C43" s="381" t="s">
        <v>111</v>
      </c>
      <c r="D43" s="383">
        <f>4219270/6+30000</f>
        <v>733211.66666666663</v>
      </c>
      <c r="E43" s="373">
        <f>3450000/6.5+50000</f>
        <v>580769.23076923075</v>
      </c>
      <c r="G43" s="374"/>
      <c r="I43" s="375"/>
    </row>
    <row r="44" spans="1:9" x14ac:dyDescent="0.25">
      <c r="A44" s="379" t="s">
        <v>386</v>
      </c>
      <c r="B44" s="380" t="s">
        <v>429</v>
      </c>
      <c r="C44" s="381" t="s">
        <v>111</v>
      </c>
      <c r="D44" s="383">
        <f>5265241/6</f>
        <v>877540.16666666663</v>
      </c>
      <c r="E44" s="373">
        <f>4290000/6.5+50000</f>
        <v>710000</v>
      </c>
      <c r="G44" s="374"/>
      <c r="I44" s="375"/>
    </row>
    <row r="45" spans="1:9" x14ac:dyDescent="0.25">
      <c r="A45" s="379" t="s">
        <v>386</v>
      </c>
      <c r="B45" s="380" t="s">
        <v>430</v>
      </c>
      <c r="C45" s="381" t="s">
        <v>111</v>
      </c>
      <c r="D45" s="383">
        <f>7005889/6</f>
        <v>1167648.1666666667</v>
      </c>
      <c r="E45" s="373">
        <f>5680000/6.5+50000</f>
        <v>923846.15384615387</v>
      </c>
      <c r="G45" s="374"/>
      <c r="I45" s="375"/>
    </row>
    <row r="46" spans="1:9" x14ac:dyDescent="0.25">
      <c r="A46" s="379" t="s">
        <v>386</v>
      </c>
      <c r="B46" s="380" t="s">
        <v>431</v>
      </c>
      <c r="C46" s="381" t="s">
        <v>111</v>
      </c>
      <c r="D46" s="383">
        <f>9772940/6</f>
        <v>1628823.3333333333</v>
      </c>
      <c r="E46" s="373">
        <f>7750000/6.5+50000</f>
        <v>1242307.6923076923</v>
      </c>
      <c r="G46" s="374">
        <f>5729690*1.19/6.5</f>
        <v>1048974.0153846154</v>
      </c>
      <c r="I46" s="375"/>
    </row>
    <row r="47" spans="1:9" x14ac:dyDescent="0.25">
      <c r="A47" s="379" t="s">
        <v>386</v>
      </c>
      <c r="B47" s="380" t="s">
        <v>432</v>
      </c>
      <c r="C47" s="381" t="s">
        <v>111</v>
      </c>
      <c r="D47" s="383">
        <f>13075778/6</f>
        <v>2179296.3333333335</v>
      </c>
      <c r="E47" s="373"/>
      <c r="F47" s="384">
        <f>10595000/6.5+50000</f>
        <v>1680000</v>
      </c>
      <c r="G47" s="374">
        <f>7666081*1.19/6.5</f>
        <v>1403482.5215384613</v>
      </c>
      <c r="I47" s="375"/>
    </row>
    <row r="48" spans="1:9" x14ac:dyDescent="0.25">
      <c r="A48" s="379" t="s">
        <v>386</v>
      </c>
      <c r="B48" s="380" t="s">
        <v>433</v>
      </c>
      <c r="C48" s="381" t="s">
        <v>111</v>
      </c>
      <c r="D48" s="383">
        <f>15350836/6</f>
        <v>2558472.6666666665</v>
      </c>
      <c r="E48" s="373">
        <f>12650000/6.5+50000</f>
        <v>1996153.8461538462</v>
      </c>
      <c r="F48" s="384">
        <f>12650000/6.5+50000</f>
        <v>1996153.8461538462</v>
      </c>
      <c r="G48" s="374">
        <f>8999903*1.19/6.5</f>
        <v>1647674.5492307693</v>
      </c>
      <c r="I48" s="375"/>
    </row>
    <row r="49" spans="1:9" x14ac:dyDescent="0.25">
      <c r="A49" s="379" t="s">
        <v>386</v>
      </c>
      <c r="B49" s="380" t="s">
        <v>434</v>
      </c>
      <c r="C49" s="381" t="s">
        <v>111</v>
      </c>
      <c r="D49" s="383">
        <f>16558328/6</f>
        <v>2759721.3333333335</v>
      </c>
      <c r="E49" s="373"/>
      <c r="G49" s="374"/>
      <c r="I49" s="375"/>
    </row>
    <row r="50" spans="1:9" x14ac:dyDescent="0.25">
      <c r="A50" s="379" t="s">
        <v>386</v>
      </c>
      <c r="B50" s="380" t="s">
        <v>435</v>
      </c>
      <c r="C50" s="381" t="s">
        <v>111</v>
      </c>
      <c r="D50" s="383">
        <f>20185790/6</f>
        <v>3364298.3333333335</v>
      </c>
      <c r="E50" s="373">
        <f>16650000/6.5+50000</f>
        <v>2611538.4615384615</v>
      </c>
      <c r="G50" s="374"/>
      <c r="I50" s="375"/>
    </row>
    <row r="51" spans="1:9" x14ac:dyDescent="0.25">
      <c r="A51" s="369" t="s">
        <v>386</v>
      </c>
      <c r="B51" s="370" t="s">
        <v>436</v>
      </c>
      <c r="C51" s="371" t="s">
        <v>17</v>
      </c>
      <c r="D51" s="372">
        <v>15679</v>
      </c>
      <c r="E51" s="373"/>
      <c r="G51" s="374"/>
      <c r="I51" s="375"/>
    </row>
    <row r="52" spans="1:9" x14ac:dyDescent="0.25">
      <c r="A52" s="369" t="s">
        <v>386</v>
      </c>
      <c r="B52" s="370" t="s">
        <v>437</v>
      </c>
      <c r="C52" s="371" t="s">
        <v>17</v>
      </c>
      <c r="D52" s="372">
        <v>37992</v>
      </c>
      <c r="E52" s="373"/>
      <c r="G52" s="374"/>
      <c r="I52" s="375"/>
    </row>
    <row r="53" spans="1:9" x14ac:dyDescent="0.25">
      <c r="A53" s="369" t="s">
        <v>386</v>
      </c>
      <c r="B53" s="370" t="s">
        <v>438</v>
      </c>
      <c r="C53" s="371" t="s">
        <v>17</v>
      </c>
      <c r="D53" s="372">
        <v>63772</v>
      </c>
      <c r="E53" s="373"/>
      <c r="G53" s="374"/>
      <c r="I53" s="375"/>
    </row>
    <row r="54" spans="1:9" x14ac:dyDescent="0.25">
      <c r="A54" s="369" t="s">
        <v>386</v>
      </c>
      <c r="B54" s="370" t="s">
        <v>439</v>
      </c>
      <c r="C54" s="371" t="s">
        <v>17</v>
      </c>
      <c r="D54" s="372">
        <v>181139</v>
      </c>
      <c r="E54" s="373"/>
      <c r="G54" s="374"/>
      <c r="I54" s="375"/>
    </row>
    <row r="55" spans="1:9" x14ac:dyDescent="0.25">
      <c r="A55" s="369" t="s">
        <v>386</v>
      </c>
      <c r="B55" s="370" t="s">
        <v>440</v>
      </c>
      <c r="C55" s="371" t="s">
        <v>17</v>
      </c>
      <c r="D55" s="372">
        <v>309933</v>
      </c>
      <c r="E55" s="373"/>
      <c r="G55" s="374"/>
      <c r="I55" s="375"/>
    </row>
    <row r="56" spans="1:9" x14ac:dyDescent="0.25">
      <c r="A56" s="369" t="s">
        <v>386</v>
      </c>
      <c r="B56" s="370" t="s">
        <v>441</v>
      </c>
      <c r="C56" s="371" t="s">
        <v>17</v>
      </c>
      <c r="D56" s="372">
        <v>411404</v>
      </c>
      <c r="E56" s="373"/>
      <c r="G56" s="374"/>
      <c r="I56" s="375"/>
    </row>
    <row r="57" spans="1:9" x14ac:dyDescent="0.25">
      <c r="A57" s="369" t="s">
        <v>386</v>
      </c>
      <c r="B57" s="370" t="s">
        <v>442</v>
      </c>
      <c r="C57" s="371" t="s">
        <v>17</v>
      </c>
      <c r="D57" s="372">
        <v>472541</v>
      </c>
      <c r="E57" s="373"/>
      <c r="G57" s="374"/>
      <c r="I57" s="375"/>
    </row>
    <row r="58" spans="1:9" x14ac:dyDescent="0.25">
      <c r="A58" s="369" t="s">
        <v>386</v>
      </c>
      <c r="B58" s="370" t="s">
        <v>443</v>
      </c>
      <c r="C58" s="371" t="s">
        <v>17</v>
      </c>
      <c r="D58" s="372">
        <v>497053</v>
      </c>
      <c r="E58" s="373"/>
      <c r="G58" s="374"/>
      <c r="I58" s="375"/>
    </row>
    <row r="59" spans="1:9" x14ac:dyDescent="0.25">
      <c r="A59" s="369" t="s">
        <v>386</v>
      </c>
      <c r="B59" s="370" t="s">
        <v>444</v>
      </c>
      <c r="C59" s="371" t="s">
        <v>17</v>
      </c>
      <c r="D59" s="372">
        <v>558432</v>
      </c>
      <c r="E59" s="373"/>
      <c r="G59" s="374"/>
      <c r="I59" s="375"/>
    </row>
    <row r="60" spans="1:9" x14ac:dyDescent="0.25">
      <c r="A60" s="369" t="s">
        <v>386</v>
      </c>
      <c r="B60" s="370" t="s">
        <v>445</v>
      </c>
      <c r="C60" s="371" t="s">
        <v>17</v>
      </c>
      <c r="D60" s="372">
        <v>654231</v>
      </c>
      <c r="E60" s="373"/>
      <c r="G60" s="374"/>
      <c r="I60" s="375"/>
    </row>
    <row r="61" spans="1:9" x14ac:dyDescent="0.25">
      <c r="A61" s="369" t="s">
        <v>386</v>
      </c>
      <c r="B61" s="370" t="s">
        <v>446</v>
      </c>
      <c r="C61" s="371" t="s">
        <v>17</v>
      </c>
      <c r="D61" s="372">
        <v>736009</v>
      </c>
      <c r="E61" s="373"/>
      <c r="G61" s="374"/>
      <c r="I61" s="375"/>
    </row>
    <row r="62" spans="1:9" x14ac:dyDescent="0.25">
      <c r="A62" s="369" t="s">
        <v>386</v>
      </c>
      <c r="B62" s="370" t="s">
        <v>447</v>
      </c>
      <c r="C62" s="371" t="s">
        <v>17</v>
      </c>
      <c r="D62" s="372">
        <v>919105</v>
      </c>
      <c r="E62" s="373"/>
      <c r="G62" s="374"/>
      <c r="I62" s="375"/>
    </row>
    <row r="63" spans="1:9" x14ac:dyDescent="0.25">
      <c r="A63" s="369" t="s">
        <v>386</v>
      </c>
      <c r="B63" s="370" t="s">
        <v>448</v>
      </c>
      <c r="C63" s="371" t="s">
        <v>17</v>
      </c>
      <c r="D63" s="372">
        <v>2776383</v>
      </c>
      <c r="E63" s="373"/>
      <c r="G63" s="374"/>
      <c r="I63" s="375"/>
    </row>
    <row r="64" spans="1:9" x14ac:dyDescent="0.25">
      <c r="A64" s="369" t="s">
        <v>386</v>
      </c>
      <c r="B64" s="370" t="s">
        <v>449</v>
      </c>
      <c r="C64" s="371" t="s">
        <v>17</v>
      </c>
      <c r="D64" s="372">
        <v>4008710</v>
      </c>
      <c r="E64" s="373"/>
      <c r="G64" s="374"/>
      <c r="I64" s="375"/>
    </row>
    <row r="65" spans="1:9" x14ac:dyDescent="0.25">
      <c r="A65" s="369" t="s">
        <v>386</v>
      </c>
      <c r="B65" s="370" t="s">
        <v>450</v>
      </c>
      <c r="C65" s="371" t="s">
        <v>17</v>
      </c>
      <c r="D65" s="372">
        <v>5200808</v>
      </c>
      <c r="E65" s="373"/>
      <c r="G65" s="374"/>
      <c r="I65" s="375"/>
    </row>
    <row r="66" spans="1:9" x14ac:dyDescent="0.25">
      <c r="A66" s="369" t="s">
        <v>386</v>
      </c>
      <c r="B66" s="370" t="s">
        <v>451</v>
      </c>
      <c r="C66" s="371" t="s">
        <v>17</v>
      </c>
      <c r="D66" s="372">
        <v>5636565</v>
      </c>
      <c r="E66" s="373"/>
      <c r="G66" s="374"/>
      <c r="I66" s="375"/>
    </row>
    <row r="67" spans="1:9" x14ac:dyDescent="0.25">
      <c r="A67" s="369" t="s">
        <v>386</v>
      </c>
      <c r="B67" s="370" t="s">
        <v>452</v>
      </c>
      <c r="C67" s="371" t="s">
        <v>17</v>
      </c>
      <c r="D67" s="372">
        <v>9658535</v>
      </c>
      <c r="E67" s="373"/>
      <c r="G67" s="374"/>
      <c r="I67" s="375"/>
    </row>
    <row r="68" spans="1:9" x14ac:dyDescent="0.25">
      <c r="A68" s="369" t="s">
        <v>386</v>
      </c>
      <c r="B68" s="370" t="s">
        <v>453</v>
      </c>
      <c r="C68" s="371" t="s">
        <v>17</v>
      </c>
      <c r="D68" s="372">
        <v>10953729</v>
      </c>
      <c r="E68" s="373"/>
      <c r="G68" s="374"/>
      <c r="I68" s="375"/>
    </row>
    <row r="69" spans="1:9" x14ac:dyDescent="0.25">
      <c r="A69" s="379" t="s">
        <v>386</v>
      </c>
      <c r="B69" s="380" t="s">
        <v>454</v>
      </c>
      <c r="C69" s="381" t="s">
        <v>17</v>
      </c>
      <c r="D69" s="382">
        <v>55724</v>
      </c>
      <c r="E69" s="373"/>
      <c r="G69" s="374"/>
      <c r="I69" s="375"/>
    </row>
    <row r="70" spans="1:9" x14ac:dyDescent="0.25">
      <c r="A70" s="379" t="s">
        <v>386</v>
      </c>
      <c r="B70" s="380" t="s">
        <v>455</v>
      </c>
      <c r="C70" s="381" t="s">
        <v>17</v>
      </c>
      <c r="D70" s="382">
        <v>130808</v>
      </c>
      <c r="E70" s="373"/>
      <c r="G70" s="374"/>
      <c r="I70" s="375"/>
    </row>
    <row r="71" spans="1:9" x14ac:dyDescent="0.25">
      <c r="A71" s="369" t="s">
        <v>386</v>
      </c>
      <c r="B71" s="370" t="s">
        <v>456</v>
      </c>
      <c r="C71" s="371" t="s">
        <v>17</v>
      </c>
      <c r="D71" s="372">
        <v>28110</v>
      </c>
      <c r="E71" s="373"/>
      <c r="G71" s="374"/>
      <c r="I71" s="375"/>
    </row>
    <row r="72" spans="1:9" x14ac:dyDescent="0.25">
      <c r="A72" s="369" t="s">
        <v>386</v>
      </c>
      <c r="B72" s="370" t="s">
        <v>457</v>
      </c>
      <c r="C72" s="371" t="s">
        <v>17</v>
      </c>
      <c r="D72" s="372">
        <v>67485</v>
      </c>
      <c r="E72" s="385" t="s">
        <v>458</v>
      </c>
      <c r="G72" s="374"/>
      <c r="I72" s="375"/>
    </row>
    <row r="73" spans="1:9" x14ac:dyDescent="0.25">
      <c r="A73" s="386" t="s">
        <v>386</v>
      </c>
      <c r="B73" s="387" t="s">
        <v>459</v>
      </c>
      <c r="C73" s="388" t="s">
        <v>17</v>
      </c>
      <c r="D73" s="389">
        <v>93914</v>
      </c>
      <c r="E73" s="373">
        <f>130923+10000</f>
        <v>140923</v>
      </c>
      <c r="G73" s="374"/>
      <c r="I73" s="375"/>
    </row>
    <row r="74" spans="1:9" x14ac:dyDescent="0.25">
      <c r="A74" s="386" t="s">
        <v>386</v>
      </c>
      <c r="B74" s="387" t="s">
        <v>460</v>
      </c>
      <c r="C74" s="388" t="s">
        <v>17</v>
      </c>
      <c r="D74" s="389">
        <v>115027</v>
      </c>
      <c r="E74" s="373">
        <f>151331+10000</f>
        <v>161331</v>
      </c>
      <c r="G74" s="374"/>
      <c r="I74" s="375"/>
    </row>
    <row r="75" spans="1:9" x14ac:dyDescent="0.25">
      <c r="A75" s="386" t="s">
        <v>386</v>
      </c>
      <c r="B75" s="387" t="s">
        <v>461</v>
      </c>
      <c r="C75" s="388" t="s">
        <v>17</v>
      </c>
      <c r="D75" s="389">
        <v>115027</v>
      </c>
      <c r="E75" s="373">
        <f>+E74</f>
        <v>161331</v>
      </c>
      <c r="G75" s="374"/>
      <c r="I75" s="375"/>
    </row>
    <row r="76" spans="1:9" x14ac:dyDescent="0.25">
      <c r="A76" s="386" t="s">
        <v>386</v>
      </c>
      <c r="B76" s="387" t="s">
        <v>462</v>
      </c>
      <c r="C76" s="388" t="s">
        <v>17</v>
      </c>
      <c r="D76" s="389">
        <v>133381</v>
      </c>
      <c r="E76" s="373">
        <f>171075+10000</f>
        <v>181075</v>
      </c>
      <c r="G76" s="374"/>
      <c r="I76" s="375"/>
    </row>
    <row r="77" spans="1:9" x14ac:dyDescent="0.25">
      <c r="A77" s="386" t="s">
        <v>386</v>
      </c>
      <c r="B77" s="387" t="s">
        <v>463</v>
      </c>
      <c r="C77" s="388" t="s">
        <v>17</v>
      </c>
      <c r="D77" s="389">
        <v>133382</v>
      </c>
      <c r="E77" s="373">
        <f>+E76</f>
        <v>181075</v>
      </c>
      <c r="G77" s="374"/>
      <c r="I77" s="375"/>
    </row>
    <row r="78" spans="1:9" x14ac:dyDescent="0.25">
      <c r="A78" s="386" t="s">
        <v>386</v>
      </c>
      <c r="B78" s="387" t="s">
        <v>464</v>
      </c>
      <c r="C78" s="388" t="s">
        <v>17</v>
      </c>
      <c r="D78" s="389">
        <v>197793</v>
      </c>
      <c r="E78" s="373"/>
      <c r="G78" s="374"/>
      <c r="I78" s="375"/>
    </row>
    <row r="79" spans="1:9" x14ac:dyDescent="0.25">
      <c r="A79" s="386" t="s">
        <v>386</v>
      </c>
      <c r="B79" s="387" t="s">
        <v>465</v>
      </c>
      <c r="C79" s="388" t="s">
        <v>17</v>
      </c>
      <c r="D79" s="389">
        <v>206789</v>
      </c>
      <c r="E79" s="373">
        <f>257234+10000</f>
        <v>267234</v>
      </c>
      <c r="G79" s="374"/>
      <c r="I79" s="375"/>
    </row>
    <row r="80" spans="1:9" x14ac:dyDescent="0.25">
      <c r="A80" s="386" t="s">
        <v>386</v>
      </c>
      <c r="B80" s="387" t="s">
        <v>466</v>
      </c>
      <c r="C80" s="388" t="s">
        <v>17</v>
      </c>
      <c r="D80" s="389">
        <v>206789</v>
      </c>
      <c r="E80" s="373">
        <f>+E79</f>
        <v>267234</v>
      </c>
      <c r="G80" s="374"/>
      <c r="I80" s="375"/>
    </row>
    <row r="81" spans="1:9" x14ac:dyDescent="0.25">
      <c r="A81" s="386" t="s">
        <v>386</v>
      </c>
      <c r="B81" s="387" t="s">
        <v>467</v>
      </c>
      <c r="C81" s="388" t="s">
        <v>17</v>
      </c>
      <c r="D81" s="389">
        <v>279549</v>
      </c>
      <c r="E81" s="373">
        <f>267800+10000</f>
        <v>277800</v>
      </c>
      <c r="G81" s="374"/>
      <c r="I81" s="375"/>
    </row>
    <row r="82" spans="1:9" x14ac:dyDescent="0.25">
      <c r="A82" s="386" t="s">
        <v>386</v>
      </c>
      <c r="B82" s="387" t="s">
        <v>468</v>
      </c>
      <c r="C82" s="388" t="s">
        <v>17</v>
      </c>
      <c r="D82" s="389">
        <v>311325</v>
      </c>
      <c r="E82" s="373"/>
      <c r="G82" s="374"/>
      <c r="I82" s="375"/>
    </row>
    <row r="83" spans="1:9" x14ac:dyDescent="0.25">
      <c r="A83" s="386" t="s">
        <v>386</v>
      </c>
      <c r="B83" s="387" t="s">
        <v>469</v>
      </c>
      <c r="C83" s="388" t="s">
        <v>17</v>
      </c>
      <c r="D83" s="389">
        <v>311325</v>
      </c>
      <c r="E83" s="373"/>
      <c r="G83" s="374"/>
      <c r="I83" s="375"/>
    </row>
    <row r="84" spans="1:9" x14ac:dyDescent="0.25">
      <c r="A84" s="386" t="s">
        <v>386</v>
      </c>
      <c r="B84" s="387" t="s">
        <v>470</v>
      </c>
      <c r="C84" s="388" t="s">
        <v>17</v>
      </c>
      <c r="D84" s="389">
        <v>311325</v>
      </c>
      <c r="E84" s="373"/>
      <c r="G84" s="374"/>
      <c r="I84" s="375"/>
    </row>
    <row r="85" spans="1:9" x14ac:dyDescent="0.25">
      <c r="A85" s="386" t="s">
        <v>386</v>
      </c>
      <c r="B85" s="387" t="s">
        <v>471</v>
      </c>
      <c r="C85" s="388" t="s">
        <v>17</v>
      </c>
      <c r="D85" s="389">
        <v>341359</v>
      </c>
      <c r="E85" s="373"/>
      <c r="G85" s="374"/>
      <c r="I85" s="375"/>
    </row>
    <row r="86" spans="1:9" x14ac:dyDescent="0.25">
      <c r="A86" s="386" t="s">
        <v>386</v>
      </c>
      <c r="B86" s="387" t="s">
        <v>472</v>
      </c>
      <c r="C86" s="388" t="s">
        <v>17</v>
      </c>
      <c r="D86" s="389">
        <v>341359</v>
      </c>
      <c r="E86" s="373">
        <v>401359</v>
      </c>
      <c r="G86" s="374"/>
      <c r="I86" s="375"/>
    </row>
    <row r="87" spans="1:9" x14ac:dyDescent="0.25">
      <c r="A87" s="386" t="s">
        <v>386</v>
      </c>
      <c r="B87" s="387" t="s">
        <v>473</v>
      </c>
      <c r="C87" s="388" t="s">
        <v>17</v>
      </c>
      <c r="D87" s="389">
        <v>341359</v>
      </c>
      <c r="E87" s="373"/>
      <c r="G87" s="374"/>
      <c r="I87" s="375"/>
    </row>
    <row r="88" spans="1:9" x14ac:dyDescent="0.25">
      <c r="A88" s="386" t="s">
        <v>386</v>
      </c>
      <c r="B88" s="387" t="s">
        <v>474</v>
      </c>
      <c r="C88" s="388" t="s">
        <v>17</v>
      </c>
      <c r="D88" s="389">
        <v>341359</v>
      </c>
      <c r="E88" s="373"/>
      <c r="G88" s="374"/>
      <c r="I88" s="375"/>
    </row>
    <row r="89" spans="1:9" x14ac:dyDescent="0.25">
      <c r="A89" s="386" t="s">
        <v>386</v>
      </c>
      <c r="B89" s="387" t="s">
        <v>475</v>
      </c>
      <c r="C89" s="388" t="s">
        <v>17</v>
      </c>
      <c r="D89" s="389">
        <v>365124</v>
      </c>
      <c r="E89" s="373"/>
      <c r="G89" s="374"/>
      <c r="I89" s="375"/>
    </row>
    <row r="90" spans="1:9" x14ac:dyDescent="0.25">
      <c r="A90" s="386" t="s">
        <v>386</v>
      </c>
      <c r="B90" s="387" t="s">
        <v>476</v>
      </c>
      <c r="C90" s="388" t="s">
        <v>17</v>
      </c>
      <c r="D90" s="389">
        <v>365124</v>
      </c>
      <c r="E90" s="373"/>
      <c r="G90" s="374"/>
      <c r="I90" s="375"/>
    </row>
    <row r="91" spans="1:9" x14ac:dyDescent="0.25">
      <c r="A91" s="386" t="s">
        <v>386</v>
      </c>
      <c r="B91" s="387" t="s">
        <v>477</v>
      </c>
      <c r="C91" s="388" t="s">
        <v>17</v>
      </c>
      <c r="D91" s="389">
        <v>557002</v>
      </c>
      <c r="E91" s="373"/>
      <c r="G91" s="374"/>
      <c r="I91" s="375"/>
    </row>
    <row r="92" spans="1:9" x14ac:dyDescent="0.25">
      <c r="A92" s="386" t="s">
        <v>386</v>
      </c>
      <c r="B92" s="387" t="s">
        <v>478</v>
      </c>
      <c r="C92" s="388" t="s">
        <v>17</v>
      </c>
      <c r="D92" s="389">
        <v>557007</v>
      </c>
      <c r="E92" s="373"/>
      <c r="G92" s="374"/>
      <c r="I92" s="375"/>
    </row>
    <row r="93" spans="1:9" x14ac:dyDescent="0.25">
      <c r="A93" s="386" t="s">
        <v>386</v>
      </c>
      <c r="B93" s="387" t="s">
        <v>479</v>
      </c>
      <c r="C93" s="388" t="s">
        <v>17</v>
      </c>
      <c r="D93" s="389">
        <v>457181</v>
      </c>
      <c r="E93" s="373"/>
      <c r="G93" s="374"/>
      <c r="I93" s="375"/>
    </row>
    <row r="94" spans="1:9" x14ac:dyDescent="0.25">
      <c r="A94" s="386" t="s">
        <v>386</v>
      </c>
      <c r="B94" s="387" t="s">
        <v>480</v>
      </c>
      <c r="C94" s="388" t="s">
        <v>17</v>
      </c>
      <c r="D94" s="389">
        <v>565822</v>
      </c>
      <c r="E94" s="373"/>
      <c r="G94" s="374"/>
      <c r="I94" s="375"/>
    </row>
    <row r="95" spans="1:9" x14ac:dyDescent="0.25">
      <c r="A95" s="386" t="s">
        <v>386</v>
      </c>
      <c r="B95" s="387" t="s">
        <v>481</v>
      </c>
      <c r="C95" s="388" t="s">
        <v>17</v>
      </c>
      <c r="D95" s="389">
        <v>567494</v>
      </c>
      <c r="E95" s="373"/>
      <c r="G95" s="374"/>
      <c r="I95" s="375"/>
    </row>
    <row r="96" spans="1:9" x14ac:dyDescent="0.25">
      <c r="A96" s="386" t="s">
        <v>386</v>
      </c>
      <c r="B96" s="387" t="s">
        <v>482</v>
      </c>
      <c r="C96" s="388" t="s">
        <v>17</v>
      </c>
      <c r="D96" s="389">
        <v>569157</v>
      </c>
      <c r="E96" s="373"/>
      <c r="G96" s="374"/>
      <c r="I96" s="375"/>
    </row>
    <row r="97" spans="1:9" x14ac:dyDescent="0.25">
      <c r="A97" s="386" t="s">
        <v>386</v>
      </c>
      <c r="B97" s="387" t="s">
        <v>483</v>
      </c>
      <c r="C97" s="388" t="s">
        <v>17</v>
      </c>
      <c r="D97" s="389">
        <v>1090366</v>
      </c>
      <c r="E97" s="373"/>
      <c r="G97" s="374"/>
      <c r="I97" s="375"/>
    </row>
    <row r="98" spans="1:9" x14ac:dyDescent="0.25">
      <c r="A98" s="386" t="s">
        <v>386</v>
      </c>
      <c r="B98" s="387" t="s">
        <v>484</v>
      </c>
      <c r="C98" s="388" t="s">
        <v>17</v>
      </c>
      <c r="D98" s="389">
        <v>592540</v>
      </c>
      <c r="E98" s="373"/>
      <c r="G98" s="374"/>
      <c r="I98" s="375"/>
    </row>
    <row r="99" spans="1:9" x14ac:dyDescent="0.25">
      <c r="A99" s="386" t="s">
        <v>386</v>
      </c>
      <c r="B99" s="387" t="s">
        <v>485</v>
      </c>
      <c r="C99" s="388" t="s">
        <v>17</v>
      </c>
      <c r="D99" s="389">
        <v>903154</v>
      </c>
      <c r="E99" s="373"/>
      <c r="G99" s="374"/>
      <c r="I99" s="375"/>
    </row>
    <row r="100" spans="1:9" x14ac:dyDescent="0.25">
      <c r="A100" s="386" t="s">
        <v>386</v>
      </c>
      <c r="B100" s="387" t="s">
        <v>486</v>
      </c>
      <c r="C100" s="388" t="s">
        <v>17</v>
      </c>
      <c r="D100" s="389">
        <v>617512</v>
      </c>
      <c r="E100" s="373"/>
      <c r="G100" s="374"/>
      <c r="I100" s="375"/>
    </row>
    <row r="101" spans="1:9" x14ac:dyDescent="0.25">
      <c r="A101" s="386" t="s">
        <v>386</v>
      </c>
      <c r="B101" s="387" t="s">
        <v>487</v>
      </c>
      <c r="C101" s="388" t="s">
        <v>17</v>
      </c>
      <c r="D101" s="389">
        <v>666906</v>
      </c>
      <c r="E101" s="373"/>
      <c r="G101" s="374"/>
      <c r="I101" s="375"/>
    </row>
    <row r="102" spans="1:9" x14ac:dyDescent="0.25">
      <c r="A102" s="379" t="s">
        <v>386</v>
      </c>
      <c r="B102" s="380" t="s">
        <v>488</v>
      </c>
      <c r="C102" s="381" t="s">
        <v>17</v>
      </c>
      <c r="D102" s="382">
        <v>93914</v>
      </c>
      <c r="E102" s="373"/>
      <c r="G102" s="374"/>
      <c r="I102" s="375"/>
    </row>
    <row r="103" spans="1:9" x14ac:dyDescent="0.25">
      <c r="A103" s="379" t="s">
        <v>386</v>
      </c>
      <c r="B103" s="380" t="s">
        <v>489</v>
      </c>
      <c r="C103" s="381" t="s">
        <v>17</v>
      </c>
      <c r="D103" s="382">
        <v>93914</v>
      </c>
      <c r="E103" s="373"/>
      <c r="G103" s="374"/>
      <c r="I103" s="375"/>
    </row>
    <row r="104" spans="1:9" x14ac:dyDescent="0.25">
      <c r="A104" s="379" t="s">
        <v>386</v>
      </c>
      <c r="B104" s="380" t="s">
        <v>490</v>
      </c>
      <c r="C104" s="381" t="s">
        <v>17</v>
      </c>
      <c r="D104" s="382">
        <v>115027</v>
      </c>
      <c r="E104" s="373"/>
      <c r="G104" s="374"/>
      <c r="I104" s="375"/>
    </row>
    <row r="105" spans="1:9" x14ac:dyDescent="0.25">
      <c r="A105" s="379" t="s">
        <v>386</v>
      </c>
      <c r="B105" s="380" t="s">
        <v>491</v>
      </c>
      <c r="C105" s="381" t="s">
        <v>17</v>
      </c>
      <c r="D105" s="382">
        <v>115027</v>
      </c>
      <c r="E105" s="373"/>
      <c r="G105" s="374"/>
      <c r="I105" s="375"/>
    </row>
    <row r="106" spans="1:9" x14ac:dyDescent="0.25">
      <c r="A106" s="379" t="s">
        <v>386</v>
      </c>
      <c r="B106" s="380" t="s">
        <v>492</v>
      </c>
      <c r="C106" s="381" t="s">
        <v>17</v>
      </c>
      <c r="D106" s="382">
        <v>133381</v>
      </c>
      <c r="E106" s="373"/>
      <c r="G106" s="374"/>
      <c r="I106" s="375"/>
    </row>
    <row r="107" spans="1:9" x14ac:dyDescent="0.25">
      <c r="A107" s="379" t="s">
        <v>386</v>
      </c>
      <c r="B107" s="380" t="s">
        <v>493</v>
      </c>
      <c r="C107" s="381" t="s">
        <v>17</v>
      </c>
      <c r="D107" s="382">
        <v>133381</v>
      </c>
      <c r="E107" s="373"/>
      <c r="G107" s="374"/>
      <c r="I107" s="375"/>
    </row>
    <row r="108" spans="1:9" x14ac:dyDescent="0.25">
      <c r="A108" s="379" t="s">
        <v>386</v>
      </c>
      <c r="B108" s="380" t="s">
        <v>494</v>
      </c>
      <c r="C108" s="381" t="s">
        <v>17</v>
      </c>
      <c r="D108" s="382">
        <v>170275</v>
      </c>
      <c r="E108" s="373"/>
      <c r="G108" s="374"/>
      <c r="I108" s="375"/>
    </row>
    <row r="109" spans="1:9" x14ac:dyDescent="0.25">
      <c r="A109" s="379" t="s">
        <v>386</v>
      </c>
      <c r="B109" s="380" t="s">
        <v>495</v>
      </c>
      <c r="C109" s="381" t="s">
        <v>17</v>
      </c>
      <c r="D109" s="382">
        <v>206789</v>
      </c>
      <c r="E109" s="373"/>
      <c r="G109" s="374"/>
      <c r="I109" s="375"/>
    </row>
    <row r="110" spans="1:9" x14ac:dyDescent="0.25">
      <c r="A110" s="379" t="s">
        <v>386</v>
      </c>
      <c r="B110" s="380" t="s">
        <v>496</v>
      </c>
      <c r="C110" s="381" t="s">
        <v>17</v>
      </c>
      <c r="D110" s="382">
        <v>206789</v>
      </c>
      <c r="E110" s="373"/>
      <c r="G110" s="374"/>
      <c r="I110" s="375"/>
    </row>
    <row r="111" spans="1:9" x14ac:dyDescent="0.25">
      <c r="A111" s="379" t="s">
        <v>386</v>
      </c>
      <c r="B111" s="380" t="s">
        <v>497</v>
      </c>
      <c r="C111" s="381" t="s">
        <v>17</v>
      </c>
      <c r="D111" s="382">
        <v>279549</v>
      </c>
      <c r="E111" s="373"/>
      <c r="G111" s="374"/>
      <c r="I111" s="375"/>
    </row>
    <row r="112" spans="1:9" x14ac:dyDescent="0.25">
      <c r="A112" s="379" t="s">
        <v>386</v>
      </c>
      <c r="B112" s="380" t="s">
        <v>498</v>
      </c>
      <c r="C112" s="381" t="s">
        <v>17</v>
      </c>
      <c r="D112" s="382">
        <v>279549</v>
      </c>
      <c r="E112" s="373"/>
      <c r="G112" s="374"/>
      <c r="I112" s="375"/>
    </row>
    <row r="113" spans="1:9" x14ac:dyDescent="0.25">
      <c r="A113" s="379" t="s">
        <v>386</v>
      </c>
      <c r="B113" s="380" t="s">
        <v>499</v>
      </c>
      <c r="C113" s="381" t="s">
        <v>17</v>
      </c>
      <c r="D113" s="382">
        <v>279549</v>
      </c>
      <c r="E113" s="373"/>
      <c r="G113" s="374"/>
      <c r="I113" s="375"/>
    </row>
    <row r="114" spans="1:9" x14ac:dyDescent="0.25">
      <c r="A114" s="379" t="s">
        <v>386</v>
      </c>
      <c r="B114" s="380" t="s">
        <v>500</v>
      </c>
      <c r="C114" s="381" t="s">
        <v>17</v>
      </c>
      <c r="D114" s="382">
        <v>311325</v>
      </c>
      <c r="E114" s="373"/>
      <c r="G114" s="374"/>
      <c r="I114" s="375"/>
    </row>
    <row r="115" spans="1:9" x14ac:dyDescent="0.25">
      <c r="A115" s="379" t="s">
        <v>386</v>
      </c>
      <c r="B115" s="380" t="s">
        <v>501</v>
      </c>
      <c r="C115" s="381" t="s">
        <v>17</v>
      </c>
      <c r="D115" s="382">
        <v>311325</v>
      </c>
      <c r="E115" s="373"/>
      <c r="G115" s="374"/>
      <c r="I115" s="375"/>
    </row>
    <row r="116" spans="1:9" x14ac:dyDescent="0.25">
      <c r="A116" s="379" t="s">
        <v>386</v>
      </c>
      <c r="B116" s="380" t="s">
        <v>502</v>
      </c>
      <c r="C116" s="381" t="s">
        <v>17</v>
      </c>
      <c r="D116" s="382">
        <v>335263</v>
      </c>
      <c r="E116" s="373"/>
      <c r="G116" s="374"/>
      <c r="I116" s="375"/>
    </row>
    <row r="117" spans="1:9" x14ac:dyDescent="0.25">
      <c r="A117" s="379" t="s">
        <v>386</v>
      </c>
      <c r="B117" s="380" t="s">
        <v>503</v>
      </c>
      <c r="C117" s="381" t="s">
        <v>17</v>
      </c>
      <c r="D117" s="382">
        <v>341355</v>
      </c>
      <c r="E117" s="373"/>
      <c r="G117" s="374"/>
      <c r="I117" s="375"/>
    </row>
    <row r="118" spans="1:9" x14ac:dyDescent="0.25">
      <c r="A118" s="379" t="s">
        <v>386</v>
      </c>
      <c r="B118" s="380" t="s">
        <v>504</v>
      </c>
      <c r="C118" s="381" t="s">
        <v>17</v>
      </c>
      <c r="D118" s="382">
        <v>341359</v>
      </c>
      <c r="E118" s="373"/>
      <c r="G118" s="374"/>
      <c r="I118" s="375"/>
    </row>
    <row r="119" spans="1:9" x14ac:dyDescent="0.25">
      <c r="A119" s="379" t="s">
        <v>386</v>
      </c>
      <c r="B119" s="380" t="s">
        <v>505</v>
      </c>
      <c r="C119" s="381" t="s">
        <v>17</v>
      </c>
      <c r="D119" s="382">
        <v>341359</v>
      </c>
      <c r="E119" s="373"/>
      <c r="G119" s="374"/>
      <c r="I119" s="375"/>
    </row>
    <row r="120" spans="1:9" x14ac:dyDescent="0.25">
      <c r="A120" s="379" t="s">
        <v>386</v>
      </c>
      <c r="B120" s="380" t="s">
        <v>506</v>
      </c>
      <c r="C120" s="381" t="s">
        <v>17</v>
      </c>
      <c r="D120" s="382">
        <v>365124</v>
      </c>
      <c r="E120" s="373"/>
      <c r="G120" s="374"/>
      <c r="I120" s="375"/>
    </row>
    <row r="121" spans="1:9" x14ac:dyDescent="0.25">
      <c r="A121" s="379" t="s">
        <v>386</v>
      </c>
      <c r="B121" s="380" t="s">
        <v>507</v>
      </c>
      <c r="C121" s="381" t="s">
        <v>17</v>
      </c>
      <c r="D121" s="382">
        <v>557002</v>
      </c>
      <c r="E121" s="373"/>
      <c r="G121" s="374"/>
      <c r="I121" s="375"/>
    </row>
    <row r="122" spans="1:9" x14ac:dyDescent="0.25">
      <c r="A122" s="379" t="s">
        <v>386</v>
      </c>
      <c r="B122" s="380" t="s">
        <v>508</v>
      </c>
      <c r="C122" s="381" t="s">
        <v>17</v>
      </c>
      <c r="D122" s="382">
        <v>520255</v>
      </c>
      <c r="E122" s="373"/>
      <c r="G122" s="374"/>
      <c r="I122" s="375"/>
    </row>
    <row r="123" spans="1:9" x14ac:dyDescent="0.25">
      <c r="A123" s="379" t="s">
        <v>386</v>
      </c>
      <c r="B123" s="380" t="s">
        <v>509</v>
      </c>
      <c r="C123" s="381" t="s">
        <v>17</v>
      </c>
      <c r="D123" s="382">
        <v>570255</v>
      </c>
      <c r="E123" s="373"/>
      <c r="G123" s="374"/>
      <c r="I123" s="375"/>
    </row>
    <row r="124" spans="1:9" x14ac:dyDescent="0.25">
      <c r="A124" s="379" t="s">
        <v>386</v>
      </c>
      <c r="B124" s="380" t="s">
        <v>510</v>
      </c>
      <c r="C124" s="381" t="s">
        <v>17</v>
      </c>
      <c r="D124" s="382">
        <v>909438</v>
      </c>
      <c r="E124" s="373"/>
      <c r="G124" s="374"/>
      <c r="I124" s="375"/>
    </row>
    <row r="125" spans="1:9" x14ac:dyDescent="0.25">
      <c r="A125" s="379" t="s">
        <v>386</v>
      </c>
      <c r="B125" s="380" t="s">
        <v>511</v>
      </c>
      <c r="C125" s="381" t="s">
        <v>17</v>
      </c>
      <c r="D125" s="382">
        <v>812000</v>
      </c>
      <c r="E125" s="373"/>
      <c r="G125" s="374"/>
      <c r="I125" s="375"/>
    </row>
    <row r="126" spans="1:9" x14ac:dyDescent="0.25">
      <c r="A126" s="369" t="s">
        <v>386</v>
      </c>
      <c r="B126" s="370" t="s">
        <v>512</v>
      </c>
      <c r="C126" s="371" t="s">
        <v>17</v>
      </c>
      <c r="D126" s="372">
        <v>107110</v>
      </c>
      <c r="E126" s="373"/>
      <c r="G126" s="374"/>
      <c r="I126" s="375"/>
    </row>
    <row r="127" spans="1:9" x14ac:dyDescent="0.25">
      <c r="A127" s="369" t="s">
        <v>386</v>
      </c>
      <c r="B127" s="370" t="s">
        <v>513</v>
      </c>
      <c r="C127" s="371" t="s">
        <v>17</v>
      </c>
      <c r="D127" s="372">
        <v>204918</v>
      </c>
      <c r="E127" s="373"/>
      <c r="G127" s="374"/>
      <c r="I127" s="375"/>
    </row>
    <row r="128" spans="1:9" x14ac:dyDescent="0.25">
      <c r="A128" s="369" t="s">
        <v>386</v>
      </c>
      <c r="B128" s="370" t="s">
        <v>514</v>
      </c>
      <c r="C128" s="371" t="s">
        <v>17</v>
      </c>
      <c r="D128" s="372">
        <v>388759</v>
      </c>
      <c r="E128" s="373"/>
      <c r="G128" s="374"/>
      <c r="I128" s="375"/>
    </row>
    <row r="129" spans="1:9" x14ac:dyDescent="0.25">
      <c r="A129" s="369" t="s">
        <v>386</v>
      </c>
      <c r="B129" s="370" t="s">
        <v>515</v>
      </c>
      <c r="C129" s="371" t="s">
        <v>17</v>
      </c>
      <c r="D129" s="372">
        <v>415732</v>
      </c>
      <c r="E129" s="373"/>
      <c r="G129" s="374"/>
      <c r="I129" s="375"/>
    </row>
    <row r="130" spans="1:9" x14ac:dyDescent="0.25">
      <c r="A130" s="369" t="s">
        <v>386</v>
      </c>
      <c r="B130" s="370" t="s">
        <v>516</v>
      </c>
      <c r="C130" s="371" t="s">
        <v>17</v>
      </c>
      <c r="D130" s="372">
        <v>768401</v>
      </c>
      <c r="E130" s="373"/>
      <c r="G130" s="374"/>
      <c r="I130" s="375"/>
    </row>
    <row r="131" spans="1:9" x14ac:dyDescent="0.25">
      <c r="A131" s="390" t="s">
        <v>386</v>
      </c>
      <c r="B131" s="391" t="s">
        <v>517</v>
      </c>
      <c r="C131" s="392" t="s">
        <v>17</v>
      </c>
      <c r="D131" s="393">
        <v>131092</v>
      </c>
      <c r="E131" s="373"/>
      <c r="G131" s="374"/>
      <c r="I131" s="375"/>
    </row>
    <row r="132" spans="1:9" x14ac:dyDescent="0.25">
      <c r="A132" s="390" t="s">
        <v>386</v>
      </c>
      <c r="B132" s="391" t="s">
        <v>518</v>
      </c>
      <c r="C132" s="392" t="s">
        <v>17</v>
      </c>
      <c r="D132" s="393">
        <v>254762</v>
      </c>
      <c r="E132" s="373"/>
      <c r="G132" s="374"/>
      <c r="I132" s="375"/>
    </row>
    <row r="133" spans="1:9" x14ac:dyDescent="0.25">
      <c r="A133" s="390"/>
      <c r="B133" s="391" t="s">
        <v>519</v>
      </c>
      <c r="C133" s="392" t="s">
        <v>111</v>
      </c>
      <c r="D133" s="393">
        <f>10246*1.19</f>
        <v>12192.74</v>
      </c>
      <c r="E133" s="373"/>
      <c r="G133" s="374"/>
      <c r="I133" s="375"/>
    </row>
    <row r="134" spans="1:9" x14ac:dyDescent="0.25">
      <c r="A134" s="390"/>
      <c r="B134" s="391" t="s">
        <v>520</v>
      </c>
      <c r="C134" s="392" t="s">
        <v>111</v>
      </c>
      <c r="D134" s="393">
        <f>18101*1.19</f>
        <v>21540.19</v>
      </c>
      <c r="E134" s="373"/>
      <c r="G134" s="374"/>
      <c r="I134" s="375"/>
    </row>
    <row r="135" spans="1:9" x14ac:dyDescent="0.25">
      <c r="A135" s="390"/>
      <c r="B135" s="391" t="s">
        <v>521</v>
      </c>
      <c r="C135" s="392" t="s">
        <v>111</v>
      </c>
      <c r="D135" s="393">
        <f>40328*1.19+10000</f>
        <v>57990.32</v>
      </c>
      <c r="E135" s="373"/>
      <c r="G135" s="374"/>
      <c r="I135" s="375"/>
    </row>
    <row r="136" spans="1:9" x14ac:dyDescent="0.25">
      <c r="A136" s="390"/>
      <c r="B136" s="391" t="s">
        <v>522</v>
      </c>
      <c r="C136" s="392" t="s">
        <v>111</v>
      </c>
      <c r="D136" s="393">
        <f>56425*1.19</f>
        <v>67145.75</v>
      </c>
      <c r="E136" s="373"/>
      <c r="G136" s="374"/>
      <c r="I136" s="375"/>
    </row>
    <row r="137" spans="1:9" x14ac:dyDescent="0.25">
      <c r="A137" s="390"/>
      <c r="B137" s="391" t="s">
        <v>523</v>
      </c>
      <c r="C137" s="392" t="s">
        <v>17</v>
      </c>
      <c r="D137" s="393">
        <f>41338*1.19+1000</f>
        <v>50192.22</v>
      </c>
      <c r="E137" s="373"/>
      <c r="G137" s="374"/>
      <c r="I137" s="375"/>
    </row>
    <row r="138" spans="1:9" x14ac:dyDescent="0.25">
      <c r="A138" s="390"/>
      <c r="B138" s="391" t="s">
        <v>524</v>
      </c>
      <c r="C138" s="392" t="s">
        <v>17</v>
      </c>
      <c r="D138" s="393">
        <f>13730*1.19+1000</f>
        <v>17338.699999999997</v>
      </c>
      <c r="E138" s="373"/>
      <c r="G138" s="374"/>
      <c r="I138" s="375"/>
    </row>
    <row r="139" spans="1:9" x14ac:dyDescent="0.25">
      <c r="A139" s="390"/>
      <c r="B139" s="391" t="s">
        <v>525</v>
      </c>
      <c r="C139" s="392" t="s">
        <v>17</v>
      </c>
      <c r="D139" s="393">
        <f>50354*1.19+5000</f>
        <v>64921.259999999995</v>
      </c>
      <c r="E139" s="373"/>
      <c r="G139" s="374"/>
      <c r="I139" s="375"/>
    </row>
    <row r="140" spans="1:9" x14ac:dyDescent="0.25">
      <c r="A140" s="390"/>
      <c r="B140" s="391" t="s">
        <v>526</v>
      </c>
      <c r="C140" s="392" t="s">
        <v>17</v>
      </c>
      <c r="D140" s="393">
        <f>104430*1.19+5000</f>
        <v>129271.7</v>
      </c>
      <c r="E140" s="373"/>
      <c r="G140" s="374"/>
      <c r="I140" s="375"/>
    </row>
    <row r="141" spans="1:9" x14ac:dyDescent="0.25">
      <c r="A141" s="390"/>
      <c r="B141" s="391" t="s">
        <v>527</v>
      </c>
      <c r="C141" s="392" t="s">
        <v>17</v>
      </c>
      <c r="D141" s="393">
        <f>8682*1.19+500</f>
        <v>10831.58</v>
      </c>
      <c r="E141" s="373"/>
      <c r="G141" s="374"/>
      <c r="I141" s="375"/>
    </row>
    <row r="142" spans="1:9" x14ac:dyDescent="0.25">
      <c r="A142" s="390"/>
      <c r="B142" s="391" t="s">
        <v>528</v>
      </c>
      <c r="C142" s="392" t="s">
        <v>17</v>
      </c>
      <c r="D142" s="393">
        <f>4603*1.19+200</f>
        <v>5677.57</v>
      </c>
      <c r="E142" s="373"/>
      <c r="G142" s="374"/>
      <c r="I142" s="375"/>
    </row>
    <row r="143" spans="1:9" x14ac:dyDescent="0.25">
      <c r="A143" s="390"/>
      <c r="B143" s="391" t="s">
        <v>529</v>
      </c>
      <c r="C143" s="392" t="s">
        <v>17</v>
      </c>
      <c r="D143" s="393">
        <f>7825*1.19+500</f>
        <v>9811.75</v>
      </c>
      <c r="E143" s="373"/>
      <c r="G143" s="374"/>
      <c r="I143" s="375"/>
    </row>
    <row r="144" spans="1:9" x14ac:dyDescent="0.25">
      <c r="A144" s="390"/>
      <c r="B144" s="391" t="s">
        <v>530</v>
      </c>
      <c r="C144" s="392" t="s">
        <v>17</v>
      </c>
      <c r="D144" s="393">
        <f>76258*1.19+3000</f>
        <v>93747.01999999999</v>
      </c>
      <c r="E144" s="373"/>
      <c r="G144" s="374"/>
      <c r="I144" s="375"/>
    </row>
    <row r="145" spans="1:9" x14ac:dyDescent="0.25">
      <c r="A145" s="390"/>
      <c r="B145" s="391" t="s">
        <v>531</v>
      </c>
      <c r="C145" s="392" t="s">
        <v>17</v>
      </c>
      <c r="D145" s="393">
        <v>85000</v>
      </c>
      <c r="E145" s="373"/>
      <c r="G145" s="374"/>
      <c r="I145" s="375"/>
    </row>
    <row r="146" spans="1:9" x14ac:dyDescent="0.25">
      <c r="A146" s="390"/>
      <c r="B146" s="391" t="s">
        <v>532</v>
      </c>
      <c r="C146" s="392" t="s">
        <v>17</v>
      </c>
      <c r="D146" s="393">
        <f>14600*1.19+1000</f>
        <v>18374</v>
      </c>
      <c r="E146" s="373"/>
      <c r="G146" s="374"/>
      <c r="I146" s="375"/>
    </row>
    <row r="147" spans="1:9" ht="30" x14ac:dyDescent="0.25">
      <c r="A147" s="390"/>
      <c r="B147" s="391" t="s">
        <v>533</v>
      </c>
      <c r="C147" s="392" t="s">
        <v>17</v>
      </c>
      <c r="D147" s="393">
        <v>280000</v>
      </c>
      <c r="E147" s="373"/>
      <c r="G147" s="374"/>
      <c r="I147" s="375"/>
    </row>
    <row r="148" spans="1:9" x14ac:dyDescent="0.25">
      <c r="A148" s="390"/>
      <c r="B148" s="391" t="s">
        <v>534</v>
      </c>
      <c r="C148" s="392"/>
      <c r="D148" s="393">
        <v>3255.8399999999997</v>
      </c>
      <c r="E148" s="373"/>
      <c r="G148" s="374"/>
      <c r="I148" s="375"/>
    </row>
    <row r="149" spans="1:9" x14ac:dyDescent="0.25">
      <c r="A149" s="390"/>
      <c r="B149" s="391" t="s">
        <v>535</v>
      </c>
      <c r="C149" s="392"/>
      <c r="D149" s="393">
        <v>5288.36</v>
      </c>
      <c r="E149" s="373"/>
      <c r="G149" s="374"/>
      <c r="I149" s="375"/>
    </row>
    <row r="150" spans="1:9" x14ac:dyDescent="0.25">
      <c r="A150" s="390"/>
      <c r="B150" s="391" t="s">
        <v>536</v>
      </c>
      <c r="C150" s="392"/>
      <c r="D150" s="393">
        <v>9558.08</v>
      </c>
      <c r="E150" s="373"/>
      <c r="G150" s="374"/>
      <c r="I150" s="375"/>
    </row>
    <row r="151" spans="1:9" x14ac:dyDescent="0.25">
      <c r="A151" s="390"/>
      <c r="B151" s="391" t="s">
        <v>537</v>
      </c>
      <c r="C151" s="392"/>
      <c r="D151" s="393">
        <v>16693.32</v>
      </c>
      <c r="E151" s="373"/>
      <c r="G151" s="374"/>
      <c r="I151" s="375"/>
    </row>
    <row r="152" spans="1:9" x14ac:dyDescent="0.25">
      <c r="A152" s="390"/>
      <c r="B152" s="391" t="s">
        <v>538</v>
      </c>
      <c r="C152" s="392"/>
      <c r="D152" s="393">
        <v>17352.579999999998</v>
      </c>
      <c r="E152" s="373"/>
      <c r="G152" s="374"/>
      <c r="I152" s="375"/>
    </row>
    <row r="153" spans="1:9" x14ac:dyDescent="0.25">
      <c r="A153" s="390"/>
      <c r="B153" s="391" t="s">
        <v>539</v>
      </c>
      <c r="C153" s="392"/>
      <c r="D153" s="393">
        <v>35019.32</v>
      </c>
      <c r="E153" s="373"/>
      <c r="G153" s="374"/>
      <c r="I153" s="375"/>
    </row>
    <row r="154" spans="1:9" x14ac:dyDescent="0.25">
      <c r="A154" s="390"/>
      <c r="B154" s="391" t="s">
        <v>540</v>
      </c>
      <c r="C154" s="392"/>
      <c r="D154" s="393">
        <v>36763.86</v>
      </c>
      <c r="E154" s="373"/>
      <c r="G154" s="374"/>
      <c r="I154" s="375"/>
    </row>
    <row r="155" spans="1:9" x14ac:dyDescent="0.25">
      <c r="A155" s="390"/>
      <c r="B155" s="391" t="s">
        <v>541</v>
      </c>
      <c r="C155" s="392"/>
      <c r="D155" s="393">
        <v>71314.319999999992</v>
      </c>
      <c r="E155" s="373"/>
      <c r="G155" s="374"/>
      <c r="I155" s="375"/>
    </row>
    <row r="156" spans="1:9" x14ac:dyDescent="0.25">
      <c r="A156" s="390"/>
      <c r="B156" s="391" t="s">
        <v>542</v>
      </c>
      <c r="C156" s="392"/>
      <c r="D156" s="393">
        <v>71314.319999999992</v>
      </c>
      <c r="E156" s="373"/>
      <c r="G156" s="374"/>
      <c r="I156" s="375"/>
    </row>
    <row r="157" spans="1:9" x14ac:dyDescent="0.25">
      <c r="A157" s="390"/>
      <c r="B157" s="391" t="s">
        <v>543</v>
      </c>
      <c r="C157" s="392"/>
      <c r="D157" s="393">
        <v>103083.75</v>
      </c>
      <c r="E157" s="373"/>
      <c r="G157" s="374"/>
      <c r="I157" s="375"/>
    </row>
    <row r="158" spans="1:9" x14ac:dyDescent="0.25">
      <c r="A158" s="390"/>
      <c r="B158" s="391" t="s">
        <v>544</v>
      </c>
      <c r="C158" s="392"/>
      <c r="D158" s="393">
        <v>115969.06999999999</v>
      </c>
      <c r="E158" s="373"/>
      <c r="G158" s="374"/>
      <c r="I158" s="375"/>
    </row>
    <row r="159" spans="1:9" x14ac:dyDescent="0.25">
      <c r="A159" s="390"/>
      <c r="B159" s="391" t="s">
        <v>545</v>
      </c>
      <c r="C159" s="392"/>
      <c r="D159" s="393">
        <v>126354.2</v>
      </c>
      <c r="E159" s="373"/>
      <c r="G159" s="374"/>
      <c r="I159" s="375"/>
    </row>
    <row r="160" spans="1:9" x14ac:dyDescent="0.25">
      <c r="A160" s="390"/>
      <c r="B160" s="391" t="s">
        <v>546</v>
      </c>
      <c r="C160" s="392"/>
      <c r="D160" s="393">
        <v>189330.19</v>
      </c>
      <c r="E160" s="373"/>
      <c r="G160" s="374"/>
      <c r="I160" s="375"/>
    </row>
    <row r="161" spans="1:9" x14ac:dyDescent="0.25">
      <c r="A161" s="390"/>
      <c r="B161" s="391" t="s">
        <v>547</v>
      </c>
      <c r="C161" s="392"/>
      <c r="D161" s="393">
        <v>247992.43</v>
      </c>
      <c r="E161" s="373"/>
      <c r="G161" s="374"/>
      <c r="I161" s="375"/>
    </row>
    <row r="162" spans="1:9" x14ac:dyDescent="0.25">
      <c r="A162" s="390"/>
      <c r="B162" s="391" t="s">
        <v>548</v>
      </c>
      <c r="C162" s="392"/>
      <c r="D162" s="393">
        <v>318703.42</v>
      </c>
      <c r="E162" s="373"/>
      <c r="G162" s="374"/>
      <c r="I162" s="375"/>
    </row>
    <row r="163" spans="1:9" x14ac:dyDescent="0.25">
      <c r="A163" s="390"/>
      <c r="B163" s="391" t="s">
        <v>549</v>
      </c>
      <c r="C163" s="392"/>
      <c r="D163" s="393">
        <v>372178.45</v>
      </c>
      <c r="E163" s="373"/>
      <c r="G163" s="374"/>
      <c r="I163" s="375"/>
    </row>
    <row r="164" spans="1:9" x14ac:dyDescent="0.25">
      <c r="A164" s="390"/>
      <c r="B164" s="391" t="s">
        <v>550</v>
      </c>
      <c r="C164" s="392"/>
      <c r="D164" s="393">
        <v>450910.04</v>
      </c>
      <c r="E164" s="373"/>
      <c r="G164" s="374"/>
      <c r="I164" s="375"/>
    </row>
    <row r="165" spans="1:9" x14ac:dyDescent="0.25">
      <c r="A165" s="390"/>
      <c r="B165" s="391" t="s">
        <v>551</v>
      </c>
      <c r="C165" s="392"/>
      <c r="D165" s="393">
        <v>508053.83999999997</v>
      </c>
      <c r="E165" s="394"/>
      <c r="G165" s="374"/>
      <c r="I165" s="375"/>
    </row>
    <row r="166" spans="1:9" x14ac:dyDescent="0.25">
      <c r="A166" s="390"/>
      <c r="B166" s="391" t="s">
        <v>552</v>
      </c>
      <c r="C166" s="392"/>
      <c r="D166" s="393">
        <v>558000</v>
      </c>
      <c r="E166" s="373"/>
      <c r="G166" s="374"/>
      <c r="I166" s="375"/>
    </row>
    <row r="167" spans="1:9" x14ac:dyDescent="0.25">
      <c r="A167" s="390"/>
      <c r="B167" s="391" t="s">
        <v>553</v>
      </c>
      <c r="C167" s="392"/>
      <c r="D167" s="393">
        <f>76243*1.19+5000</f>
        <v>95729.17</v>
      </c>
      <c r="E167" s="373"/>
      <c r="G167" s="374"/>
      <c r="I167" s="375"/>
    </row>
    <row r="168" spans="1:9" x14ac:dyDescent="0.25">
      <c r="A168" s="390"/>
      <c r="B168" s="391" t="s">
        <v>554</v>
      </c>
      <c r="C168" s="392"/>
      <c r="D168" s="393">
        <v>1750</v>
      </c>
      <c r="E168" s="373"/>
      <c r="G168" s="374"/>
      <c r="I168" s="375"/>
    </row>
    <row r="169" spans="1:9" x14ac:dyDescent="0.25">
      <c r="A169" s="390"/>
      <c r="B169" s="391" t="s">
        <v>913</v>
      </c>
      <c r="C169" s="392" t="s">
        <v>111</v>
      </c>
      <c r="D169" s="393">
        <f>14033*1.19+1000</f>
        <v>17699.27</v>
      </c>
      <c r="E169" s="373"/>
      <c r="G169" s="374"/>
      <c r="I169" s="375"/>
    </row>
    <row r="170" spans="1:9" x14ac:dyDescent="0.25">
      <c r="A170" s="390"/>
      <c r="B170" s="391" t="s">
        <v>914</v>
      </c>
      <c r="C170" s="392" t="s">
        <v>111</v>
      </c>
      <c r="D170" s="393">
        <f>24397*1.19+1500</f>
        <v>30532.43</v>
      </c>
      <c r="E170" s="373"/>
      <c r="G170" s="374"/>
      <c r="I170" s="375"/>
    </row>
    <row r="171" spans="1:9" x14ac:dyDescent="0.25">
      <c r="A171" s="390"/>
      <c r="B171" s="391" t="s">
        <v>915</v>
      </c>
      <c r="C171" s="392" t="s">
        <v>111</v>
      </c>
      <c r="D171" s="393">
        <f>55872*1.19+2000</f>
        <v>68487.679999999993</v>
      </c>
      <c r="E171" s="373"/>
      <c r="G171" s="374"/>
      <c r="I171" s="375"/>
    </row>
    <row r="172" spans="1:9" x14ac:dyDescent="0.25">
      <c r="A172" s="390"/>
      <c r="B172" s="391" t="s">
        <v>916</v>
      </c>
      <c r="C172" s="392" t="s">
        <v>111</v>
      </c>
      <c r="D172" s="393">
        <f>75872*1.19+2000</f>
        <v>92287.679999999993</v>
      </c>
      <c r="E172" s="373"/>
      <c r="G172" s="374"/>
      <c r="I172" s="375"/>
    </row>
    <row r="173" spans="1:9" x14ac:dyDescent="0.25">
      <c r="A173" s="390"/>
      <c r="B173" s="391"/>
      <c r="C173" s="392"/>
      <c r="D173" s="393"/>
      <c r="E173" s="373"/>
      <c r="G173" s="374"/>
      <c r="I173" s="375"/>
    </row>
    <row r="174" spans="1:9" x14ac:dyDescent="0.25">
      <c r="A174" s="390"/>
      <c r="B174" s="391"/>
      <c r="C174" s="392"/>
      <c r="D174" s="393"/>
      <c r="E174" s="373"/>
      <c r="G174" s="374"/>
      <c r="I174" s="375"/>
    </row>
    <row r="175" spans="1:9" x14ac:dyDescent="0.25">
      <c r="A175" s="390"/>
      <c r="B175" s="391"/>
      <c r="C175" s="392"/>
      <c r="D175" s="393"/>
      <c r="E175" s="373"/>
      <c r="G175" s="374"/>
      <c r="I175" s="375"/>
    </row>
    <row r="176" spans="1:9" x14ac:dyDescent="0.25">
      <c r="A176" s="390"/>
      <c r="B176" s="391" t="s">
        <v>555</v>
      </c>
      <c r="C176" s="392" t="s">
        <v>17</v>
      </c>
      <c r="D176" s="393">
        <v>1190800</v>
      </c>
      <c r="E176" s="373"/>
      <c r="G176" s="374"/>
      <c r="I176" s="375"/>
    </row>
    <row r="177" spans="1:9" x14ac:dyDescent="0.25">
      <c r="A177" s="390"/>
      <c r="B177" s="391"/>
      <c r="C177" s="392"/>
      <c r="D177" s="393"/>
      <c r="E177" s="373"/>
      <c r="G177" s="374"/>
      <c r="I177" s="375"/>
    </row>
    <row r="178" spans="1:9" x14ac:dyDescent="0.25">
      <c r="A178" s="390"/>
      <c r="B178" s="391"/>
      <c r="C178" s="392"/>
      <c r="D178" s="393"/>
      <c r="E178" s="373"/>
      <c r="G178" s="374"/>
      <c r="I178" s="375"/>
    </row>
    <row r="179" spans="1:9" x14ac:dyDescent="0.25">
      <c r="A179" s="390"/>
      <c r="B179" s="391"/>
      <c r="C179" s="392"/>
      <c r="D179" s="393"/>
      <c r="E179" s="373"/>
      <c r="G179" s="374"/>
      <c r="I179" s="375"/>
    </row>
    <row r="180" spans="1:9" x14ac:dyDescent="0.25">
      <c r="A180" s="390"/>
      <c r="B180" s="391"/>
      <c r="C180" s="392"/>
      <c r="D180" s="393"/>
      <c r="E180" s="373"/>
      <c r="G180" s="374"/>
      <c r="I180" s="375"/>
    </row>
    <row r="181" spans="1:9" x14ac:dyDescent="0.25">
      <c r="A181" s="390"/>
      <c r="B181" s="391"/>
      <c r="C181" s="392"/>
      <c r="D181" s="393"/>
      <c r="E181" s="373"/>
      <c r="G181" s="374"/>
      <c r="I181" s="375"/>
    </row>
    <row r="182" spans="1:9" x14ac:dyDescent="0.25">
      <c r="A182" s="390"/>
      <c r="B182" s="391"/>
      <c r="C182" s="392"/>
      <c r="D182" s="393"/>
      <c r="E182" s="373"/>
      <c r="G182" s="374"/>
      <c r="I182" s="375"/>
    </row>
    <row r="183" spans="1:9" x14ac:dyDescent="0.25">
      <c r="A183" s="390"/>
      <c r="B183" s="391"/>
      <c r="C183" s="392"/>
      <c r="D183" s="393"/>
      <c r="E183" s="373"/>
      <c r="G183" s="374"/>
      <c r="I183" s="375"/>
    </row>
    <row r="184" spans="1:9" ht="30" x14ac:dyDescent="0.25">
      <c r="A184" s="390"/>
      <c r="B184" s="395" t="s">
        <v>556</v>
      </c>
      <c r="C184" s="392" t="s">
        <v>111</v>
      </c>
      <c r="D184" s="393">
        <v>11500</v>
      </c>
      <c r="E184" s="373"/>
      <c r="G184" s="374"/>
      <c r="I184" s="375"/>
    </row>
    <row r="185" spans="1:9" x14ac:dyDescent="0.25">
      <c r="A185" s="390"/>
      <c r="B185" s="391" t="s">
        <v>557</v>
      </c>
      <c r="C185" s="392" t="s">
        <v>17</v>
      </c>
      <c r="D185" s="393">
        <v>13500</v>
      </c>
      <c r="E185" s="373"/>
      <c r="G185" s="374"/>
      <c r="I185" s="375"/>
    </row>
    <row r="186" spans="1:9" x14ac:dyDescent="0.25">
      <c r="A186" s="390"/>
      <c r="B186" s="395" t="s">
        <v>558</v>
      </c>
      <c r="C186" s="392" t="s">
        <v>17</v>
      </c>
      <c r="D186" s="393">
        <v>120000</v>
      </c>
      <c r="E186" s="373"/>
      <c r="G186" s="374"/>
      <c r="I186" s="375"/>
    </row>
    <row r="187" spans="1:9" x14ac:dyDescent="0.25">
      <c r="A187" s="390"/>
      <c r="B187" s="395" t="s">
        <v>559</v>
      </c>
      <c r="C187" s="392" t="s">
        <v>110</v>
      </c>
      <c r="D187" s="393">
        <v>850</v>
      </c>
      <c r="E187" s="373"/>
      <c r="G187" s="374"/>
      <c r="I187" s="375"/>
    </row>
    <row r="188" spans="1:9" x14ac:dyDescent="0.25">
      <c r="A188" s="396"/>
      <c r="B188" s="395" t="s">
        <v>560</v>
      </c>
      <c r="C188" s="397" t="s">
        <v>110</v>
      </c>
      <c r="D188" s="398">
        <v>17500</v>
      </c>
      <c r="E188" s="399"/>
      <c r="G188" s="374"/>
      <c r="I188" s="375"/>
    </row>
    <row r="189" spans="1:9" x14ac:dyDescent="0.25">
      <c r="A189" s="396"/>
      <c r="B189" s="395" t="s">
        <v>561</v>
      </c>
      <c r="C189" s="397" t="s">
        <v>17</v>
      </c>
      <c r="D189" s="398">
        <v>120</v>
      </c>
      <c r="E189" s="399"/>
      <c r="G189" s="374"/>
      <c r="I189" s="375"/>
    </row>
    <row r="190" spans="1:9" x14ac:dyDescent="0.25">
      <c r="A190" s="396"/>
      <c r="B190" s="395" t="s">
        <v>562</v>
      </c>
      <c r="C190" s="397" t="s">
        <v>17</v>
      </c>
      <c r="D190" s="398">
        <v>38100</v>
      </c>
      <c r="E190" s="399"/>
      <c r="G190" s="374"/>
      <c r="I190" s="375"/>
    </row>
    <row r="191" spans="1:9" x14ac:dyDescent="0.25">
      <c r="A191" s="396"/>
      <c r="B191" s="395" t="s">
        <v>563</v>
      </c>
      <c r="C191" s="397" t="s">
        <v>17</v>
      </c>
      <c r="D191" s="398">
        <f>241200+25000</f>
        <v>266200</v>
      </c>
      <c r="E191" s="399">
        <f>+D191/(4*30)</f>
        <v>2218.3333333333335</v>
      </c>
      <c r="G191" s="374"/>
      <c r="I191" s="375"/>
    </row>
    <row r="192" spans="1:9" x14ac:dyDescent="0.25">
      <c r="A192" s="396"/>
      <c r="B192" s="395" t="s">
        <v>941</v>
      </c>
      <c r="C192" s="397" t="s">
        <v>17</v>
      </c>
      <c r="D192" s="398">
        <v>2083.3333333333335</v>
      </c>
      <c r="E192" s="399">
        <v>1200</v>
      </c>
      <c r="G192" s="374"/>
      <c r="I192" s="375"/>
    </row>
    <row r="193" spans="1:9" x14ac:dyDescent="0.25">
      <c r="A193" s="396"/>
      <c r="B193" s="395" t="s">
        <v>564</v>
      </c>
      <c r="C193" s="397" t="s">
        <v>111</v>
      </c>
      <c r="D193" s="398">
        <f>2378+200</f>
        <v>2578</v>
      </c>
      <c r="E193" s="399"/>
      <c r="G193" s="374"/>
      <c r="I193" s="375"/>
    </row>
    <row r="194" spans="1:9" x14ac:dyDescent="0.25">
      <c r="A194" s="396"/>
      <c r="B194" s="395" t="s">
        <v>890</v>
      </c>
      <c r="C194" s="397" t="s">
        <v>17</v>
      </c>
      <c r="D194" s="398">
        <v>117000</v>
      </c>
      <c r="E194" s="399">
        <v>87900</v>
      </c>
      <c r="G194" s="374"/>
      <c r="I194" s="375"/>
    </row>
    <row r="195" spans="1:9" x14ac:dyDescent="0.25">
      <c r="A195" s="396"/>
      <c r="B195" s="395" t="s">
        <v>565</v>
      </c>
      <c r="C195" s="397" t="s">
        <v>111</v>
      </c>
      <c r="D195" s="398">
        <f>60900/50</f>
        <v>1218</v>
      </c>
      <c r="E195" s="399"/>
      <c r="G195" s="374"/>
      <c r="I195" s="375"/>
    </row>
    <row r="196" spans="1:9" x14ac:dyDescent="0.25">
      <c r="A196" s="396"/>
      <c r="B196" s="395" t="s">
        <v>891</v>
      </c>
      <c r="C196" s="397" t="s">
        <v>17</v>
      </c>
      <c r="D196" s="398">
        <v>275</v>
      </c>
      <c r="E196" s="399"/>
      <c r="G196" s="374"/>
      <c r="I196" s="375"/>
    </row>
    <row r="197" spans="1:9" x14ac:dyDescent="0.25">
      <c r="A197" s="396"/>
      <c r="B197" s="395" t="s">
        <v>566</v>
      </c>
      <c r="C197" s="397" t="s">
        <v>111</v>
      </c>
      <c r="D197" s="398">
        <f>(239900+20000)/50</f>
        <v>5198</v>
      </c>
      <c r="E197" s="399"/>
      <c r="G197" s="374"/>
      <c r="I197" s="375"/>
    </row>
    <row r="198" spans="1:9" x14ac:dyDescent="0.25">
      <c r="A198" s="396"/>
      <c r="B198" s="395" t="s">
        <v>567</v>
      </c>
      <c r="C198" s="397" t="s">
        <v>111</v>
      </c>
      <c r="D198" s="398">
        <v>3350</v>
      </c>
      <c r="E198" s="399"/>
      <c r="G198" s="374"/>
      <c r="I198" s="375"/>
    </row>
    <row r="199" spans="1:9" x14ac:dyDescent="0.25">
      <c r="A199" s="369"/>
      <c r="B199" s="370" t="s">
        <v>568</v>
      </c>
      <c r="C199" s="98" t="s">
        <v>17</v>
      </c>
      <c r="D199" s="368">
        <f>114900+50000</f>
        <v>164900</v>
      </c>
      <c r="E199" s="368">
        <f>+D199/(1.5*30)</f>
        <v>3664.4444444444443</v>
      </c>
      <c r="G199" s="374"/>
      <c r="I199" s="375"/>
    </row>
    <row r="200" spans="1:9" x14ac:dyDescent="0.25">
      <c r="B200" s="400" t="s">
        <v>569</v>
      </c>
      <c r="C200" s="98" t="s">
        <v>17</v>
      </c>
      <c r="D200" s="368">
        <f>244900+20000</f>
        <v>264900</v>
      </c>
      <c r="E200" s="368"/>
      <c r="G200" s="374"/>
      <c r="I200" s="375"/>
    </row>
    <row r="201" spans="1:9" x14ac:dyDescent="0.25">
      <c r="B201" s="400" t="s">
        <v>570</v>
      </c>
      <c r="C201" s="98" t="s">
        <v>111</v>
      </c>
      <c r="D201" s="368">
        <v>1450</v>
      </c>
      <c r="E201" s="368"/>
      <c r="G201" s="374"/>
      <c r="I201" s="375"/>
    </row>
    <row r="202" spans="1:9" x14ac:dyDescent="0.25">
      <c r="B202" s="400" t="s">
        <v>571</v>
      </c>
      <c r="C202" s="98" t="s">
        <v>17</v>
      </c>
      <c r="D202" s="368">
        <f>16500*1.19+500</f>
        <v>20135</v>
      </c>
      <c r="E202" s="368"/>
      <c r="G202" s="374"/>
      <c r="I202" s="375"/>
    </row>
    <row r="203" spans="1:9" x14ac:dyDescent="0.25">
      <c r="B203" s="400" t="s">
        <v>572</v>
      </c>
      <c r="C203" s="98" t="s">
        <v>17</v>
      </c>
      <c r="D203" s="368">
        <f>9500*1.19+500</f>
        <v>11805</v>
      </c>
      <c r="E203" s="368"/>
      <c r="G203" s="374"/>
      <c r="I203" s="375"/>
    </row>
    <row r="204" spans="1:9" x14ac:dyDescent="0.25">
      <c r="B204" s="400" t="s">
        <v>573</v>
      </c>
      <c r="C204" s="98" t="s">
        <v>17</v>
      </c>
      <c r="D204" s="368">
        <v>9482</v>
      </c>
      <c r="E204" s="368"/>
      <c r="G204" s="374"/>
      <c r="I204" s="375"/>
    </row>
    <row r="205" spans="1:9" x14ac:dyDescent="0.25">
      <c r="B205" s="400" t="s">
        <v>574</v>
      </c>
      <c r="C205" s="98" t="s">
        <v>17</v>
      </c>
      <c r="D205" s="368">
        <v>4900</v>
      </c>
      <c r="E205" s="368">
        <v>5000</v>
      </c>
      <c r="G205" s="374"/>
      <c r="I205" s="375"/>
    </row>
    <row r="206" spans="1:9" x14ac:dyDescent="0.25">
      <c r="B206" s="400" t="s">
        <v>575</v>
      </c>
      <c r="C206" s="98" t="s">
        <v>576</v>
      </c>
      <c r="D206" s="368">
        <v>8900</v>
      </c>
      <c r="E206" s="368"/>
      <c r="G206" s="374"/>
      <c r="I206" s="375"/>
    </row>
    <row r="207" spans="1:9" x14ac:dyDescent="0.25">
      <c r="B207" s="400" t="s">
        <v>901</v>
      </c>
      <c r="C207" s="98" t="s">
        <v>122</v>
      </c>
      <c r="D207" s="368">
        <v>120</v>
      </c>
      <c r="E207" s="368"/>
      <c r="G207" s="374"/>
      <c r="I207" s="375"/>
    </row>
    <row r="208" spans="1:9" x14ac:dyDescent="0.25">
      <c r="B208" s="400" t="s">
        <v>577</v>
      </c>
      <c r="C208" s="98" t="s">
        <v>122</v>
      </c>
      <c r="D208" s="368">
        <v>8687</v>
      </c>
      <c r="E208" s="368"/>
      <c r="G208" s="374"/>
      <c r="I208" s="375"/>
    </row>
    <row r="209" spans="1:9" x14ac:dyDescent="0.25">
      <c r="B209" s="400" t="s">
        <v>578</v>
      </c>
      <c r="C209" s="98" t="s">
        <v>122</v>
      </c>
      <c r="D209" s="368">
        <v>5990</v>
      </c>
      <c r="E209" s="368"/>
      <c r="G209" s="374"/>
      <c r="I209" s="375"/>
    </row>
    <row r="210" spans="1:9" x14ac:dyDescent="0.25">
      <c r="B210" s="400" t="s">
        <v>579</v>
      </c>
      <c r="C210" s="98" t="s">
        <v>17</v>
      </c>
      <c r="D210" s="368">
        <f>155000*1.19+30000</f>
        <v>214450</v>
      </c>
      <c r="E210" s="368">
        <f>+D210/(2.35*6)</f>
        <v>15209.219858156026</v>
      </c>
      <c r="G210" s="374"/>
      <c r="I210" s="375"/>
    </row>
    <row r="211" spans="1:9" x14ac:dyDescent="0.25">
      <c r="B211" s="400" t="s">
        <v>580</v>
      </c>
      <c r="C211" s="98" t="s">
        <v>17</v>
      </c>
      <c r="D211" s="368">
        <f>120000*1.19+30000</f>
        <v>172800</v>
      </c>
      <c r="E211" s="368">
        <f>+D211/(2.35*6)</f>
        <v>12255.319148936169</v>
      </c>
      <c r="G211" s="374"/>
      <c r="I211" s="375"/>
    </row>
    <row r="212" spans="1:9" x14ac:dyDescent="0.25">
      <c r="B212" s="400" t="s">
        <v>581</v>
      </c>
      <c r="C212" s="98" t="s">
        <v>17</v>
      </c>
      <c r="D212" s="368">
        <v>435000</v>
      </c>
      <c r="E212" s="368"/>
      <c r="G212" s="374"/>
      <c r="I212" s="375"/>
    </row>
    <row r="213" spans="1:9" x14ac:dyDescent="0.25">
      <c r="B213" s="400" t="s">
        <v>896</v>
      </c>
      <c r="C213" s="98" t="s">
        <v>17</v>
      </c>
      <c r="D213" s="368">
        <f>22000*1.19</f>
        <v>26180</v>
      </c>
      <c r="E213" s="368"/>
      <c r="G213" s="374"/>
      <c r="I213" s="375"/>
    </row>
    <row r="214" spans="1:9" ht="33.75" x14ac:dyDescent="0.25">
      <c r="B214" s="401" t="s">
        <v>582</v>
      </c>
      <c r="C214" s="98" t="s">
        <v>17</v>
      </c>
      <c r="D214" s="368">
        <f>525778+25000</f>
        <v>550778</v>
      </c>
      <c r="E214" s="368"/>
      <c r="G214" s="374"/>
      <c r="I214" s="375"/>
    </row>
    <row r="215" spans="1:9" x14ac:dyDescent="0.25">
      <c r="B215" s="400" t="s">
        <v>583</v>
      </c>
      <c r="C215" s="98" t="s">
        <v>110</v>
      </c>
      <c r="D215" s="368">
        <f>25500*1.19</f>
        <v>30345</v>
      </c>
      <c r="E215" s="368"/>
      <c r="F215" s="368">
        <f>37400*1.19</f>
        <v>44506</v>
      </c>
      <c r="G215" s="374"/>
      <c r="I215" s="375"/>
    </row>
    <row r="216" spans="1:9" x14ac:dyDescent="0.25">
      <c r="B216" s="400" t="s">
        <v>584</v>
      </c>
      <c r="C216" s="98" t="s">
        <v>110</v>
      </c>
      <c r="D216" s="368">
        <f>30000*1.19</f>
        <v>35700</v>
      </c>
      <c r="E216" s="368"/>
      <c r="G216" s="374"/>
      <c r="I216" s="375"/>
    </row>
    <row r="217" spans="1:9" x14ac:dyDescent="0.25">
      <c r="B217" s="400" t="s">
        <v>585</v>
      </c>
      <c r="C217" s="98" t="s">
        <v>110</v>
      </c>
      <c r="D217" s="368">
        <f>+(3300+450*20)*1.19+5000</f>
        <v>19637</v>
      </c>
      <c r="E217" s="368"/>
      <c r="F217" s="368">
        <f>ROUND(6600/6*1.19*26,0)</f>
        <v>34034</v>
      </c>
      <c r="G217" s="374"/>
      <c r="I217" s="375"/>
    </row>
    <row r="218" spans="1:9" x14ac:dyDescent="0.25">
      <c r="B218" s="400" t="s">
        <v>586</v>
      </c>
      <c r="C218" s="98" t="s">
        <v>110</v>
      </c>
      <c r="D218" s="368">
        <v>12500</v>
      </c>
      <c r="E218" s="368">
        <v>4000</v>
      </c>
      <c r="F218" s="368">
        <f>154*1.19*50</f>
        <v>9163</v>
      </c>
      <c r="G218" s="374"/>
      <c r="I218" s="375"/>
    </row>
    <row r="219" spans="1:9" x14ac:dyDescent="0.25">
      <c r="B219" s="400" t="s">
        <v>922</v>
      </c>
      <c r="C219" s="98" t="s">
        <v>110</v>
      </c>
      <c r="D219" s="368"/>
      <c r="E219" s="368">
        <f>184*20*1.19</f>
        <v>4379.2</v>
      </c>
      <c r="G219" s="374"/>
      <c r="I219" s="375"/>
    </row>
    <row r="220" spans="1:9" ht="30" x14ac:dyDescent="0.25">
      <c r="A220" s="402"/>
      <c r="B220" s="400" t="s">
        <v>587</v>
      </c>
      <c r="C220" s="98" t="s">
        <v>110</v>
      </c>
      <c r="D220" s="368">
        <v>750</v>
      </c>
      <c r="E220" s="368"/>
      <c r="G220" s="374"/>
      <c r="I220" s="375"/>
    </row>
    <row r="221" spans="1:9" x14ac:dyDescent="0.25">
      <c r="A221" s="403"/>
      <c r="B221" s="400" t="s">
        <v>588</v>
      </c>
      <c r="C221" s="98" t="s">
        <v>117</v>
      </c>
      <c r="D221" s="368">
        <v>69020</v>
      </c>
      <c r="E221" s="368">
        <v>69020</v>
      </c>
      <c r="G221" s="374"/>
      <c r="I221" s="375"/>
    </row>
    <row r="222" spans="1:9" x14ac:dyDescent="0.25">
      <c r="B222" s="400" t="s">
        <v>589</v>
      </c>
      <c r="C222" s="98" t="s">
        <v>590</v>
      </c>
      <c r="D222" s="368">
        <v>25000</v>
      </c>
      <c r="E222" s="368"/>
      <c r="G222" s="374"/>
      <c r="I222" s="375"/>
    </row>
    <row r="223" spans="1:9" x14ac:dyDescent="0.25">
      <c r="B223" s="400" t="s">
        <v>591</v>
      </c>
      <c r="C223" s="98" t="s">
        <v>110</v>
      </c>
      <c r="D223" s="368">
        <v>35000</v>
      </c>
      <c r="E223" s="368"/>
      <c r="G223" s="374"/>
      <c r="I223" s="375"/>
    </row>
    <row r="224" spans="1:9" x14ac:dyDescent="0.25">
      <c r="B224" s="400" t="s">
        <v>592</v>
      </c>
      <c r="C224" s="98" t="s">
        <v>110</v>
      </c>
      <c r="D224" s="368">
        <v>35000</v>
      </c>
      <c r="E224" s="368"/>
      <c r="G224" s="374"/>
      <c r="I224" s="375"/>
    </row>
    <row r="225" spans="2:9" x14ac:dyDescent="0.25">
      <c r="B225" s="400" t="s">
        <v>593</v>
      </c>
      <c r="C225" s="98" t="s">
        <v>110</v>
      </c>
      <c r="D225" s="368">
        <f>83600*1.19</f>
        <v>99484</v>
      </c>
      <c r="E225" s="368">
        <f>+D225+15000</f>
        <v>114484</v>
      </c>
      <c r="G225" s="374"/>
      <c r="I225" s="375"/>
    </row>
    <row r="226" spans="2:9" x14ac:dyDescent="0.25">
      <c r="B226" s="400" t="s">
        <v>594</v>
      </c>
      <c r="C226" s="98" t="s">
        <v>110</v>
      </c>
      <c r="D226" s="368">
        <f>5400*1.19</f>
        <v>6426</v>
      </c>
      <c r="E226" s="368"/>
      <c r="G226" s="374"/>
      <c r="I226" s="375"/>
    </row>
    <row r="227" spans="2:9" x14ac:dyDescent="0.25">
      <c r="B227" s="400" t="s">
        <v>595</v>
      </c>
      <c r="C227" s="98" t="s">
        <v>110</v>
      </c>
      <c r="D227" s="368">
        <v>35000</v>
      </c>
      <c r="E227" s="368"/>
      <c r="G227" s="374"/>
      <c r="I227" s="375"/>
    </row>
    <row r="228" spans="2:9" x14ac:dyDescent="0.25">
      <c r="B228" s="400" t="s">
        <v>902</v>
      </c>
      <c r="C228" s="98" t="s">
        <v>110</v>
      </c>
      <c r="D228" s="368">
        <f>11220*1.19</f>
        <v>13351.8</v>
      </c>
      <c r="E228" s="368">
        <v>18000</v>
      </c>
      <c r="G228" s="374"/>
      <c r="I228" s="375"/>
    </row>
    <row r="229" spans="2:9" x14ac:dyDescent="0.25">
      <c r="B229" s="400" t="s">
        <v>596</v>
      </c>
      <c r="C229" s="98" t="s">
        <v>110</v>
      </c>
      <c r="D229" s="368">
        <f>48400*1.19</f>
        <v>57596</v>
      </c>
      <c r="E229" s="368"/>
      <c r="G229" s="374"/>
      <c r="I229" s="375"/>
    </row>
    <row r="230" spans="2:9" x14ac:dyDescent="0.25">
      <c r="B230" s="400" t="s">
        <v>597</v>
      </c>
      <c r="C230" s="98" t="s">
        <v>110</v>
      </c>
      <c r="D230" s="368">
        <f>40700*1.19</f>
        <v>48433</v>
      </c>
      <c r="E230" s="368">
        <v>45000</v>
      </c>
      <c r="G230" s="374"/>
      <c r="I230" s="375"/>
    </row>
    <row r="231" spans="2:9" x14ac:dyDescent="0.25">
      <c r="B231" s="400" t="s">
        <v>598</v>
      </c>
      <c r="C231" s="98" t="s">
        <v>599</v>
      </c>
      <c r="D231" s="368">
        <v>68500</v>
      </c>
      <c r="E231" s="368">
        <v>68500</v>
      </c>
      <c r="G231" s="374"/>
      <c r="I231" s="375"/>
    </row>
    <row r="232" spans="2:9" x14ac:dyDescent="0.25">
      <c r="B232" s="400" t="s">
        <v>600</v>
      </c>
      <c r="C232" s="98" t="s">
        <v>110</v>
      </c>
      <c r="D232" s="368">
        <f>140000*1.19</f>
        <v>166600</v>
      </c>
      <c r="E232" s="368"/>
      <c r="G232" s="374"/>
      <c r="I232" s="375"/>
    </row>
    <row r="233" spans="2:9" x14ac:dyDescent="0.25">
      <c r="B233" s="400" t="s">
        <v>921</v>
      </c>
      <c r="C233" s="98" t="s">
        <v>110</v>
      </c>
      <c r="D233" s="368"/>
      <c r="E233" s="368">
        <f>48000*1.19</f>
        <v>57120</v>
      </c>
      <c r="G233" s="374"/>
      <c r="I233" s="375"/>
    </row>
    <row r="234" spans="2:9" ht="30" x14ac:dyDescent="0.25">
      <c r="B234" s="400" t="s">
        <v>601</v>
      </c>
      <c r="C234" s="98" t="s">
        <v>17</v>
      </c>
      <c r="D234" s="399">
        <f>241261+25000</f>
        <v>266261</v>
      </c>
      <c r="E234" s="368"/>
      <c r="G234" s="374"/>
      <c r="I234" s="375"/>
    </row>
    <row r="235" spans="2:9" x14ac:dyDescent="0.25">
      <c r="B235" s="260" t="s">
        <v>602</v>
      </c>
      <c r="C235" s="256" t="s">
        <v>117</v>
      </c>
      <c r="D235" s="368">
        <v>515000</v>
      </c>
      <c r="E235" s="368">
        <f>353400*1.19</f>
        <v>420546</v>
      </c>
      <c r="G235" s="374"/>
      <c r="I235" s="375"/>
    </row>
    <row r="236" spans="2:9" x14ac:dyDescent="0.25">
      <c r="B236" s="404" t="s">
        <v>603</v>
      </c>
      <c r="C236" s="405" t="s">
        <v>110</v>
      </c>
      <c r="D236" s="368">
        <v>12500</v>
      </c>
      <c r="E236" s="368"/>
      <c r="G236" s="374"/>
      <c r="I236" s="375"/>
    </row>
    <row r="237" spans="2:9" x14ac:dyDescent="0.25">
      <c r="B237" s="400" t="s">
        <v>604</v>
      </c>
      <c r="C237" s="98" t="s">
        <v>605</v>
      </c>
      <c r="D237" s="368">
        <v>16200</v>
      </c>
      <c r="E237" s="368"/>
      <c r="G237" s="374"/>
      <c r="I237" s="375"/>
    </row>
    <row r="238" spans="2:9" x14ac:dyDescent="0.25">
      <c r="B238" s="400" t="s">
        <v>606</v>
      </c>
      <c r="C238" s="98" t="s">
        <v>605</v>
      </c>
      <c r="D238" s="368">
        <v>52200</v>
      </c>
      <c r="E238" s="368">
        <v>45800</v>
      </c>
      <c r="G238" s="374"/>
      <c r="I238" s="375"/>
    </row>
    <row r="239" spans="2:9" x14ac:dyDescent="0.25">
      <c r="B239" s="400" t="s">
        <v>607</v>
      </c>
      <c r="C239" s="98" t="s">
        <v>110</v>
      </c>
      <c r="D239" s="368">
        <f>450*1.19</f>
        <v>535.5</v>
      </c>
      <c r="E239" s="368"/>
      <c r="G239" s="374"/>
      <c r="I239" s="375"/>
    </row>
    <row r="240" spans="2:9" x14ac:dyDescent="0.25">
      <c r="B240" s="400" t="s">
        <v>608</v>
      </c>
      <c r="C240" s="98" t="s">
        <v>110</v>
      </c>
      <c r="D240" s="368">
        <f>ROUND(320*1.19,0)</f>
        <v>381</v>
      </c>
      <c r="E240" s="368"/>
      <c r="G240" s="374"/>
      <c r="I240" s="375"/>
    </row>
    <row r="241" spans="2:9" x14ac:dyDescent="0.25">
      <c r="B241" s="400" t="s">
        <v>609</v>
      </c>
      <c r="C241" s="98" t="s">
        <v>110</v>
      </c>
      <c r="D241" s="368">
        <f>350*1.19</f>
        <v>416.5</v>
      </c>
      <c r="E241" s="368"/>
      <c r="G241" s="374"/>
      <c r="I241" s="375"/>
    </row>
    <row r="242" spans="2:9" x14ac:dyDescent="0.25">
      <c r="B242" s="400" t="s">
        <v>610</v>
      </c>
      <c r="C242" s="98" t="s">
        <v>110</v>
      </c>
      <c r="D242" s="368">
        <f>350*1.19</f>
        <v>416.5</v>
      </c>
      <c r="E242" s="368"/>
      <c r="G242" s="374"/>
      <c r="I242" s="375"/>
    </row>
    <row r="243" spans="2:9" x14ac:dyDescent="0.25">
      <c r="B243" s="400" t="s">
        <v>611</v>
      </c>
      <c r="C243" s="98" t="s">
        <v>110</v>
      </c>
      <c r="D243" s="368">
        <f>650*1.19</f>
        <v>773.5</v>
      </c>
      <c r="E243" s="368"/>
      <c r="G243" s="374"/>
      <c r="I243" s="375"/>
    </row>
    <row r="244" spans="2:9" x14ac:dyDescent="0.25">
      <c r="B244" s="400" t="s">
        <v>612</v>
      </c>
      <c r="C244" s="98" t="s">
        <v>110</v>
      </c>
      <c r="D244" s="368">
        <v>850</v>
      </c>
      <c r="E244" s="368"/>
      <c r="G244" s="374"/>
      <c r="I244" s="375"/>
    </row>
    <row r="245" spans="2:9" x14ac:dyDescent="0.25">
      <c r="B245" s="400" t="s">
        <v>613</v>
      </c>
      <c r="C245" s="98" t="s">
        <v>17</v>
      </c>
      <c r="D245" s="368">
        <f>25500*1.19</f>
        <v>30345</v>
      </c>
      <c r="E245" s="368"/>
      <c r="G245" s="374"/>
      <c r="I245" s="375"/>
    </row>
    <row r="246" spans="2:9" x14ac:dyDescent="0.25">
      <c r="B246" s="400" t="s">
        <v>614</v>
      </c>
      <c r="C246" s="98" t="s">
        <v>17</v>
      </c>
      <c r="D246" s="368">
        <f>18000*1.19</f>
        <v>21420</v>
      </c>
      <c r="E246" s="368"/>
      <c r="G246" s="374"/>
      <c r="I246" s="375"/>
    </row>
    <row r="247" spans="2:9" x14ac:dyDescent="0.25">
      <c r="B247" s="400" t="s">
        <v>615</v>
      </c>
      <c r="C247" s="98" t="s">
        <v>110</v>
      </c>
      <c r="D247" s="368">
        <v>1200</v>
      </c>
      <c r="E247" s="368">
        <v>800</v>
      </c>
      <c r="G247" s="374"/>
      <c r="I247" s="375"/>
    </row>
    <row r="248" spans="2:9" x14ac:dyDescent="0.25">
      <c r="B248" s="400" t="s">
        <v>616</v>
      </c>
      <c r="C248" s="98" t="s">
        <v>17</v>
      </c>
      <c r="D248" s="368">
        <f>14500*1.19</f>
        <v>17255</v>
      </c>
      <c r="E248" s="368"/>
      <c r="G248" s="374"/>
      <c r="I248" s="375"/>
    </row>
    <row r="249" spans="2:9" x14ac:dyDescent="0.25">
      <c r="B249" s="400" t="s">
        <v>617</v>
      </c>
      <c r="C249" s="98" t="s">
        <v>17</v>
      </c>
      <c r="D249" s="368">
        <v>15200</v>
      </c>
      <c r="E249" s="368"/>
      <c r="G249" s="374"/>
      <c r="I249" s="375"/>
    </row>
    <row r="250" spans="2:9" ht="45" x14ac:dyDescent="0.25">
      <c r="B250" s="400" t="s">
        <v>618</v>
      </c>
      <c r="C250" s="98" t="s">
        <v>17</v>
      </c>
      <c r="D250" s="368">
        <v>1047438</v>
      </c>
      <c r="E250" s="368"/>
      <c r="G250" s="374"/>
      <c r="I250" s="375"/>
    </row>
    <row r="251" spans="2:9" x14ac:dyDescent="0.25">
      <c r="B251" s="406" t="s">
        <v>588</v>
      </c>
      <c r="C251" s="98" t="s">
        <v>117</v>
      </c>
      <c r="D251" s="368">
        <v>69020</v>
      </c>
      <c r="E251" s="368"/>
      <c r="G251" s="374"/>
      <c r="I251" s="375"/>
    </row>
    <row r="252" spans="2:9" x14ac:dyDescent="0.25">
      <c r="B252" s="406" t="s">
        <v>619</v>
      </c>
      <c r="C252" s="98" t="s">
        <v>117</v>
      </c>
      <c r="D252" s="368">
        <v>55800</v>
      </c>
      <c r="E252" s="368"/>
      <c r="G252" s="374"/>
      <c r="I252" s="375"/>
    </row>
    <row r="253" spans="2:9" ht="30" x14ac:dyDescent="0.25">
      <c r="B253" s="400" t="s">
        <v>620</v>
      </c>
      <c r="C253" s="98" t="s">
        <v>115</v>
      </c>
      <c r="D253" s="368">
        <v>4200</v>
      </c>
      <c r="E253" s="368"/>
      <c r="G253" s="374"/>
      <c r="I253" s="375"/>
    </row>
    <row r="254" spans="2:9" ht="30" x14ac:dyDescent="0.25">
      <c r="B254" s="400" t="s">
        <v>621</v>
      </c>
      <c r="C254" s="98" t="s">
        <v>115</v>
      </c>
      <c r="D254" s="368">
        <f>7858+500</f>
        <v>8358</v>
      </c>
      <c r="E254" s="368"/>
      <c r="G254" s="374"/>
      <c r="I254" s="375"/>
    </row>
    <row r="255" spans="2:9" x14ac:dyDescent="0.25">
      <c r="B255" s="400" t="s">
        <v>622</v>
      </c>
      <c r="C255" s="98" t="s">
        <v>111</v>
      </c>
      <c r="D255" s="368">
        <v>170</v>
      </c>
      <c r="E255" s="368"/>
      <c r="G255" s="374"/>
      <c r="I255" s="375"/>
    </row>
    <row r="256" spans="2:9" x14ac:dyDescent="0.25">
      <c r="B256" s="400" t="s">
        <v>623</v>
      </c>
      <c r="C256" s="98" t="s">
        <v>117</v>
      </c>
      <c r="D256" s="368">
        <f>SUBANALISIS!J8</f>
        <v>183549.40999999997</v>
      </c>
      <c r="E256" s="368"/>
      <c r="G256" s="374"/>
      <c r="I256" s="375"/>
    </row>
    <row r="257" spans="1:9" x14ac:dyDescent="0.25">
      <c r="B257" s="400" t="s">
        <v>975</v>
      </c>
      <c r="C257" s="98" t="s">
        <v>117</v>
      </c>
      <c r="D257" s="368">
        <f>SUBANALISIS!J9</f>
        <v>160464.59999999998</v>
      </c>
      <c r="E257" s="368">
        <f>2.87*22200*1.19+72000</f>
        <v>147819.66</v>
      </c>
      <c r="G257" s="374"/>
      <c r="I257" s="375"/>
    </row>
    <row r="258" spans="1:9" x14ac:dyDescent="0.25">
      <c r="B258" s="400" t="s">
        <v>308</v>
      </c>
      <c r="C258" s="98"/>
      <c r="D258" s="368">
        <v>82000</v>
      </c>
      <c r="E258" s="368"/>
      <c r="G258" s="374"/>
      <c r="I258" s="375"/>
    </row>
    <row r="259" spans="1:9" ht="25.5" x14ac:dyDescent="0.25">
      <c r="B259" s="406" t="s">
        <v>624</v>
      </c>
      <c r="C259" s="98" t="s">
        <v>117</v>
      </c>
      <c r="D259" s="368">
        <v>488000</v>
      </c>
      <c r="E259" s="368"/>
      <c r="G259" s="374"/>
      <c r="I259" s="375"/>
    </row>
    <row r="260" spans="1:9" ht="25.5" x14ac:dyDescent="0.25">
      <c r="B260" s="406" t="s">
        <v>625</v>
      </c>
      <c r="C260" s="98" t="s">
        <v>117</v>
      </c>
      <c r="D260" s="368">
        <v>515000</v>
      </c>
      <c r="E260" s="368">
        <f>353400*1.19</f>
        <v>420546</v>
      </c>
      <c r="G260" s="374"/>
      <c r="I260" s="375"/>
    </row>
    <row r="261" spans="1:9" ht="25.5" x14ac:dyDescent="0.25">
      <c r="B261" s="406" t="s">
        <v>626</v>
      </c>
      <c r="C261" s="98"/>
      <c r="D261" s="368">
        <v>535000</v>
      </c>
      <c r="E261" s="368"/>
      <c r="G261" s="374"/>
      <c r="I261" s="375"/>
    </row>
    <row r="262" spans="1:9" x14ac:dyDescent="0.25">
      <c r="B262" s="407" t="s">
        <v>627</v>
      </c>
      <c r="C262" s="98" t="s">
        <v>17</v>
      </c>
      <c r="D262" s="368">
        <v>311900</v>
      </c>
      <c r="E262" s="368"/>
      <c r="G262" s="374"/>
      <c r="I262" s="375"/>
    </row>
    <row r="263" spans="1:9" ht="45" x14ac:dyDescent="0.25">
      <c r="A263" s="403"/>
      <c r="B263" s="408" t="s">
        <v>905</v>
      </c>
      <c r="C263" s="409" t="s">
        <v>122</v>
      </c>
      <c r="D263" s="399">
        <f>+E263/20</f>
        <v>23934.55</v>
      </c>
      <c r="E263" s="399">
        <f>458691+20000</f>
        <v>478691</v>
      </c>
      <c r="G263" s="374"/>
      <c r="I263" s="375"/>
    </row>
    <row r="264" spans="1:9" x14ac:dyDescent="0.25">
      <c r="A264" s="403"/>
      <c r="B264" s="408" t="s">
        <v>629</v>
      </c>
      <c r="C264" s="409" t="s">
        <v>17</v>
      </c>
      <c r="D264" s="399">
        <f>110265+10000</f>
        <v>120265</v>
      </c>
      <c r="E264" s="399">
        <f>+D264/4.5</f>
        <v>26725.555555555555</v>
      </c>
      <c r="G264" s="410"/>
      <c r="I264" s="375"/>
    </row>
    <row r="265" spans="1:9" ht="60" x14ac:dyDescent="0.25">
      <c r="A265" s="403"/>
      <c r="B265" s="408" t="s">
        <v>582</v>
      </c>
      <c r="C265" s="411" t="s">
        <v>17</v>
      </c>
      <c r="D265" s="368">
        <f>525778+25000</f>
        <v>550778</v>
      </c>
      <c r="E265" s="399"/>
      <c r="G265" s="374"/>
      <c r="I265" s="375"/>
    </row>
    <row r="266" spans="1:9" ht="45" x14ac:dyDescent="0.25">
      <c r="A266" s="403"/>
      <c r="B266" s="408" t="s">
        <v>630</v>
      </c>
      <c r="C266" s="411" t="s">
        <v>122</v>
      </c>
      <c r="D266" s="399">
        <f>(84306+10000)/3</f>
        <v>31435.333333333332</v>
      </c>
      <c r="E266" s="399"/>
      <c r="G266" s="374"/>
      <c r="I266" s="375"/>
    </row>
    <row r="267" spans="1:9" ht="30" x14ac:dyDescent="0.25">
      <c r="A267" s="403"/>
      <c r="B267" s="408" t="s">
        <v>631</v>
      </c>
      <c r="C267" s="411" t="s">
        <v>122</v>
      </c>
      <c r="D267" s="399">
        <f>(142949+15000)/3.5</f>
        <v>45128.285714285717</v>
      </c>
      <c r="E267" s="399"/>
      <c r="G267" s="374"/>
      <c r="I267" s="375"/>
    </row>
    <row r="268" spans="1:9" ht="30" x14ac:dyDescent="0.25">
      <c r="A268" s="403"/>
      <c r="B268" s="408" t="s">
        <v>632</v>
      </c>
      <c r="C268" s="411" t="s">
        <v>115</v>
      </c>
      <c r="D268" s="399">
        <f>+(326869+20000)/10</f>
        <v>34686.9</v>
      </c>
      <c r="E268" s="399"/>
      <c r="G268" s="374"/>
      <c r="I268" s="375"/>
    </row>
    <row r="269" spans="1:9" ht="30" x14ac:dyDescent="0.25">
      <c r="A269" s="403"/>
      <c r="B269" s="408" t="s">
        <v>633</v>
      </c>
      <c r="C269" s="411" t="s">
        <v>17</v>
      </c>
      <c r="D269" s="399">
        <f>86900+10000</f>
        <v>96900</v>
      </c>
      <c r="E269" s="412">
        <f>+D269/1.8</f>
        <v>53833.333333333328</v>
      </c>
      <c r="G269" s="374"/>
      <c r="I269" s="375"/>
    </row>
    <row r="270" spans="1:9" ht="30" x14ac:dyDescent="0.25">
      <c r="A270" s="403"/>
      <c r="B270" s="413" t="s">
        <v>634</v>
      </c>
      <c r="C270" s="411" t="s">
        <v>122</v>
      </c>
      <c r="D270" s="399">
        <f>44905+10000</f>
        <v>54905</v>
      </c>
      <c r="E270" s="412"/>
      <c r="G270" s="374"/>
      <c r="I270" s="375"/>
    </row>
    <row r="271" spans="1:9" x14ac:dyDescent="0.25">
      <c r="A271" s="403"/>
      <c r="B271" s="413" t="s">
        <v>635</v>
      </c>
      <c r="C271" s="411" t="s">
        <v>122</v>
      </c>
      <c r="D271" s="399">
        <f>28863/0.6+10000</f>
        <v>58105</v>
      </c>
      <c r="E271" s="412"/>
      <c r="G271" s="374"/>
      <c r="I271" s="375"/>
    </row>
    <row r="272" spans="1:9" ht="30" x14ac:dyDescent="0.25">
      <c r="A272" s="403"/>
      <c r="B272" s="408" t="s">
        <v>636</v>
      </c>
      <c r="C272" s="409" t="s">
        <v>17</v>
      </c>
      <c r="D272" s="399">
        <f>241261+25000</f>
        <v>266261</v>
      </c>
      <c r="E272" s="399"/>
      <c r="G272" s="374"/>
      <c r="I272" s="375"/>
    </row>
    <row r="273" spans="1:9" ht="30" x14ac:dyDescent="0.25">
      <c r="A273" s="403"/>
      <c r="B273" s="408" t="s">
        <v>637</v>
      </c>
      <c r="C273" s="409" t="s">
        <v>17</v>
      </c>
      <c r="D273" s="399">
        <f>589318+15000</f>
        <v>604318</v>
      </c>
      <c r="E273" s="399">
        <f>+D273/16</f>
        <v>37769.875</v>
      </c>
      <c r="G273" s="374"/>
      <c r="I273" s="375"/>
    </row>
    <row r="274" spans="1:9" ht="45" x14ac:dyDescent="0.25">
      <c r="A274" s="403"/>
      <c r="B274" s="408" t="s">
        <v>638</v>
      </c>
      <c r="C274" s="409" t="s">
        <v>17</v>
      </c>
      <c r="D274" s="399">
        <f>469860+20000</f>
        <v>489860</v>
      </c>
      <c r="E274" s="399"/>
      <c r="G274" s="374"/>
      <c r="I274" s="375"/>
    </row>
    <row r="275" spans="1:9" ht="38.25" x14ac:dyDescent="0.25">
      <c r="A275" s="403"/>
      <c r="B275" s="406" t="s">
        <v>639</v>
      </c>
      <c r="C275" s="409" t="s">
        <v>17</v>
      </c>
      <c r="D275" s="399">
        <f>67544+10000</f>
        <v>77544</v>
      </c>
      <c r="E275" s="399"/>
      <c r="G275" s="374"/>
      <c r="I275" s="375"/>
    </row>
    <row r="276" spans="1:9" x14ac:dyDescent="0.25">
      <c r="A276" s="403"/>
      <c r="B276" s="407" t="s">
        <v>640</v>
      </c>
      <c r="C276" s="409" t="s">
        <v>111</v>
      </c>
      <c r="D276" s="399">
        <v>10250</v>
      </c>
      <c r="E276" s="399"/>
      <c r="G276" s="374"/>
      <c r="I276" s="375"/>
    </row>
    <row r="277" spans="1:9" ht="25.5" x14ac:dyDescent="0.25">
      <c r="A277" s="403"/>
      <c r="B277" s="414" t="s">
        <v>641</v>
      </c>
      <c r="C277" s="409" t="s">
        <v>17</v>
      </c>
      <c r="D277" s="399">
        <f>24710+5000</f>
        <v>29710</v>
      </c>
      <c r="E277" s="399"/>
      <c r="G277" s="374"/>
      <c r="I277" s="375"/>
    </row>
    <row r="278" spans="1:9" x14ac:dyDescent="0.25">
      <c r="A278" s="403"/>
      <c r="B278" s="415" t="s">
        <v>642</v>
      </c>
      <c r="C278" s="409" t="s">
        <v>111</v>
      </c>
      <c r="D278" s="399">
        <v>478</v>
      </c>
      <c r="E278" s="399"/>
      <c r="G278" s="374"/>
      <c r="I278" s="375"/>
    </row>
    <row r="279" spans="1:9" x14ac:dyDescent="0.25">
      <c r="B279" s="416" t="s">
        <v>643</v>
      </c>
      <c r="C279" s="98" t="s">
        <v>122</v>
      </c>
      <c r="D279" s="368">
        <v>30196</v>
      </c>
      <c r="E279" s="368">
        <f>734900+20000</f>
        <v>754900</v>
      </c>
      <c r="G279" s="374"/>
      <c r="I279" s="375"/>
    </row>
    <row r="280" spans="1:9" x14ac:dyDescent="0.25">
      <c r="B280" s="400" t="s">
        <v>644</v>
      </c>
      <c r="C280" s="98" t="s">
        <v>17</v>
      </c>
      <c r="D280" s="368">
        <f>757000*1.19+1676*50*1.19</f>
        <v>1000552</v>
      </c>
      <c r="E280" s="368"/>
      <c r="G280" s="374"/>
      <c r="I280" s="375"/>
    </row>
    <row r="281" spans="1:9" ht="30" x14ac:dyDescent="0.25">
      <c r="B281" s="400" t="s">
        <v>645</v>
      </c>
      <c r="C281" s="98" t="s">
        <v>111</v>
      </c>
      <c r="D281" s="368">
        <v>2000</v>
      </c>
      <c r="E281" s="368"/>
      <c r="G281" s="374"/>
      <c r="I281" s="375"/>
    </row>
    <row r="282" spans="1:9" ht="30" x14ac:dyDescent="0.25">
      <c r="B282" s="400" t="s">
        <v>646</v>
      </c>
      <c r="C282" s="98" t="s">
        <v>111</v>
      </c>
      <c r="D282" s="368">
        <v>2750</v>
      </c>
      <c r="E282" s="368"/>
      <c r="G282" s="374">
        <v>296000</v>
      </c>
      <c r="I282" s="375"/>
    </row>
    <row r="283" spans="1:9" x14ac:dyDescent="0.25">
      <c r="B283" s="400" t="s">
        <v>647</v>
      </c>
      <c r="C283" s="98" t="s">
        <v>17</v>
      </c>
      <c r="D283" s="368">
        <v>10500</v>
      </c>
      <c r="E283" s="368"/>
      <c r="G283" s="374">
        <f>+G282*1.19</f>
        <v>352240</v>
      </c>
      <c r="I283" s="375"/>
    </row>
    <row r="284" spans="1:9" x14ac:dyDescent="0.25">
      <c r="B284" s="400" t="s">
        <v>648</v>
      </c>
      <c r="C284" s="98" t="s">
        <v>599</v>
      </c>
      <c r="D284" s="368">
        <v>95000</v>
      </c>
      <c r="E284" s="368"/>
      <c r="G284" s="374"/>
      <c r="I284" s="375"/>
    </row>
    <row r="285" spans="1:9" x14ac:dyDescent="0.25">
      <c r="B285" s="400" t="s">
        <v>649</v>
      </c>
      <c r="C285" s="98" t="s">
        <v>599</v>
      </c>
      <c r="D285" s="368">
        <v>140000</v>
      </c>
      <c r="E285" s="368"/>
      <c r="G285" s="374"/>
      <c r="I285" s="375"/>
    </row>
    <row r="286" spans="1:9" x14ac:dyDescent="0.25">
      <c r="B286" s="400" t="s">
        <v>650</v>
      </c>
      <c r="C286" s="98" t="s">
        <v>599</v>
      </c>
      <c r="D286" s="368">
        <v>168975</v>
      </c>
      <c r="E286" s="368"/>
      <c r="G286" s="374"/>
      <c r="I286" s="375"/>
    </row>
    <row r="287" spans="1:9" x14ac:dyDescent="0.25">
      <c r="B287" s="400" t="s">
        <v>651</v>
      </c>
      <c r="C287" s="98" t="s">
        <v>599</v>
      </c>
      <c r="D287" s="368">
        <v>110000</v>
      </c>
      <c r="E287" s="368"/>
      <c r="G287" s="374"/>
      <c r="I287" s="375"/>
    </row>
    <row r="288" spans="1:9" x14ac:dyDescent="0.25">
      <c r="B288" s="400" t="s">
        <v>652</v>
      </c>
      <c r="C288" s="98" t="s">
        <v>117</v>
      </c>
      <c r="D288" s="368">
        <v>1500</v>
      </c>
      <c r="E288" s="368"/>
      <c r="G288" s="374"/>
      <c r="I288" s="375"/>
    </row>
    <row r="289" spans="2:11" x14ac:dyDescent="0.25">
      <c r="B289" s="400" t="s">
        <v>653</v>
      </c>
      <c r="C289" s="98" t="s">
        <v>110</v>
      </c>
      <c r="D289" s="368">
        <v>146590</v>
      </c>
      <c r="E289" s="368"/>
      <c r="G289" s="374"/>
      <c r="I289" s="375"/>
    </row>
    <row r="290" spans="2:11" x14ac:dyDescent="0.25">
      <c r="B290" s="400" t="s">
        <v>897</v>
      </c>
      <c r="C290" s="98" t="s">
        <v>110</v>
      </c>
      <c r="D290" s="368">
        <f>56000*1.19</f>
        <v>66640</v>
      </c>
      <c r="E290" s="368">
        <f>56000*1.19</f>
        <v>66640</v>
      </c>
      <c r="F290">
        <f>61600*1.19</f>
        <v>73304</v>
      </c>
      <c r="G290" s="374"/>
      <c r="I290" s="375"/>
    </row>
    <row r="291" spans="2:11" x14ac:dyDescent="0.25">
      <c r="B291" s="400" t="s">
        <v>898</v>
      </c>
      <c r="C291" s="98" t="s">
        <v>886</v>
      </c>
      <c r="D291" s="368">
        <v>15000</v>
      </c>
      <c r="E291" s="368"/>
      <c r="G291" s="374"/>
      <c r="I291" s="375"/>
    </row>
    <row r="292" spans="2:11" x14ac:dyDescent="0.25">
      <c r="B292" s="400" t="s">
        <v>654</v>
      </c>
      <c r="C292" s="98" t="s">
        <v>110</v>
      </c>
      <c r="D292" s="368">
        <f>39900+5000</f>
        <v>44900</v>
      </c>
      <c r="E292" s="368"/>
      <c r="G292" s="374"/>
      <c r="I292" s="375"/>
    </row>
    <row r="293" spans="2:11" x14ac:dyDescent="0.25">
      <c r="B293" s="400" t="s">
        <v>655</v>
      </c>
      <c r="C293" s="98" t="s">
        <v>117</v>
      </c>
      <c r="D293" s="368">
        <v>39000</v>
      </c>
      <c r="E293" s="368"/>
      <c r="G293" s="374"/>
      <c r="H293" s="368"/>
      <c r="I293" s="368"/>
      <c r="J293" s="368"/>
      <c r="K293" s="368"/>
    </row>
    <row r="294" spans="2:11" x14ac:dyDescent="0.25">
      <c r="B294" s="417" t="s">
        <v>656</v>
      </c>
      <c r="C294" s="98" t="s">
        <v>110</v>
      </c>
      <c r="D294" s="368">
        <f>1400*1.19+50</f>
        <v>1716</v>
      </c>
      <c r="E294" s="368"/>
      <c r="G294" s="374"/>
      <c r="H294" s="368"/>
      <c r="I294" s="368"/>
      <c r="J294" s="368"/>
      <c r="K294" s="368"/>
    </row>
    <row r="295" spans="2:11" x14ac:dyDescent="0.25">
      <c r="B295" s="400" t="s">
        <v>657</v>
      </c>
      <c r="C295" s="98" t="s">
        <v>658</v>
      </c>
      <c r="D295" s="368">
        <v>50</v>
      </c>
      <c r="E295" s="368"/>
      <c r="G295" s="374"/>
      <c r="H295" s="368"/>
      <c r="I295" s="368"/>
      <c r="J295" s="368"/>
      <c r="K295" s="368"/>
    </row>
    <row r="296" spans="2:11" x14ac:dyDescent="0.25">
      <c r="B296" s="400" t="s">
        <v>659</v>
      </c>
      <c r="C296" s="98" t="s">
        <v>658</v>
      </c>
      <c r="D296" s="368">
        <v>70</v>
      </c>
      <c r="E296" s="368"/>
      <c r="G296" s="374"/>
      <c r="H296" s="368"/>
      <c r="I296" s="368"/>
      <c r="J296" s="368"/>
      <c r="K296" s="368"/>
    </row>
    <row r="297" spans="2:11" x14ac:dyDescent="0.25">
      <c r="B297" s="418" t="s">
        <v>660</v>
      </c>
      <c r="C297" s="98" t="s">
        <v>110</v>
      </c>
      <c r="D297" s="368">
        <v>1656.6</v>
      </c>
      <c r="E297" s="368"/>
      <c r="G297" s="374"/>
      <c r="H297" s="368"/>
      <c r="I297" s="368"/>
      <c r="J297" s="368"/>
      <c r="K297" s="368"/>
    </row>
    <row r="298" spans="2:11" x14ac:dyDescent="0.25">
      <c r="B298" s="418" t="s">
        <v>661</v>
      </c>
      <c r="C298" s="98" t="s">
        <v>110</v>
      </c>
      <c r="D298" s="368">
        <v>1763.7</v>
      </c>
      <c r="E298" s="368"/>
      <c r="G298" s="374"/>
      <c r="H298" s="368"/>
      <c r="I298" s="368"/>
      <c r="J298" s="368"/>
      <c r="K298" s="368"/>
    </row>
    <row r="299" spans="2:11" x14ac:dyDescent="0.25">
      <c r="B299" s="418" t="s">
        <v>662</v>
      </c>
      <c r="C299" s="98" t="s">
        <v>110</v>
      </c>
      <c r="D299" s="368">
        <v>1906.5</v>
      </c>
      <c r="E299" s="368"/>
      <c r="G299" s="374"/>
      <c r="H299" s="368"/>
      <c r="I299" s="368"/>
      <c r="J299" s="368"/>
      <c r="K299" s="368"/>
    </row>
    <row r="300" spans="2:11" x14ac:dyDescent="0.25">
      <c r="B300" s="418" t="s">
        <v>663</v>
      </c>
      <c r="C300" s="98" t="s">
        <v>110</v>
      </c>
      <c r="D300" s="368">
        <v>2049.3000000000002</v>
      </c>
      <c r="E300" s="368"/>
      <c r="G300" s="374"/>
      <c r="H300" s="368"/>
      <c r="I300" s="368"/>
      <c r="J300" s="368"/>
      <c r="K300" s="368"/>
    </row>
    <row r="301" spans="2:11" x14ac:dyDescent="0.25">
      <c r="B301" s="417" t="s">
        <v>664</v>
      </c>
      <c r="C301" s="98" t="s">
        <v>110</v>
      </c>
      <c r="D301" s="368">
        <v>2192.1</v>
      </c>
      <c r="E301" s="368"/>
      <c r="G301" s="374"/>
      <c r="H301" s="368"/>
      <c r="I301" s="368"/>
      <c r="J301" s="368"/>
      <c r="K301" s="368"/>
    </row>
    <row r="302" spans="2:11" x14ac:dyDescent="0.25">
      <c r="B302" s="417" t="s">
        <v>665</v>
      </c>
      <c r="C302" s="98" t="s">
        <v>110</v>
      </c>
      <c r="D302" s="368">
        <v>2513.4</v>
      </c>
      <c r="E302" s="368"/>
      <c r="G302" s="374"/>
      <c r="H302" s="368"/>
      <c r="I302" s="368"/>
      <c r="J302" s="368"/>
      <c r="K302" s="368"/>
    </row>
    <row r="303" spans="2:11" x14ac:dyDescent="0.25">
      <c r="B303" s="417" t="s">
        <v>666</v>
      </c>
      <c r="C303" s="98" t="s">
        <v>110</v>
      </c>
      <c r="D303" s="368">
        <v>3156</v>
      </c>
      <c r="E303" s="368"/>
      <c r="G303" s="374"/>
      <c r="H303" s="368"/>
      <c r="I303" s="368"/>
      <c r="J303" s="368"/>
      <c r="K303" s="368"/>
    </row>
    <row r="304" spans="2:11" x14ac:dyDescent="0.25">
      <c r="B304" s="417" t="s">
        <v>667</v>
      </c>
      <c r="C304" s="98" t="s">
        <v>110</v>
      </c>
      <c r="D304" s="368">
        <v>3655.7999999999997</v>
      </c>
      <c r="E304" s="368"/>
      <c r="G304" s="374"/>
      <c r="H304" s="368"/>
      <c r="I304" s="368"/>
      <c r="J304" s="368"/>
      <c r="K304" s="368"/>
    </row>
    <row r="305" spans="2:11" x14ac:dyDescent="0.25">
      <c r="B305" s="417" t="s">
        <v>668</v>
      </c>
      <c r="C305" s="98" t="s">
        <v>110</v>
      </c>
      <c r="D305" s="368">
        <v>4941</v>
      </c>
      <c r="E305" s="368"/>
      <c r="G305" s="374"/>
      <c r="H305" s="368"/>
      <c r="I305" s="368"/>
      <c r="J305" s="368"/>
      <c r="K305" s="368"/>
    </row>
    <row r="306" spans="2:11" x14ac:dyDescent="0.25">
      <c r="B306" s="417" t="s">
        <v>669</v>
      </c>
      <c r="C306" s="98" t="s">
        <v>110</v>
      </c>
      <c r="D306" s="368">
        <v>4227</v>
      </c>
      <c r="E306" s="368"/>
      <c r="G306" s="374"/>
      <c r="H306" s="368"/>
      <c r="I306" s="368"/>
      <c r="J306" s="368"/>
      <c r="K306" s="368"/>
    </row>
    <row r="307" spans="2:11" x14ac:dyDescent="0.25">
      <c r="B307" s="417" t="s">
        <v>670</v>
      </c>
      <c r="C307" s="98" t="s">
        <v>110</v>
      </c>
      <c r="D307" s="368">
        <v>4798.2</v>
      </c>
      <c r="E307" s="368"/>
      <c r="G307" s="374"/>
      <c r="H307" s="368"/>
      <c r="I307" s="368"/>
      <c r="J307" s="368"/>
      <c r="K307" s="368"/>
    </row>
    <row r="308" spans="2:11" x14ac:dyDescent="0.25">
      <c r="B308" s="417" t="s">
        <v>671</v>
      </c>
      <c r="C308" s="98" t="s">
        <v>110</v>
      </c>
      <c r="D308" s="368">
        <v>5869.2</v>
      </c>
      <c r="E308" s="368"/>
      <c r="G308" s="374"/>
      <c r="H308" s="368"/>
      <c r="I308" s="368"/>
      <c r="J308" s="368"/>
      <c r="K308" s="368"/>
    </row>
    <row r="309" spans="2:11" x14ac:dyDescent="0.25">
      <c r="B309" s="417" t="s">
        <v>672</v>
      </c>
      <c r="C309" s="98" t="s">
        <v>110</v>
      </c>
      <c r="D309" s="368">
        <v>17436</v>
      </c>
      <c r="E309" s="368"/>
      <c r="G309" s="374"/>
      <c r="I309" s="375"/>
    </row>
    <row r="310" spans="2:11" x14ac:dyDescent="0.25">
      <c r="B310" s="417" t="s">
        <v>673</v>
      </c>
      <c r="C310" s="98" t="s">
        <v>110</v>
      </c>
      <c r="D310" s="368">
        <v>19835.039999999997</v>
      </c>
      <c r="E310" s="368"/>
      <c r="G310" s="374"/>
      <c r="I310" s="375"/>
    </row>
    <row r="311" spans="2:11" x14ac:dyDescent="0.25">
      <c r="B311" s="417" t="s">
        <v>674</v>
      </c>
      <c r="C311" s="98" t="s">
        <v>110</v>
      </c>
      <c r="D311" s="368">
        <v>22005.599999999999</v>
      </c>
      <c r="E311" s="368"/>
      <c r="G311" s="374"/>
      <c r="I311" s="375"/>
    </row>
    <row r="312" spans="2:11" x14ac:dyDescent="0.25">
      <c r="B312" s="419" t="s">
        <v>675</v>
      </c>
      <c r="C312" s="98" t="s">
        <v>110</v>
      </c>
      <c r="D312" s="368">
        <v>321.42</v>
      </c>
      <c r="E312" s="368"/>
      <c r="G312" s="374"/>
      <c r="I312" s="375"/>
    </row>
    <row r="313" spans="2:11" x14ac:dyDescent="0.25">
      <c r="B313" s="419"/>
      <c r="C313" s="98" t="s">
        <v>110</v>
      </c>
      <c r="D313" s="368"/>
      <c r="E313" s="368"/>
      <c r="G313" s="374"/>
      <c r="I313" s="375"/>
    </row>
    <row r="314" spans="2:11" x14ac:dyDescent="0.25">
      <c r="B314" s="419"/>
      <c r="C314" s="98" t="s">
        <v>110</v>
      </c>
      <c r="D314" s="368"/>
      <c r="E314" s="368"/>
      <c r="G314" s="374"/>
      <c r="I314" s="375"/>
    </row>
    <row r="315" spans="2:11" x14ac:dyDescent="0.25">
      <c r="B315" s="419" t="s">
        <v>676</v>
      </c>
      <c r="C315" s="98" t="s">
        <v>110</v>
      </c>
      <c r="D315" s="368">
        <f>360*1.19</f>
        <v>428.4</v>
      </c>
      <c r="E315" s="368"/>
      <c r="G315" s="374"/>
      <c r="I315" s="375"/>
    </row>
    <row r="316" spans="2:11" x14ac:dyDescent="0.25">
      <c r="B316" s="418" t="s">
        <v>677</v>
      </c>
      <c r="C316" s="98" t="s">
        <v>110</v>
      </c>
      <c r="D316" s="368">
        <v>442.79999999999995</v>
      </c>
      <c r="E316" s="368"/>
      <c r="G316" s="374"/>
      <c r="I316" s="375"/>
    </row>
    <row r="317" spans="2:11" x14ac:dyDescent="0.25">
      <c r="B317" s="419" t="s">
        <v>678</v>
      </c>
      <c r="C317" s="98" t="s">
        <v>110</v>
      </c>
      <c r="D317" s="368">
        <v>1785</v>
      </c>
      <c r="E317" s="368"/>
      <c r="G317" s="374"/>
      <c r="I317" s="375"/>
    </row>
    <row r="318" spans="2:11" x14ac:dyDescent="0.25">
      <c r="B318" s="419" t="s">
        <v>679</v>
      </c>
      <c r="C318" s="98" t="s">
        <v>110</v>
      </c>
      <c r="D318" s="368">
        <f>120*1.19</f>
        <v>142.79999999999998</v>
      </c>
      <c r="E318" s="368"/>
      <c r="G318" s="374"/>
      <c r="I318" s="375"/>
    </row>
    <row r="319" spans="2:11" x14ac:dyDescent="0.25">
      <c r="B319" s="419" t="s">
        <v>680</v>
      </c>
      <c r="C319" s="98" t="s">
        <v>110</v>
      </c>
      <c r="D319" s="368">
        <v>250</v>
      </c>
      <c r="E319" s="368"/>
      <c r="G319" s="374"/>
      <c r="I319" s="375"/>
    </row>
    <row r="320" spans="2:11" x14ac:dyDescent="0.25">
      <c r="B320" s="419" t="s">
        <v>681</v>
      </c>
      <c r="C320" s="98" t="s">
        <v>110</v>
      </c>
      <c r="D320" s="368">
        <v>599.87999999999988</v>
      </c>
      <c r="E320" s="368"/>
      <c r="G320" s="374"/>
      <c r="I320" s="375"/>
    </row>
    <row r="321" spans="2:9" x14ac:dyDescent="0.25">
      <c r="B321" s="419" t="s">
        <v>682</v>
      </c>
      <c r="C321" s="98" t="s">
        <v>110</v>
      </c>
      <c r="D321" s="368">
        <v>407.1</v>
      </c>
      <c r="E321" s="368"/>
      <c r="G321" s="374"/>
      <c r="I321" s="375"/>
    </row>
    <row r="322" spans="2:9" x14ac:dyDescent="0.25">
      <c r="B322" s="418" t="s">
        <v>683</v>
      </c>
      <c r="C322" s="98" t="s">
        <v>110</v>
      </c>
      <c r="D322" s="368">
        <v>621.29999999999995</v>
      </c>
      <c r="E322" s="368"/>
      <c r="G322" s="374"/>
      <c r="I322" s="375"/>
    </row>
    <row r="323" spans="2:9" x14ac:dyDescent="0.25">
      <c r="B323" s="400" t="s">
        <v>684</v>
      </c>
      <c r="C323" s="98" t="s">
        <v>110</v>
      </c>
      <c r="D323" s="368">
        <v>620</v>
      </c>
      <c r="E323" s="368"/>
      <c r="G323" s="374"/>
      <c r="I323" s="375"/>
    </row>
    <row r="324" spans="2:9" x14ac:dyDescent="0.25">
      <c r="B324" s="400" t="s">
        <v>685</v>
      </c>
      <c r="C324" s="98" t="s">
        <v>110</v>
      </c>
      <c r="D324" s="368">
        <v>2498</v>
      </c>
      <c r="E324" s="368"/>
      <c r="G324" s="374"/>
      <c r="I324" s="375"/>
    </row>
    <row r="325" spans="2:9" x14ac:dyDescent="0.25">
      <c r="B325" s="400" t="s">
        <v>686</v>
      </c>
      <c r="C325" s="98" t="s">
        <v>110</v>
      </c>
      <c r="D325" s="368">
        <v>23200</v>
      </c>
      <c r="E325" s="368"/>
      <c r="G325" s="374"/>
      <c r="I325" s="375"/>
    </row>
    <row r="326" spans="2:9" ht="30" x14ac:dyDescent="0.25">
      <c r="B326" s="400" t="s">
        <v>628</v>
      </c>
      <c r="C326" s="98" t="s">
        <v>122</v>
      </c>
      <c r="D326" s="368">
        <f>428281/20+2000</f>
        <v>23414.05</v>
      </c>
      <c r="E326" s="368"/>
      <c r="G326" s="374"/>
      <c r="I326" s="375"/>
    </row>
    <row r="327" spans="2:9" x14ac:dyDescent="0.25">
      <c r="B327" s="417" t="s">
        <v>687</v>
      </c>
      <c r="C327" s="98" t="s">
        <v>110</v>
      </c>
      <c r="D327" s="368">
        <v>370</v>
      </c>
      <c r="E327" s="368"/>
      <c r="G327" s="374"/>
      <c r="I327" s="375"/>
    </row>
    <row r="328" spans="2:9" x14ac:dyDescent="0.25">
      <c r="B328" s="417" t="s">
        <v>688</v>
      </c>
      <c r="C328" s="98" t="s">
        <v>110</v>
      </c>
      <c r="D328" s="368">
        <f>300*1.19+100</f>
        <v>457</v>
      </c>
      <c r="E328" s="368"/>
      <c r="G328" s="374"/>
      <c r="I328" s="375"/>
    </row>
    <row r="329" spans="2:9" x14ac:dyDescent="0.25">
      <c r="B329" s="420" t="s">
        <v>689</v>
      </c>
      <c r="C329" s="98" t="s">
        <v>110</v>
      </c>
      <c r="D329" s="368">
        <f>250*1.19+100</f>
        <v>397.5</v>
      </c>
      <c r="E329" s="368"/>
      <c r="G329" s="374"/>
      <c r="I329" s="375"/>
    </row>
    <row r="330" spans="2:9" x14ac:dyDescent="0.25">
      <c r="B330" s="421" t="s">
        <v>690</v>
      </c>
      <c r="C330" s="98" t="s">
        <v>110</v>
      </c>
      <c r="D330" s="368">
        <v>95000</v>
      </c>
      <c r="E330" s="368"/>
      <c r="G330" s="374"/>
      <c r="I330" s="375"/>
    </row>
    <row r="331" spans="2:9" x14ac:dyDescent="0.25">
      <c r="B331" s="421" t="s">
        <v>691</v>
      </c>
      <c r="C331" s="98" t="s">
        <v>110</v>
      </c>
      <c r="D331" s="368">
        <v>348</v>
      </c>
      <c r="E331" s="368"/>
      <c r="G331" s="374"/>
      <c r="I331" s="375"/>
    </row>
    <row r="332" spans="2:9" x14ac:dyDescent="0.25">
      <c r="B332" s="421" t="s">
        <v>692</v>
      </c>
      <c r="C332" s="98" t="s">
        <v>110</v>
      </c>
      <c r="D332" s="368">
        <v>520</v>
      </c>
      <c r="E332" s="368"/>
      <c r="G332" s="374"/>
      <c r="I332" s="375"/>
    </row>
    <row r="333" spans="2:9" x14ac:dyDescent="0.25">
      <c r="B333" s="421" t="s">
        <v>693</v>
      </c>
      <c r="C333" s="98" t="s">
        <v>110</v>
      </c>
      <c r="D333" s="368">
        <v>467</v>
      </c>
      <c r="E333" s="368"/>
      <c r="G333" s="374"/>
      <c r="I333" s="375"/>
    </row>
    <row r="334" spans="2:9" x14ac:dyDescent="0.25">
      <c r="B334" s="421" t="s">
        <v>694</v>
      </c>
      <c r="C334" s="98" t="s">
        <v>110</v>
      </c>
      <c r="D334" s="368">
        <v>419</v>
      </c>
      <c r="E334" s="368"/>
      <c r="G334" s="374"/>
      <c r="I334" s="375"/>
    </row>
    <row r="335" spans="2:9" x14ac:dyDescent="0.25">
      <c r="B335" s="421" t="s">
        <v>695</v>
      </c>
      <c r="C335" s="98" t="s">
        <v>110</v>
      </c>
      <c r="D335" s="368">
        <v>336</v>
      </c>
      <c r="E335" s="368"/>
      <c r="G335" s="374"/>
      <c r="I335" s="375"/>
    </row>
    <row r="336" spans="2:9" x14ac:dyDescent="0.25">
      <c r="B336" s="421" t="s">
        <v>696</v>
      </c>
      <c r="C336" s="98" t="s">
        <v>110</v>
      </c>
      <c r="D336" s="368">
        <v>383</v>
      </c>
      <c r="E336" s="368"/>
      <c r="G336" s="374"/>
      <c r="I336" s="375"/>
    </row>
    <row r="337" spans="2:11" x14ac:dyDescent="0.25">
      <c r="B337" s="421" t="s">
        <v>697</v>
      </c>
      <c r="C337" s="98" t="s">
        <v>110</v>
      </c>
      <c r="D337" s="368">
        <v>597</v>
      </c>
      <c r="E337" s="368"/>
      <c r="G337" s="374"/>
      <c r="I337" s="375"/>
    </row>
    <row r="338" spans="2:11" x14ac:dyDescent="0.25">
      <c r="B338" s="421" t="s">
        <v>698</v>
      </c>
      <c r="C338" s="98" t="s">
        <v>110</v>
      </c>
      <c r="D338" s="368">
        <v>538</v>
      </c>
      <c r="E338" s="368"/>
      <c r="G338" s="374"/>
      <c r="I338" s="375"/>
    </row>
    <row r="339" spans="2:11" x14ac:dyDescent="0.25">
      <c r="B339" s="421" t="s">
        <v>699</v>
      </c>
      <c r="C339" s="98" t="s">
        <v>110</v>
      </c>
      <c r="D339" s="368">
        <v>539</v>
      </c>
      <c r="E339" s="368"/>
      <c r="G339" s="374"/>
      <c r="I339" s="375"/>
    </row>
    <row r="340" spans="2:11" x14ac:dyDescent="0.25">
      <c r="B340" s="421" t="s">
        <v>700</v>
      </c>
      <c r="C340" s="98" t="s">
        <v>110</v>
      </c>
      <c r="D340" s="368">
        <v>478</v>
      </c>
      <c r="E340" s="368"/>
      <c r="G340" s="374"/>
      <c r="I340" s="375"/>
    </row>
    <row r="341" spans="2:11" x14ac:dyDescent="0.25">
      <c r="B341" s="421" t="s">
        <v>701</v>
      </c>
      <c r="C341" s="98" t="s">
        <v>110</v>
      </c>
      <c r="D341" s="368">
        <v>907</v>
      </c>
      <c r="E341" s="368"/>
      <c r="G341" s="374"/>
      <c r="I341" s="375"/>
    </row>
    <row r="342" spans="2:11" x14ac:dyDescent="0.25">
      <c r="B342" s="421" t="s">
        <v>702</v>
      </c>
      <c r="C342" s="98" t="s">
        <v>110</v>
      </c>
      <c r="D342" s="368">
        <v>478</v>
      </c>
      <c r="E342" s="368"/>
      <c r="G342" s="374"/>
      <c r="H342" s="368"/>
      <c r="I342" s="368"/>
      <c r="J342" s="368"/>
      <c r="K342" s="368"/>
    </row>
    <row r="343" spans="2:11" x14ac:dyDescent="0.25">
      <c r="B343" s="421" t="s">
        <v>703</v>
      </c>
      <c r="C343" s="98" t="s">
        <v>110</v>
      </c>
      <c r="D343" s="368">
        <v>907</v>
      </c>
      <c r="E343" s="368"/>
      <c r="G343" s="374"/>
      <c r="H343" s="368"/>
      <c r="I343" s="368"/>
      <c r="J343" s="368"/>
      <c r="K343" s="368"/>
    </row>
    <row r="344" spans="2:11" x14ac:dyDescent="0.25">
      <c r="B344" s="400" t="s">
        <v>704</v>
      </c>
      <c r="C344" s="98" t="s">
        <v>110</v>
      </c>
      <c r="D344" s="368">
        <v>392</v>
      </c>
      <c r="E344" s="368"/>
      <c r="G344" s="374"/>
      <c r="H344" s="368"/>
      <c r="I344" s="368"/>
      <c r="J344" s="368"/>
      <c r="K344" s="368"/>
    </row>
    <row r="345" spans="2:11" x14ac:dyDescent="0.25">
      <c r="B345" s="400" t="s">
        <v>705</v>
      </c>
      <c r="C345" s="98" t="s">
        <v>110</v>
      </c>
      <c r="D345" s="368">
        <v>60</v>
      </c>
      <c r="E345" s="368"/>
      <c r="G345" s="374"/>
      <c r="H345" s="368"/>
      <c r="I345" s="368"/>
      <c r="J345" s="368"/>
      <c r="K345" s="368"/>
    </row>
    <row r="346" spans="2:11" x14ac:dyDescent="0.25">
      <c r="B346" s="400" t="s">
        <v>706</v>
      </c>
      <c r="C346" s="98" t="s">
        <v>110</v>
      </c>
      <c r="D346" s="368">
        <v>390</v>
      </c>
      <c r="E346" s="368"/>
      <c r="G346" s="374"/>
      <c r="H346" s="368"/>
      <c r="I346" s="368"/>
      <c r="J346" s="368"/>
      <c r="K346" s="368"/>
    </row>
    <row r="347" spans="2:11" x14ac:dyDescent="0.25">
      <c r="B347" s="400" t="s">
        <v>707</v>
      </c>
      <c r="C347" s="98" t="s">
        <v>17</v>
      </c>
      <c r="D347" s="368">
        <f>38400+5000</f>
        <v>43400</v>
      </c>
      <c r="E347" s="368"/>
      <c r="G347" s="374"/>
      <c r="H347" s="368"/>
      <c r="I347" s="368"/>
      <c r="J347" s="368"/>
      <c r="K347" s="368"/>
    </row>
    <row r="348" spans="2:11" x14ac:dyDescent="0.25">
      <c r="B348" s="400" t="s">
        <v>708</v>
      </c>
      <c r="C348" s="98" t="s">
        <v>17</v>
      </c>
      <c r="D348" s="368">
        <v>5000</v>
      </c>
      <c r="E348" s="368"/>
      <c r="G348" s="374"/>
      <c r="H348" s="368"/>
      <c r="I348" s="368"/>
      <c r="J348" s="368"/>
      <c r="K348" s="368"/>
    </row>
    <row r="349" spans="2:11" x14ac:dyDescent="0.25">
      <c r="B349" s="400" t="s">
        <v>709</v>
      </c>
      <c r="C349" s="98" t="s">
        <v>17</v>
      </c>
      <c r="D349" s="368">
        <v>24790</v>
      </c>
      <c r="E349" s="368"/>
      <c r="G349" s="374"/>
      <c r="H349" s="368"/>
      <c r="I349" s="368"/>
      <c r="J349" s="368"/>
      <c r="K349" s="368"/>
    </row>
    <row r="350" spans="2:11" x14ac:dyDescent="0.25">
      <c r="B350" s="400" t="s">
        <v>710</v>
      </c>
      <c r="C350" s="98" t="s">
        <v>17</v>
      </c>
      <c r="D350" s="368">
        <v>11900</v>
      </c>
      <c r="E350" s="368"/>
      <c r="G350" s="374"/>
      <c r="H350" s="368"/>
      <c r="I350" s="368"/>
      <c r="J350" s="368"/>
      <c r="K350" s="368"/>
    </row>
    <row r="351" spans="2:11" x14ac:dyDescent="0.25">
      <c r="B351" s="400" t="s">
        <v>711</v>
      </c>
      <c r="C351" s="98" t="s">
        <v>17</v>
      </c>
      <c r="D351" s="368">
        <v>55318</v>
      </c>
      <c r="E351" s="368"/>
      <c r="G351" s="374"/>
      <c r="H351" s="368"/>
      <c r="I351" s="368"/>
      <c r="J351" s="368"/>
      <c r="K351" s="368"/>
    </row>
    <row r="352" spans="2:11" x14ac:dyDescent="0.25">
      <c r="B352" s="400" t="s">
        <v>712</v>
      </c>
      <c r="C352" s="98" t="s">
        <v>17</v>
      </c>
      <c r="D352" s="368">
        <v>25849</v>
      </c>
      <c r="E352" s="368"/>
      <c r="G352" s="374"/>
      <c r="H352" s="368"/>
      <c r="I352" s="368"/>
      <c r="J352" s="368"/>
      <c r="K352" s="368"/>
    </row>
    <row r="353" spans="2:11" x14ac:dyDescent="0.25">
      <c r="B353" s="400" t="s">
        <v>713</v>
      </c>
      <c r="C353" s="98" t="s">
        <v>576</v>
      </c>
      <c r="D353" s="368">
        <v>28050</v>
      </c>
      <c r="E353" s="368"/>
      <c r="G353" s="374"/>
      <c r="H353" s="368"/>
      <c r="I353" s="368"/>
      <c r="J353" s="368"/>
      <c r="K353" s="368"/>
    </row>
    <row r="354" spans="2:11" x14ac:dyDescent="0.25">
      <c r="B354" s="400" t="s">
        <v>714</v>
      </c>
      <c r="C354" s="98" t="s">
        <v>576</v>
      </c>
      <c r="D354" s="368">
        <v>27000</v>
      </c>
      <c r="E354" s="368"/>
      <c r="G354" s="374"/>
      <c r="H354" s="368"/>
      <c r="I354" s="368"/>
      <c r="J354" s="368"/>
      <c r="K354" s="368"/>
    </row>
    <row r="355" spans="2:11" x14ac:dyDescent="0.25">
      <c r="B355" s="400" t="s">
        <v>715</v>
      </c>
      <c r="C355" s="98" t="s">
        <v>17</v>
      </c>
      <c r="D355" s="368">
        <v>350000</v>
      </c>
      <c r="E355" s="368"/>
      <c r="G355" s="374"/>
      <c r="H355" s="368"/>
      <c r="I355" s="368"/>
      <c r="J355" s="368"/>
      <c r="K355" s="368"/>
    </row>
    <row r="356" spans="2:11" x14ac:dyDescent="0.25">
      <c r="B356" s="400" t="s">
        <v>716</v>
      </c>
      <c r="C356" s="98" t="s">
        <v>111</v>
      </c>
      <c r="D356" s="368">
        <f>+(22900+500)/6</f>
        <v>3900</v>
      </c>
      <c r="E356" s="368"/>
      <c r="G356" s="374"/>
      <c r="H356" s="368"/>
      <c r="I356" s="368"/>
      <c r="J356" s="368"/>
      <c r="K356" s="368"/>
    </row>
    <row r="357" spans="2:11" x14ac:dyDescent="0.25">
      <c r="B357" s="400" t="s">
        <v>717</v>
      </c>
      <c r="C357" s="98" t="s">
        <v>17</v>
      </c>
      <c r="D357" s="368">
        <v>540</v>
      </c>
      <c r="E357" s="368"/>
      <c r="G357" s="374"/>
      <c r="H357" s="368"/>
      <c r="I357" s="368"/>
      <c r="J357" s="368"/>
      <c r="K357" s="368"/>
    </row>
    <row r="358" spans="2:11" x14ac:dyDescent="0.25">
      <c r="B358" s="400" t="s">
        <v>718</v>
      </c>
      <c r="C358" s="98" t="s">
        <v>17</v>
      </c>
      <c r="D358" s="368">
        <v>784</v>
      </c>
      <c r="E358" s="368"/>
      <c r="G358" s="374"/>
      <c r="H358" s="374"/>
      <c r="I358" s="375"/>
      <c r="J358" s="374"/>
      <c r="K358" s="374"/>
    </row>
    <row r="359" spans="2:11" x14ac:dyDescent="0.25">
      <c r="B359" s="400" t="s">
        <v>719</v>
      </c>
      <c r="C359" s="98" t="s">
        <v>17</v>
      </c>
      <c r="D359" s="368">
        <v>447</v>
      </c>
      <c r="E359" s="368"/>
      <c r="G359" s="374"/>
      <c r="H359" s="374"/>
      <c r="I359" s="375"/>
      <c r="J359" s="374"/>
      <c r="K359" s="374"/>
    </row>
    <row r="360" spans="2:11" x14ac:dyDescent="0.25">
      <c r="B360" s="400" t="s">
        <v>720</v>
      </c>
      <c r="C360" s="98" t="s">
        <v>17</v>
      </c>
      <c r="D360" s="368">
        <v>1050</v>
      </c>
      <c r="E360" s="368"/>
      <c r="G360" s="374"/>
      <c r="H360" s="374"/>
      <c r="I360" s="375"/>
      <c r="J360" s="374"/>
      <c r="K360" s="374"/>
    </row>
    <row r="361" spans="2:11" x14ac:dyDescent="0.25">
      <c r="B361" s="400" t="s">
        <v>526</v>
      </c>
      <c r="C361" s="98" t="s">
        <v>17</v>
      </c>
      <c r="D361" s="368">
        <v>124272</v>
      </c>
      <c r="E361" s="368"/>
      <c r="G361" s="374"/>
      <c r="H361" s="374"/>
      <c r="I361" s="375"/>
      <c r="J361" s="374"/>
      <c r="K361" s="374"/>
    </row>
    <row r="362" spans="2:11" x14ac:dyDescent="0.25">
      <c r="B362" s="400" t="s">
        <v>721</v>
      </c>
      <c r="C362" s="98" t="s">
        <v>17</v>
      </c>
      <c r="D362" s="368">
        <v>59921</v>
      </c>
      <c r="E362" s="368"/>
      <c r="G362" s="374"/>
      <c r="H362" s="374"/>
      <c r="I362" s="375"/>
      <c r="J362" s="374"/>
      <c r="K362" s="374"/>
    </row>
    <row r="363" spans="2:11" x14ac:dyDescent="0.25">
      <c r="B363" s="400" t="s">
        <v>722</v>
      </c>
      <c r="C363" s="98" t="s">
        <v>122</v>
      </c>
      <c r="D363" s="368">
        <v>20000</v>
      </c>
      <c r="E363" s="368"/>
      <c r="G363" s="374"/>
      <c r="H363" s="374"/>
      <c r="I363" s="375"/>
      <c r="J363" s="374"/>
      <c r="K363" s="374"/>
    </row>
    <row r="364" spans="2:11" x14ac:dyDescent="0.25">
      <c r="B364" s="400" t="s">
        <v>723</v>
      </c>
      <c r="C364" s="98" t="s">
        <v>17</v>
      </c>
      <c r="D364" s="368">
        <v>3800</v>
      </c>
      <c r="E364" s="368"/>
      <c r="G364" s="374"/>
      <c r="H364" s="374"/>
      <c r="I364" s="375"/>
      <c r="J364" s="374"/>
      <c r="K364" s="374"/>
    </row>
    <row r="365" spans="2:11" x14ac:dyDescent="0.25">
      <c r="B365" s="400" t="s">
        <v>724</v>
      </c>
      <c r="C365" s="98" t="s">
        <v>111</v>
      </c>
      <c r="D365" s="368">
        <v>6500</v>
      </c>
      <c r="E365" s="368"/>
      <c r="G365" s="374"/>
      <c r="H365" s="374"/>
      <c r="I365" s="375"/>
      <c r="J365" s="374"/>
      <c r="K365" s="374"/>
    </row>
    <row r="366" spans="2:11" x14ac:dyDescent="0.25">
      <c r="B366" s="400" t="s">
        <v>725</v>
      </c>
      <c r="C366" s="98" t="s">
        <v>17</v>
      </c>
      <c r="D366" s="368">
        <v>5400</v>
      </c>
      <c r="E366" s="368"/>
      <c r="G366" s="374"/>
      <c r="H366" s="374"/>
      <c r="I366" s="375"/>
      <c r="J366" s="374"/>
      <c r="K366" s="374"/>
    </row>
    <row r="367" spans="2:11" x14ac:dyDescent="0.25">
      <c r="B367" s="400" t="s">
        <v>726</v>
      </c>
      <c r="C367" s="98" t="s">
        <v>110</v>
      </c>
      <c r="D367" s="368">
        <v>30900</v>
      </c>
      <c r="E367" s="368"/>
      <c r="G367" s="374"/>
      <c r="H367" s="374"/>
      <c r="I367" s="375"/>
      <c r="J367" s="374"/>
      <c r="K367" s="374"/>
    </row>
    <row r="368" spans="2:11" x14ac:dyDescent="0.25">
      <c r="B368" s="400" t="s">
        <v>727</v>
      </c>
      <c r="C368" s="98" t="s">
        <v>110</v>
      </c>
      <c r="D368" s="368">
        <v>23712</v>
      </c>
      <c r="E368" s="368"/>
      <c r="G368" s="374"/>
      <c r="H368" s="374"/>
      <c r="I368" s="375"/>
      <c r="J368" s="374"/>
      <c r="K368" s="374"/>
    </row>
    <row r="369" spans="2:11" x14ac:dyDescent="0.25">
      <c r="B369" s="400" t="s">
        <v>728</v>
      </c>
      <c r="C369" s="98" t="s">
        <v>117</v>
      </c>
      <c r="D369" s="422">
        <v>55314</v>
      </c>
      <c r="E369" s="368"/>
      <c r="G369" s="374"/>
      <c r="H369" s="374"/>
      <c r="I369" s="375"/>
      <c r="J369" s="374"/>
      <c r="K369" s="374"/>
    </row>
    <row r="370" spans="2:11" x14ac:dyDescent="0.25">
      <c r="B370" s="400" t="s">
        <v>729</v>
      </c>
      <c r="C370" s="98" t="s">
        <v>17</v>
      </c>
      <c r="D370" s="368">
        <v>18900</v>
      </c>
      <c r="E370" s="368"/>
      <c r="G370" s="374"/>
      <c r="H370" s="374"/>
      <c r="I370" s="375"/>
      <c r="J370" s="374"/>
      <c r="K370" s="374"/>
    </row>
    <row r="371" spans="2:11" x14ac:dyDescent="0.25">
      <c r="B371" s="400" t="s">
        <v>730</v>
      </c>
      <c r="C371" s="98" t="s">
        <v>17</v>
      </c>
      <c r="D371" s="368">
        <f>266846+10000</f>
        <v>276846</v>
      </c>
      <c r="E371" s="368"/>
      <c r="G371" s="374"/>
      <c r="H371" s="374"/>
      <c r="I371" s="375"/>
      <c r="J371" s="374"/>
      <c r="K371" s="374"/>
    </row>
    <row r="372" spans="2:11" x14ac:dyDescent="0.25">
      <c r="B372" s="400" t="s">
        <v>731</v>
      </c>
      <c r="C372" s="98" t="s">
        <v>17</v>
      </c>
      <c r="D372" s="368">
        <f>78826+15000</f>
        <v>93826</v>
      </c>
      <c r="E372" s="368"/>
      <c r="G372" s="374"/>
      <c r="H372" s="374"/>
      <c r="I372" s="375"/>
      <c r="J372" s="374"/>
      <c r="K372" s="374"/>
    </row>
    <row r="373" spans="2:11" x14ac:dyDescent="0.25">
      <c r="B373" s="374" t="s">
        <v>732</v>
      </c>
      <c r="C373" s="98" t="s">
        <v>110</v>
      </c>
      <c r="D373" s="368">
        <v>15000</v>
      </c>
      <c r="E373" s="368"/>
      <c r="G373" s="374"/>
      <c r="H373" s="374"/>
      <c r="I373" s="375"/>
      <c r="J373" s="374"/>
      <c r="K373" s="374"/>
    </row>
    <row r="374" spans="2:11" ht="30" x14ac:dyDescent="0.25">
      <c r="B374" s="400" t="s">
        <v>733</v>
      </c>
      <c r="C374" s="98" t="s">
        <v>17</v>
      </c>
      <c r="D374" s="368">
        <v>285955</v>
      </c>
      <c r="E374" s="368"/>
      <c r="G374" s="374"/>
      <c r="H374" s="374"/>
      <c r="I374" s="375"/>
      <c r="J374" s="374"/>
      <c r="K374" s="374"/>
    </row>
    <row r="375" spans="2:11" x14ac:dyDescent="0.25">
      <c r="B375" s="400" t="s">
        <v>734</v>
      </c>
      <c r="C375" s="98" t="s">
        <v>17</v>
      </c>
      <c r="D375" s="368">
        <v>800</v>
      </c>
      <c r="E375" s="368"/>
      <c r="G375" s="374"/>
      <c r="H375" s="374"/>
      <c r="I375" s="375"/>
      <c r="J375" s="374"/>
      <c r="K375" s="374"/>
    </row>
    <row r="376" spans="2:11" x14ac:dyDescent="0.25">
      <c r="B376" s="400" t="s">
        <v>735</v>
      </c>
      <c r="C376" s="98" t="s">
        <v>110</v>
      </c>
      <c r="D376" s="368">
        <v>52000</v>
      </c>
      <c r="E376" s="368"/>
      <c r="G376" s="374"/>
      <c r="H376" s="374"/>
      <c r="I376" s="375"/>
      <c r="J376" s="374"/>
      <c r="K376" s="374"/>
    </row>
    <row r="377" spans="2:11" x14ac:dyDescent="0.25">
      <c r="B377" s="400" t="s">
        <v>736</v>
      </c>
      <c r="C377" s="98" t="s">
        <v>17</v>
      </c>
      <c r="D377" s="368">
        <v>15000</v>
      </c>
      <c r="E377" s="368"/>
      <c r="G377" s="374"/>
      <c r="H377" s="374"/>
      <c r="I377" s="375"/>
      <c r="J377" s="374"/>
      <c r="K377" s="374"/>
    </row>
    <row r="378" spans="2:11" x14ac:dyDescent="0.25">
      <c r="B378" s="423" t="s">
        <v>737</v>
      </c>
      <c r="C378" s="98" t="s">
        <v>17</v>
      </c>
      <c r="D378" s="368">
        <f>106832+10000</f>
        <v>116832</v>
      </c>
      <c r="E378" s="368">
        <v>2596266.6666666642</v>
      </c>
      <c r="G378" s="374"/>
      <c r="H378" s="374"/>
      <c r="I378" s="375"/>
      <c r="J378" s="374"/>
      <c r="K378" s="374"/>
    </row>
    <row r="379" spans="2:11" x14ac:dyDescent="0.25">
      <c r="B379" s="424" t="s">
        <v>738</v>
      </c>
      <c r="C379" s="98" t="s">
        <v>111</v>
      </c>
      <c r="D379" s="425">
        <f>+(7400+800*5)*1.19</f>
        <v>13566</v>
      </c>
      <c r="E379" s="368">
        <v>14756</v>
      </c>
      <c r="F379" s="281" t="s">
        <v>739</v>
      </c>
      <c r="G379" s="374">
        <f>+(7400+800*7)*1.19</f>
        <v>15470</v>
      </c>
      <c r="I379" s="375"/>
    </row>
    <row r="380" spans="2:11" x14ac:dyDescent="0.25">
      <c r="B380" s="400" t="s">
        <v>740</v>
      </c>
      <c r="C380" s="98" t="s">
        <v>741</v>
      </c>
      <c r="D380" s="368">
        <f>E380*1.19+$F$380</f>
        <v>429.54999999999995</v>
      </c>
      <c r="E380" s="368">
        <v>345</v>
      </c>
      <c r="F380">
        <f>ROUND(80000*2/138/60,0)</f>
        <v>19</v>
      </c>
      <c r="G380" s="374">
        <v>12</v>
      </c>
      <c r="I380" s="375"/>
    </row>
    <row r="381" spans="2:11" x14ac:dyDescent="0.25">
      <c r="B381" s="400" t="s">
        <v>742</v>
      </c>
      <c r="C381" s="98" t="s">
        <v>741</v>
      </c>
      <c r="D381" s="368">
        <f t="shared" ref="D381:D389" si="0">E381*1.19+$F$380</f>
        <v>552.12</v>
      </c>
      <c r="E381" s="368">
        <v>448</v>
      </c>
      <c r="G381" s="374">
        <v>12</v>
      </c>
      <c r="I381" s="375"/>
    </row>
    <row r="382" spans="2:11" x14ac:dyDescent="0.25">
      <c r="B382" s="400" t="s">
        <v>743</v>
      </c>
      <c r="C382" s="98" t="s">
        <v>741</v>
      </c>
      <c r="D382" s="368">
        <f t="shared" si="0"/>
        <v>2535.85</v>
      </c>
      <c r="E382" s="368">
        <v>2115</v>
      </c>
      <c r="G382" s="374">
        <v>3</v>
      </c>
      <c r="I382" s="375"/>
    </row>
    <row r="383" spans="2:11" x14ac:dyDescent="0.25">
      <c r="B383" s="400" t="s">
        <v>744</v>
      </c>
      <c r="C383" s="98" t="s">
        <v>741</v>
      </c>
      <c r="D383" s="368">
        <f t="shared" si="0"/>
        <v>318.88</v>
      </c>
      <c r="E383" s="368">
        <v>252</v>
      </c>
      <c r="G383" s="374">
        <v>6</v>
      </c>
      <c r="I383" s="375"/>
    </row>
    <row r="384" spans="2:11" x14ac:dyDescent="0.25">
      <c r="B384" s="400" t="s">
        <v>745</v>
      </c>
      <c r="C384" s="98" t="s">
        <v>741</v>
      </c>
      <c r="D384" s="368">
        <f t="shared" si="0"/>
        <v>402.18</v>
      </c>
      <c r="E384" s="368">
        <v>322</v>
      </c>
      <c r="G384" s="374">
        <v>24</v>
      </c>
      <c r="I384" s="375"/>
    </row>
    <row r="385" spans="2:11" x14ac:dyDescent="0.25">
      <c r="B385" s="400" t="s">
        <v>746</v>
      </c>
      <c r="C385" s="98" t="s">
        <v>741</v>
      </c>
      <c r="D385" s="368">
        <f t="shared" si="0"/>
        <v>604.48</v>
      </c>
      <c r="E385" s="368">
        <v>492</v>
      </c>
      <c r="G385" s="374">
        <v>24</v>
      </c>
      <c r="I385" s="375"/>
    </row>
    <row r="386" spans="2:11" x14ac:dyDescent="0.25">
      <c r="B386" s="400" t="s">
        <v>747</v>
      </c>
      <c r="C386" s="98" t="s">
        <v>741</v>
      </c>
      <c r="D386" s="368">
        <f t="shared" si="0"/>
        <v>1625.5</v>
      </c>
      <c r="E386" s="368">
        <v>1350</v>
      </c>
      <c r="G386" s="374">
        <v>9</v>
      </c>
      <c r="I386" s="375"/>
    </row>
    <row r="387" spans="2:11" x14ac:dyDescent="0.25">
      <c r="B387" s="400" t="s">
        <v>748</v>
      </c>
      <c r="C387" s="98" t="s">
        <v>741</v>
      </c>
      <c r="D387" s="368">
        <f t="shared" si="0"/>
        <v>334.34999999999997</v>
      </c>
      <c r="E387" s="368">
        <v>265</v>
      </c>
      <c r="G387" s="374">
        <v>12</v>
      </c>
      <c r="I387" s="375"/>
    </row>
    <row r="388" spans="2:11" x14ac:dyDescent="0.25">
      <c r="B388" s="400" t="s">
        <v>749</v>
      </c>
      <c r="C388" s="98" t="s">
        <v>741</v>
      </c>
      <c r="D388" s="368">
        <f t="shared" si="0"/>
        <v>458.10999999999996</v>
      </c>
      <c r="E388" s="368">
        <v>369</v>
      </c>
      <c r="G388" s="374">
        <v>24</v>
      </c>
      <c r="I388" s="375"/>
    </row>
    <row r="389" spans="2:11" x14ac:dyDescent="0.25">
      <c r="B389" s="400" t="s">
        <v>750</v>
      </c>
      <c r="C389" s="98" t="s">
        <v>741</v>
      </c>
      <c r="D389" s="368">
        <f t="shared" si="0"/>
        <v>201.07</v>
      </c>
      <c r="E389" s="368">
        <v>153</v>
      </c>
      <c r="G389" s="374">
        <v>12</v>
      </c>
      <c r="I389" s="375"/>
    </row>
    <row r="390" spans="2:11" x14ac:dyDescent="0.25">
      <c r="B390" s="400" t="s">
        <v>751</v>
      </c>
      <c r="C390" s="98"/>
      <c r="D390" s="368">
        <f>+(367900+50000)/(10*1.8)</f>
        <v>23216.666666666668</v>
      </c>
      <c r="E390" s="368"/>
      <c r="G390" s="374">
        <f>SUM(G380:G389)</f>
        <v>138</v>
      </c>
      <c r="I390" s="375"/>
    </row>
    <row r="391" spans="2:11" ht="25.5" x14ac:dyDescent="0.25">
      <c r="B391" s="406" t="s">
        <v>752</v>
      </c>
      <c r="C391" s="98" t="s">
        <v>111</v>
      </c>
      <c r="D391" s="368">
        <f>+E391/6</f>
        <v>29616.666666666668</v>
      </c>
      <c r="E391" s="368">
        <f>167700+10000</f>
        <v>177700</v>
      </c>
      <c r="G391" s="374"/>
      <c r="I391" s="375"/>
    </row>
    <row r="392" spans="2:11" x14ac:dyDescent="0.25">
      <c r="B392" s="406" t="s">
        <v>753</v>
      </c>
      <c r="C392" s="98" t="s">
        <v>115</v>
      </c>
      <c r="D392" s="368">
        <f>+E392+5000</f>
        <v>34304.1</v>
      </c>
      <c r="E392" s="368">
        <f>879123/(1.5*20)</f>
        <v>29304.1</v>
      </c>
      <c r="G392" s="374"/>
      <c r="I392" s="375"/>
    </row>
    <row r="393" spans="2:11" x14ac:dyDescent="0.25">
      <c r="B393" s="406" t="s">
        <v>754</v>
      </c>
      <c r="C393" s="98" t="s">
        <v>111</v>
      </c>
      <c r="D393" s="368">
        <f>(67400+10000)/6</f>
        <v>12900</v>
      </c>
      <c r="E393" s="368"/>
      <c r="G393" s="374"/>
      <c r="I393" s="375"/>
    </row>
    <row r="394" spans="2:11" x14ac:dyDescent="0.25">
      <c r="B394" s="406" t="s">
        <v>755</v>
      </c>
      <c r="C394" s="98" t="s">
        <v>122</v>
      </c>
      <c r="D394" s="368">
        <f>E394/5</f>
        <v>21780</v>
      </c>
      <c r="E394" s="368">
        <f>103900+5000</f>
        <v>108900</v>
      </c>
      <c r="G394" s="374"/>
      <c r="I394" s="375"/>
    </row>
    <row r="395" spans="2:11" x14ac:dyDescent="0.25">
      <c r="B395" s="406" t="s">
        <v>756</v>
      </c>
      <c r="C395" s="98" t="s">
        <v>17</v>
      </c>
      <c r="D395" s="368">
        <v>12000</v>
      </c>
      <c r="E395" s="368"/>
      <c r="G395" s="374"/>
      <c r="H395" s="368"/>
      <c r="I395" s="368"/>
      <c r="J395" s="368"/>
      <c r="K395" s="368"/>
    </row>
    <row r="396" spans="2:11" x14ac:dyDescent="0.25">
      <c r="B396" s="406" t="s">
        <v>757</v>
      </c>
      <c r="C396" s="98" t="s">
        <v>122</v>
      </c>
      <c r="D396" s="368">
        <v>12500</v>
      </c>
      <c r="E396" s="368"/>
      <c r="G396" s="374"/>
      <c r="H396" s="368"/>
      <c r="I396" s="368"/>
      <c r="J396" s="368"/>
      <c r="K396" s="368"/>
    </row>
    <row r="397" spans="2:11" x14ac:dyDescent="0.25">
      <c r="B397" s="406" t="s">
        <v>758</v>
      </c>
      <c r="C397" s="98" t="s">
        <v>759</v>
      </c>
      <c r="D397" s="368">
        <f>133900+10000</f>
        <v>143900</v>
      </c>
      <c r="E397" s="368"/>
      <c r="G397" s="374"/>
      <c r="H397" s="368"/>
      <c r="I397" s="368"/>
      <c r="J397" s="368"/>
      <c r="K397" s="368"/>
    </row>
    <row r="398" spans="2:11" ht="25.5" x14ac:dyDescent="0.25">
      <c r="B398" s="406" t="s">
        <v>760</v>
      </c>
      <c r="C398" s="98" t="s">
        <v>759</v>
      </c>
      <c r="D398" s="368">
        <f>58900+10000</f>
        <v>68900</v>
      </c>
      <c r="E398" s="368"/>
      <c r="G398" s="374"/>
      <c r="H398" s="368"/>
      <c r="I398" s="368"/>
      <c r="J398" s="368"/>
      <c r="K398" s="368"/>
    </row>
    <row r="399" spans="2:11" x14ac:dyDescent="0.25">
      <c r="B399" s="406" t="s">
        <v>761</v>
      </c>
      <c r="C399" s="98" t="s">
        <v>759</v>
      </c>
      <c r="D399" s="368">
        <f>127500+10000</f>
        <v>137500</v>
      </c>
      <c r="E399" s="368"/>
      <c r="G399" s="374"/>
      <c r="H399" s="368"/>
      <c r="I399" s="368"/>
      <c r="J399" s="368"/>
      <c r="K399" s="368"/>
    </row>
    <row r="400" spans="2:11" x14ac:dyDescent="0.25">
      <c r="B400" s="406" t="s">
        <v>762</v>
      </c>
      <c r="C400" s="98" t="s">
        <v>759</v>
      </c>
      <c r="D400" s="368">
        <v>58900</v>
      </c>
      <c r="E400" s="368"/>
      <c r="G400" s="374"/>
      <c r="H400" s="368"/>
      <c r="I400" s="368"/>
      <c r="J400" s="368"/>
      <c r="K400" s="368"/>
    </row>
    <row r="401" spans="2:11" x14ac:dyDescent="0.25">
      <c r="B401" s="406" t="s">
        <v>763</v>
      </c>
      <c r="C401" s="98" t="s">
        <v>759</v>
      </c>
      <c r="D401" s="368">
        <f>96500+10000</f>
        <v>106500</v>
      </c>
      <c r="E401" s="368"/>
      <c r="G401" s="374"/>
      <c r="H401" s="368"/>
      <c r="I401" s="368"/>
      <c r="J401" s="368"/>
      <c r="K401" s="368"/>
    </row>
    <row r="402" spans="2:11" x14ac:dyDescent="0.25">
      <c r="B402" s="407" t="s">
        <v>887</v>
      </c>
      <c r="C402" s="98" t="s">
        <v>886</v>
      </c>
      <c r="D402" s="368">
        <f>74900+10000</f>
        <v>84900</v>
      </c>
      <c r="E402" s="368"/>
      <c r="G402" s="374"/>
      <c r="H402" s="368"/>
      <c r="I402" s="368"/>
      <c r="J402" s="368"/>
      <c r="K402" s="368"/>
    </row>
    <row r="403" spans="2:11" x14ac:dyDescent="0.25">
      <c r="B403" s="400" t="s">
        <v>764</v>
      </c>
      <c r="C403" s="98" t="s">
        <v>111</v>
      </c>
      <c r="D403" s="368">
        <f>9000*0.56</f>
        <v>5040.0000000000009</v>
      </c>
      <c r="E403" s="368"/>
      <c r="G403" s="374"/>
      <c r="H403" s="368"/>
      <c r="I403" s="368"/>
      <c r="J403" s="368"/>
      <c r="K403" s="368"/>
    </row>
    <row r="404" spans="2:11" x14ac:dyDescent="0.25">
      <c r="B404" s="406" t="s">
        <v>765</v>
      </c>
      <c r="C404" s="98" t="s">
        <v>111</v>
      </c>
      <c r="D404" s="368">
        <f>8100</f>
        <v>8100</v>
      </c>
      <c r="E404" s="368"/>
      <c r="G404" s="374"/>
      <c r="H404" s="368"/>
      <c r="I404" s="368"/>
      <c r="J404" s="368"/>
      <c r="K404" s="368"/>
    </row>
    <row r="405" spans="2:11" x14ac:dyDescent="0.25">
      <c r="B405" s="406" t="s">
        <v>766</v>
      </c>
      <c r="C405" s="426" t="s">
        <v>110</v>
      </c>
      <c r="D405" s="427">
        <v>82500</v>
      </c>
      <c r="E405" s="368"/>
      <c r="G405" s="374"/>
      <c r="H405" s="368"/>
      <c r="I405" s="368"/>
      <c r="J405" s="368"/>
      <c r="K405" s="368"/>
    </row>
    <row r="406" spans="2:11" x14ac:dyDescent="0.25">
      <c r="B406" s="406" t="s">
        <v>767</v>
      </c>
      <c r="C406" s="98" t="s">
        <v>111</v>
      </c>
      <c r="D406" s="368"/>
      <c r="E406" s="368"/>
      <c r="G406" s="374"/>
      <c r="I406" s="375"/>
    </row>
    <row r="407" spans="2:11" x14ac:dyDescent="0.25">
      <c r="B407" t="s">
        <v>768</v>
      </c>
      <c r="C407" s="98" t="s">
        <v>769</v>
      </c>
      <c r="D407" s="368">
        <v>245140</v>
      </c>
      <c r="E407" s="368"/>
      <c r="G407" s="374"/>
      <c r="I407" s="375"/>
    </row>
    <row r="408" spans="2:11" x14ac:dyDescent="0.25">
      <c r="B408" t="s">
        <v>770</v>
      </c>
      <c r="C408" s="98" t="s">
        <v>769</v>
      </c>
      <c r="D408" s="368">
        <v>278460</v>
      </c>
      <c r="E408" s="368"/>
      <c r="G408" s="374"/>
      <c r="I408" s="375"/>
    </row>
    <row r="409" spans="2:11" x14ac:dyDescent="0.25">
      <c r="B409" t="s">
        <v>771</v>
      </c>
      <c r="C409" s="98" t="s">
        <v>769</v>
      </c>
      <c r="D409" s="368">
        <v>332010</v>
      </c>
      <c r="E409" s="368"/>
      <c r="G409" s="374"/>
      <c r="I409" s="375"/>
    </row>
    <row r="410" spans="2:11" x14ac:dyDescent="0.25">
      <c r="B410" t="s">
        <v>772</v>
      </c>
      <c r="C410" s="98" t="s">
        <v>769</v>
      </c>
      <c r="D410" s="368">
        <f>345200+72000*2.4*1.2</f>
        <v>552560</v>
      </c>
      <c r="E410" s="368"/>
      <c r="G410" s="374"/>
      <c r="I410" s="375"/>
    </row>
    <row r="411" spans="2:11" x14ac:dyDescent="0.25">
      <c r="B411" t="s">
        <v>773</v>
      </c>
      <c r="C411" s="98" t="s">
        <v>769</v>
      </c>
      <c r="D411" s="368">
        <v>358190</v>
      </c>
      <c r="E411" s="368"/>
      <c r="G411" s="374"/>
      <c r="I411" s="375"/>
    </row>
    <row r="412" spans="2:11" x14ac:dyDescent="0.25">
      <c r="B412" t="s">
        <v>774</v>
      </c>
      <c r="C412" s="98" t="s">
        <v>769</v>
      </c>
      <c r="D412" s="368">
        <v>332010</v>
      </c>
      <c r="E412" s="368"/>
      <c r="G412" s="374"/>
      <c r="I412" s="375"/>
    </row>
    <row r="413" spans="2:11" x14ac:dyDescent="0.25">
      <c r="B413" t="s">
        <v>775</v>
      </c>
      <c r="C413" s="98" t="s">
        <v>769</v>
      </c>
      <c r="D413" s="368">
        <v>334390</v>
      </c>
      <c r="E413" s="368"/>
      <c r="G413" s="374"/>
      <c r="I413" s="375"/>
    </row>
    <row r="414" spans="2:11" x14ac:dyDescent="0.25">
      <c r="B414" t="s">
        <v>776</v>
      </c>
      <c r="C414" s="98" t="s">
        <v>769</v>
      </c>
      <c r="D414" s="368">
        <v>317730</v>
      </c>
      <c r="E414" s="368"/>
      <c r="G414" s="374"/>
      <c r="I414" s="375"/>
    </row>
    <row r="415" spans="2:11" x14ac:dyDescent="0.25">
      <c r="B415" t="s">
        <v>777</v>
      </c>
      <c r="C415" s="98" t="s">
        <v>769</v>
      </c>
      <c r="D415" s="368">
        <v>328440</v>
      </c>
      <c r="E415" s="368"/>
      <c r="G415" s="374"/>
      <c r="I415" s="375"/>
    </row>
    <row r="416" spans="2:11" x14ac:dyDescent="0.25">
      <c r="B416" t="s">
        <v>778</v>
      </c>
      <c r="C416" s="98" t="s">
        <v>769</v>
      </c>
      <c r="D416" s="368">
        <v>426020</v>
      </c>
      <c r="E416" s="368"/>
      <c r="G416" s="374"/>
      <c r="I416" s="375"/>
    </row>
    <row r="417" spans="2:9" x14ac:dyDescent="0.25">
      <c r="B417" t="s">
        <v>779</v>
      </c>
      <c r="C417" s="98" t="s">
        <v>769</v>
      </c>
      <c r="D417" s="368">
        <v>422450</v>
      </c>
      <c r="E417" s="368"/>
      <c r="G417" s="374"/>
      <c r="I417" s="375"/>
    </row>
    <row r="418" spans="2:9" x14ac:dyDescent="0.25">
      <c r="B418" t="s">
        <v>780</v>
      </c>
      <c r="C418" s="98" t="s">
        <v>769</v>
      </c>
      <c r="D418" s="368">
        <v>484925</v>
      </c>
      <c r="E418" s="368"/>
      <c r="G418" s="374"/>
      <c r="I418" s="375"/>
    </row>
    <row r="419" spans="2:9" x14ac:dyDescent="0.25">
      <c r="B419" t="s">
        <v>781</v>
      </c>
      <c r="C419" s="98" t="s">
        <v>769</v>
      </c>
      <c r="D419" s="368">
        <v>428400</v>
      </c>
      <c r="E419" s="368"/>
      <c r="G419" s="374"/>
      <c r="I419" s="375"/>
    </row>
    <row r="420" spans="2:9" x14ac:dyDescent="0.25">
      <c r="B420" t="s">
        <v>782</v>
      </c>
      <c r="C420" s="98" t="s">
        <v>769</v>
      </c>
      <c r="D420" s="368">
        <v>433160</v>
      </c>
      <c r="E420" s="368"/>
      <c r="G420" s="374"/>
      <c r="I420" s="375"/>
    </row>
    <row r="421" spans="2:9" x14ac:dyDescent="0.25">
      <c r="B421" t="s">
        <v>783</v>
      </c>
      <c r="C421" s="98" t="s">
        <v>769</v>
      </c>
      <c r="D421" s="368">
        <v>436730</v>
      </c>
      <c r="E421" s="368"/>
      <c r="G421" s="374"/>
      <c r="I421" s="375"/>
    </row>
    <row r="422" spans="2:9" x14ac:dyDescent="0.25">
      <c r="B422" t="s">
        <v>784</v>
      </c>
      <c r="C422" s="98" t="s">
        <v>769</v>
      </c>
      <c r="D422" s="368">
        <v>439110</v>
      </c>
      <c r="E422" s="368"/>
      <c r="G422" s="374"/>
      <c r="I422" s="375"/>
    </row>
    <row r="423" spans="2:9" x14ac:dyDescent="0.25">
      <c r="B423" t="s">
        <v>785</v>
      </c>
      <c r="C423" s="98" t="s">
        <v>769</v>
      </c>
      <c r="D423" s="368">
        <v>441490</v>
      </c>
      <c r="E423" s="368"/>
      <c r="G423" s="374"/>
      <c r="I423" s="375"/>
    </row>
    <row r="424" spans="2:9" x14ac:dyDescent="0.25">
      <c r="B424" t="s">
        <v>786</v>
      </c>
      <c r="C424" s="98" t="s">
        <v>769</v>
      </c>
      <c r="D424" s="368">
        <v>437920</v>
      </c>
      <c r="E424" s="368"/>
      <c r="G424" s="374"/>
      <c r="I424" s="375"/>
    </row>
    <row r="425" spans="2:9" x14ac:dyDescent="0.25">
      <c r="B425" t="s">
        <v>787</v>
      </c>
      <c r="C425" s="98" t="s">
        <v>769</v>
      </c>
      <c r="D425" s="368">
        <v>537880</v>
      </c>
      <c r="E425" s="368"/>
      <c r="G425" s="374"/>
      <c r="I425" s="375"/>
    </row>
    <row r="426" spans="2:9" x14ac:dyDescent="0.25">
      <c r="B426" t="s">
        <v>1017</v>
      </c>
      <c r="C426" s="98"/>
      <c r="D426" s="368">
        <f>3200*1.19+500</f>
        <v>4308</v>
      </c>
      <c r="E426" s="368"/>
      <c r="G426" s="374"/>
      <c r="I426" s="375"/>
    </row>
    <row r="427" spans="2:9" x14ac:dyDescent="0.25">
      <c r="B427" t="s">
        <v>788</v>
      </c>
      <c r="C427" s="98" t="s">
        <v>117</v>
      </c>
      <c r="D427" s="368">
        <v>65000</v>
      </c>
      <c r="E427" s="368"/>
      <c r="G427" s="374"/>
      <c r="I427" s="375"/>
    </row>
    <row r="428" spans="2:9" x14ac:dyDescent="0.25">
      <c r="B428" t="s">
        <v>789</v>
      </c>
      <c r="C428" s="98" t="s">
        <v>110</v>
      </c>
      <c r="D428" s="368">
        <v>75000</v>
      </c>
      <c r="E428" s="368"/>
      <c r="G428" s="374"/>
      <c r="I428" s="375"/>
    </row>
    <row r="429" spans="2:9" x14ac:dyDescent="0.25">
      <c r="B429" t="s">
        <v>790</v>
      </c>
      <c r="C429" s="98" t="s">
        <v>117</v>
      </c>
      <c r="D429" s="368">
        <v>3900</v>
      </c>
      <c r="E429" s="368"/>
      <c r="G429" s="374"/>
      <c r="I429" s="375"/>
    </row>
    <row r="430" spans="2:9" x14ac:dyDescent="0.25">
      <c r="B430" t="s">
        <v>791</v>
      </c>
      <c r="C430" s="98" t="s">
        <v>110</v>
      </c>
      <c r="D430" s="368">
        <v>110000</v>
      </c>
      <c r="E430" s="368"/>
      <c r="G430" s="374"/>
      <c r="I430" s="375"/>
    </row>
    <row r="431" spans="2:9" x14ac:dyDescent="0.25">
      <c r="B431" t="s">
        <v>792</v>
      </c>
      <c r="C431" s="98" t="s">
        <v>110</v>
      </c>
      <c r="D431" s="368">
        <v>75000</v>
      </c>
      <c r="E431" s="368"/>
      <c r="G431" s="374"/>
      <c r="I431" s="375"/>
    </row>
    <row r="432" spans="2:9" x14ac:dyDescent="0.25">
      <c r="B432" s="400" t="s">
        <v>793</v>
      </c>
      <c r="C432" s="98" t="s">
        <v>110</v>
      </c>
      <c r="D432" s="368">
        <v>155000</v>
      </c>
      <c r="E432" s="368"/>
      <c r="G432" s="374"/>
      <c r="I432" s="375"/>
    </row>
    <row r="433" spans="2:9" x14ac:dyDescent="0.25">
      <c r="B433" s="400" t="s">
        <v>794</v>
      </c>
      <c r="C433" s="98" t="s">
        <v>110</v>
      </c>
      <c r="D433" s="368">
        <v>225000</v>
      </c>
      <c r="E433" s="368"/>
      <c r="G433" s="374"/>
      <c r="I433" s="375"/>
    </row>
    <row r="434" spans="2:9" x14ac:dyDescent="0.25">
      <c r="B434" s="400" t="s">
        <v>1019</v>
      </c>
      <c r="C434" s="98" t="s">
        <v>1018</v>
      </c>
      <c r="D434" s="368">
        <f>9000*1.19+1000</f>
        <v>11710</v>
      </c>
      <c r="E434" s="368">
        <f>+D434/3.7</f>
        <v>3164.8648648648646</v>
      </c>
      <c r="F434" t="s">
        <v>1020</v>
      </c>
      <c r="G434" s="374">
        <f>(9000*1.19+1000)/3.78</f>
        <v>3097.8835978835982</v>
      </c>
      <c r="I434" s="375"/>
    </row>
    <row r="435" spans="2:9" x14ac:dyDescent="0.25">
      <c r="B435" s="400" t="s">
        <v>795</v>
      </c>
      <c r="C435" s="98" t="s">
        <v>115</v>
      </c>
      <c r="D435" s="368">
        <v>6500</v>
      </c>
      <c r="E435" s="368"/>
      <c r="G435" s="374"/>
      <c r="I435" s="375"/>
    </row>
    <row r="436" spans="2:9" x14ac:dyDescent="0.25">
      <c r="B436" s="400" t="s">
        <v>793</v>
      </c>
      <c r="C436" s="98" t="s">
        <v>110</v>
      </c>
      <c r="D436" s="368">
        <v>140094</v>
      </c>
      <c r="E436" s="368"/>
      <c r="G436" s="374"/>
      <c r="I436" s="375"/>
    </row>
    <row r="437" spans="2:9" x14ac:dyDescent="0.25">
      <c r="B437" s="400" t="s">
        <v>796</v>
      </c>
      <c r="C437" s="525" t="s">
        <v>769</v>
      </c>
      <c r="D437" s="368">
        <f>39000+22000</f>
        <v>61000</v>
      </c>
      <c r="E437" s="368">
        <f>+D437*1.55*1.19+72000/1.5</f>
        <v>160514.5</v>
      </c>
      <c r="G437" s="374"/>
      <c r="I437" s="375"/>
    </row>
    <row r="438" spans="2:9" x14ac:dyDescent="0.25">
      <c r="B438" s="400" t="s">
        <v>797</v>
      </c>
      <c r="C438" s="98" t="s">
        <v>17</v>
      </c>
      <c r="D438" s="368">
        <v>45200</v>
      </c>
      <c r="E438" s="368">
        <v>55000</v>
      </c>
      <c r="F438" s="368">
        <f>ROUND(2722840/50,0)</f>
        <v>54457</v>
      </c>
      <c r="G438" s="374"/>
      <c r="I438" s="375"/>
    </row>
    <row r="439" spans="2:9" x14ac:dyDescent="0.25">
      <c r="B439" s="400" t="s">
        <v>798</v>
      </c>
      <c r="C439" s="98" t="s">
        <v>17</v>
      </c>
      <c r="D439" s="368">
        <v>41500</v>
      </c>
      <c r="E439" s="368"/>
      <c r="G439" s="374"/>
      <c r="I439" s="375"/>
    </row>
    <row r="440" spans="2:9" ht="30" x14ac:dyDescent="0.25">
      <c r="B440" s="400" t="s">
        <v>799</v>
      </c>
      <c r="C440" s="98" t="s">
        <v>17</v>
      </c>
      <c r="D440" s="368">
        <v>2664</v>
      </c>
      <c r="E440" s="368"/>
      <c r="G440" s="374"/>
      <c r="I440" s="375"/>
    </row>
    <row r="441" spans="2:9" x14ac:dyDescent="0.25">
      <c r="B441" s="400" t="s">
        <v>800</v>
      </c>
      <c r="C441" s="98" t="s">
        <v>17</v>
      </c>
      <c r="D441" s="368">
        <v>120000</v>
      </c>
      <c r="E441" s="368">
        <f>(55000+39000)*1.19+30000</f>
        <v>141860</v>
      </c>
      <c r="G441" s="374"/>
      <c r="I441" s="375"/>
    </row>
    <row r="442" spans="2:9" x14ac:dyDescent="0.25">
      <c r="B442" s="424" t="s">
        <v>801</v>
      </c>
      <c r="C442" s="98" t="s">
        <v>17</v>
      </c>
      <c r="D442" s="368">
        <f>17000*1.19</f>
        <v>20230</v>
      </c>
      <c r="E442" s="368"/>
      <c r="G442" s="374"/>
      <c r="I442" s="375"/>
    </row>
    <row r="443" spans="2:9" x14ac:dyDescent="0.25">
      <c r="B443" s="400" t="s">
        <v>802</v>
      </c>
      <c r="C443" s="98" t="s">
        <v>17</v>
      </c>
      <c r="D443" s="368">
        <v>480000</v>
      </c>
      <c r="E443" s="368"/>
      <c r="G443" s="374"/>
      <c r="I443" s="375"/>
    </row>
    <row r="444" spans="2:9" x14ac:dyDescent="0.25">
      <c r="B444" s="400" t="s">
        <v>803</v>
      </c>
      <c r="C444" s="98" t="s">
        <v>17</v>
      </c>
      <c r="D444" s="368">
        <f>414300*1.19</f>
        <v>493017</v>
      </c>
      <c r="E444" s="368"/>
      <c r="G444" s="374"/>
      <c r="I444" s="375"/>
    </row>
    <row r="445" spans="2:9" x14ac:dyDescent="0.25">
      <c r="B445" s="400" t="s">
        <v>804</v>
      </c>
      <c r="C445" s="98" t="s">
        <v>110</v>
      </c>
      <c r="D445" s="368">
        <f>15000*1.19</f>
        <v>17850</v>
      </c>
      <c r="E445" s="368"/>
      <c r="G445" s="374"/>
      <c r="I445" s="375"/>
    </row>
    <row r="446" spans="2:9" x14ac:dyDescent="0.25">
      <c r="B446" s="400" t="s">
        <v>805</v>
      </c>
      <c r="C446" s="98" t="s">
        <v>17</v>
      </c>
      <c r="D446" s="368">
        <f>8900+1000</f>
        <v>9900</v>
      </c>
      <c r="E446" s="368"/>
      <c r="G446" s="374"/>
      <c r="I446" s="375"/>
    </row>
    <row r="447" spans="2:9" x14ac:dyDescent="0.25">
      <c r="B447" s="400" t="s">
        <v>806</v>
      </c>
      <c r="C447" s="98" t="s">
        <v>117</v>
      </c>
      <c r="D447" s="368">
        <v>120000</v>
      </c>
      <c r="E447" s="368"/>
      <c r="G447" s="374"/>
      <c r="I447" s="375"/>
    </row>
    <row r="448" spans="2:9" x14ac:dyDescent="0.25">
      <c r="B448" s="400" t="s">
        <v>807</v>
      </c>
      <c r="C448" s="98" t="s">
        <v>17</v>
      </c>
      <c r="D448" s="368">
        <v>3650</v>
      </c>
      <c r="E448" s="368"/>
      <c r="G448" s="374"/>
      <c r="I448" s="375"/>
    </row>
    <row r="449" spans="2:11" x14ac:dyDescent="0.25">
      <c r="B449" s="400" t="s">
        <v>808</v>
      </c>
      <c r="C449" s="98" t="s">
        <v>122</v>
      </c>
      <c r="D449" s="368">
        <v>3650</v>
      </c>
      <c r="E449" s="368"/>
      <c r="G449" s="374"/>
      <c r="I449" s="375"/>
    </row>
    <row r="450" spans="2:11" x14ac:dyDescent="0.25">
      <c r="B450" s="400" t="s">
        <v>809</v>
      </c>
      <c r="C450" s="98" t="s">
        <v>115</v>
      </c>
      <c r="D450" s="368">
        <v>17264</v>
      </c>
      <c r="E450" s="368"/>
      <c r="G450" s="374"/>
      <c r="I450" s="375"/>
    </row>
    <row r="451" spans="2:11" x14ac:dyDescent="0.25">
      <c r="B451" s="400" t="s">
        <v>810</v>
      </c>
      <c r="C451" s="98" t="s">
        <v>17</v>
      </c>
      <c r="D451" s="368">
        <f>G451*1.2*1.19+30000</f>
        <v>226492.79999999999</v>
      </c>
      <c r="E451" s="368">
        <v>185000</v>
      </c>
      <c r="F451" s="428">
        <v>8</v>
      </c>
      <c r="G451" s="375">
        <v>137600</v>
      </c>
      <c r="H451" s="375">
        <f>+F451*G451</f>
        <v>1100800</v>
      </c>
      <c r="I451" s="429">
        <f t="shared" ref="I451:I457" si="1">+D451*F451</f>
        <v>1811942.3999999999</v>
      </c>
      <c r="J451" s="375">
        <f>+G451*1.19+20000</f>
        <v>183744</v>
      </c>
      <c r="K451" s="119">
        <f>+J451*F451</f>
        <v>1469952</v>
      </c>
    </row>
    <row r="452" spans="2:11" ht="30" x14ac:dyDescent="0.25">
      <c r="B452" s="400" t="s">
        <v>811</v>
      </c>
      <c r="C452" s="98" t="s">
        <v>17</v>
      </c>
      <c r="D452" s="368">
        <f>G452*1.2*1.19+30000</f>
        <v>377718</v>
      </c>
      <c r="E452" s="368">
        <v>320000</v>
      </c>
      <c r="F452" s="428">
        <v>8</v>
      </c>
      <c r="G452" s="375">
        <v>243500</v>
      </c>
      <c r="H452" s="375">
        <f t="shared" ref="H452:H458" si="2">+F452*G452</f>
        <v>1948000</v>
      </c>
      <c r="I452" s="429">
        <f t="shared" si="1"/>
        <v>3021744</v>
      </c>
      <c r="J452" s="375">
        <f>+G452*1.19+30000</f>
        <v>319765</v>
      </c>
      <c r="K452" s="119">
        <f t="shared" ref="K452:K457" si="3">+J452*F452</f>
        <v>2558120</v>
      </c>
    </row>
    <row r="453" spans="2:11" x14ac:dyDescent="0.25">
      <c r="B453" s="400" t="s">
        <v>812</v>
      </c>
      <c r="C453" s="98" t="s">
        <v>17</v>
      </c>
      <c r="D453" s="368">
        <f>G453*1.2*1.19+170000</f>
        <v>981389.6</v>
      </c>
      <c r="E453" s="368"/>
      <c r="F453" s="428">
        <v>4</v>
      </c>
      <c r="G453" s="375">
        <v>568200</v>
      </c>
      <c r="H453" s="375">
        <f t="shared" si="2"/>
        <v>2272800</v>
      </c>
      <c r="I453" s="429">
        <f t="shared" si="1"/>
        <v>3925558.4</v>
      </c>
      <c r="J453" s="375">
        <f>+G453*1.19+80000</f>
        <v>756158</v>
      </c>
      <c r="K453" s="119">
        <f t="shared" si="3"/>
        <v>3024632</v>
      </c>
    </row>
    <row r="454" spans="2:11" x14ac:dyDescent="0.25">
      <c r="B454" s="400" t="s">
        <v>813</v>
      </c>
      <c r="C454" s="98" t="s">
        <v>17</v>
      </c>
      <c r="D454" s="368">
        <f>G454*1.2*1.19+70000</f>
        <v>1224395.2</v>
      </c>
      <c r="E454" s="368"/>
      <c r="F454" s="428">
        <v>6</v>
      </c>
      <c r="G454" s="375">
        <v>808400</v>
      </c>
      <c r="H454" s="375">
        <f t="shared" si="2"/>
        <v>4850400</v>
      </c>
      <c r="I454" s="429">
        <f t="shared" si="1"/>
        <v>7346371.1999999993</v>
      </c>
      <c r="J454" s="375">
        <f t="shared" ref="J454:J457" si="4">+G454*1.19+80000</f>
        <v>1041996</v>
      </c>
      <c r="K454" s="119">
        <f t="shared" si="3"/>
        <v>6251976</v>
      </c>
    </row>
    <row r="455" spans="2:11" x14ac:dyDescent="0.25">
      <c r="B455" s="400" t="s">
        <v>814</v>
      </c>
      <c r="C455" s="98" t="s">
        <v>17</v>
      </c>
      <c r="D455" s="368">
        <f>G455*1.2*1.19+70000</f>
        <v>632632</v>
      </c>
      <c r="E455" s="368"/>
      <c r="F455" s="428">
        <v>4</v>
      </c>
      <c r="G455" s="375">
        <v>394000</v>
      </c>
      <c r="H455" s="375">
        <f t="shared" si="2"/>
        <v>1576000</v>
      </c>
      <c r="I455" s="429">
        <f t="shared" si="1"/>
        <v>2530528</v>
      </c>
      <c r="J455" s="375">
        <f t="shared" si="4"/>
        <v>548860</v>
      </c>
      <c r="K455" s="119">
        <f t="shared" si="3"/>
        <v>2195440</v>
      </c>
    </row>
    <row r="456" spans="2:11" x14ac:dyDescent="0.25">
      <c r="B456" s="400" t="s">
        <v>815</v>
      </c>
      <c r="C456" s="98" t="s">
        <v>17</v>
      </c>
      <c r="D456" s="368">
        <f>G456*1.2*1.19+30000</f>
        <v>30000</v>
      </c>
      <c r="E456" s="368"/>
      <c r="F456" s="428"/>
      <c r="G456" s="375">
        <v>0</v>
      </c>
      <c r="H456" s="375">
        <f t="shared" si="2"/>
        <v>0</v>
      </c>
      <c r="I456" s="429">
        <f t="shared" si="1"/>
        <v>0</v>
      </c>
      <c r="J456" s="375"/>
      <c r="K456" s="119">
        <f t="shared" si="3"/>
        <v>0</v>
      </c>
    </row>
    <row r="457" spans="2:11" x14ac:dyDescent="0.25">
      <c r="B457" s="400" t="s">
        <v>816</v>
      </c>
      <c r="C457" s="98" t="s">
        <v>17</v>
      </c>
      <c r="D457" s="368">
        <f>G457*1.2*1.19+80000</f>
        <v>1750760</v>
      </c>
      <c r="E457" s="368"/>
      <c r="F457" s="428">
        <v>4</v>
      </c>
      <c r="G457" s="375">
        <v>1170000</v>
      </c>
      <c r="H457" s="375">
        <f t="shared" si="2"/>
        <v>4680000</v>
      </c>
      <c r="I457" s="429">
        <f t="shared" si="1"/>
        <v>7003040</v>
      </c>
      <c r="J457" s="375">
        <f t="shared" si="4"/>
        <v>1472300</v>
      </c>
      <c r="K457" s="119">
        <f t="shared" si="3"/>
        <v>5889200</v>
      </c>
    </row>
    <row r="458" spans="2:11" x14ac:dyDescent="0.25">
      <c r="B458" s="400" t="s">
        <v>817</v>
      </c>
      <c r="C458" s="98"/>
      <c r="D458" s="368"/>
      <c r="E458" s="368"/>
      <c r="F458" s="428">
        <v>4</v>
      </c>
      <c r="G458" s="375">
        <v>322300</v>
      </c>
      <c r="H458" s="375">
        <f t="shared" si="2"/>
        <v>1289200</v>
      </c>
      <c r="J458" s="375"/>
    </row>
    <row r="459" spans="2:11" ht="30" x14ac:dyDescent="0.25">
      <c r="B459" s="400" t="s">
        <v>818</v>
      </c>
      <c r="C459" s="98" t="s">
        <v>17</v>
      </c>
      <c r="D459" s="368">
        <f>756158+100000</f>
        <v>856158</v>
      </c>
      <c r="E459" s="368"/>
      <c r="F459" s="428"/>
      <c r="G459" s="430">
        <v>2.5000000000000001E-2</v>
      </c>
      <c r="H459" s="375">
        <f>+H461*G459</f>
        <v>410700</v>
      </c>
      <c r="J459" s="375"/>
    </row>
    <row r="460" spans="2:11" x14ac:dyDescent="0.25">
      <c r="B460" s="400" t="s">
        <v>819</v>
      </c>
      <c r="C460" s="98" t="s">
        <v>17</v>
      </c>
      <c r="D460" s="368">
        <v>1041996</v>
      </c>
      <c r="E460" s="368"/>
      <c r="F460" s="428">
        <f>SUM(F451:F459)</f>
        <v>38</v>
      </c>
      <c r="G460" s="430">
        <v>0.01</v>
      </c>
      <c r="H460" s="374">
        <f>+H458*G460</f>
        <v>12892</v>
      </c>
      <c r="J460" s="375"/>
    </row>
    <row r="461" spans="2:11" x14ac:dyDescent="0.25">
      <c r="B461" s="400" t="s">
        <v>820</v>
      </c>
      <c r="C461" s="98" t="s">
        <v>17</v>
      </c>
      <c r="D461" s="368">
        <v>548860</v>
      </c>
      <c r="E461" s="368"/>
      <c r="F461" s="428"/>
      <c r="G461" s="430"/>
      <c r="H461" s="375">
        <f>SUM(H451:H457)</f>
        <v>16428000</v>
      </c>
      <c r="I461" s="375">
        <f>SUM(I451:I457)</f>
        <v>25639184</v>
      </c>
      <c r="J461" s="375">
        <f>SUM(I450:I457)</f>
        <v>25639184</v>
      </c>
      <c r="K461" s="375">
        <f>SUM(J450:J457)</f>
        <v>4322823</v>
      </c>
    </row>
    <row r="462" spans="2:11" x14ac:dyDescent="0.25">
      <c r="B462" s="400" t="s">
        <v>821</v>
      </c>
      <c r="C462" s="98" t="s">
        <v>17</v>
      </c>
      <c r="D462" s="368">
        <v>30000</v>
      </c>
      <c r="E462" s="368"/>
      <c r="F462" s="368"/>
      <c r="G462" s="430"/>
      <c r="H462" s="374">
        <f>+H461+H458</f>
        <v>17717200</v>
      </c>
      <c r="J462" s="375"/>
    </row>
    <row r="463" spans="2:11" x14ac:dyDescent="0.25">
      <c r="B463" s="400" t="s">
        <v>822</v>
      </c>
      <c r="C463" s="98" t="s">
        <v>17</v>
      </c>
      <c r="D463" s="368">
        <v>1472300</v>
      </c>
      <c r="E463" s="368"/>
      <c r="F463" s="368"/>
      <c r="G463" s="430">
        <v>0.19</v>
      </c>
      <c r="H463" s="374">
        <f>+H462*G463</f>
        <v>3366268</v>
      </c>
      <c r="J463" s="375"/>
    </row>
    <row r="464" spans="2:11" x14ac:dyDescent="0.25">
      <c r="B464" s="400" t="s">
        <v>823</v>
      </c>
      <c r="C464" s="98" t="s">
        <v>17</v>
      </c>
      <c r="D464" s="368">
        <v>250000</v>
      </c>
      <c r="E464" s="368"/>
      <c r="F464" s="368"/>
      <c r="G464" s="430"/>
      <c r="H464" s="374">
        <f>SUM(H462:H463)</f>
        <v>21083468</v>
      </c>
      <c r="J464" s="375"/>
    </row>
    <row r="465" spans="2:9" x14ac:dyDescent="0.25">
      <c r="B465" s="400"/>
      <c r="C465" s="98"/>
      <c r="D465" s="368"/>
      <c r="E465" s="368"/>
      <c r="F465" s="430"/>
      <c r="G465" s="374"/>
      <c r="I465" s="375"/>
    </row>
    <row r="466" spans="2:9" ht="25.5" x14ac:dyDescent="0.25">
      <c r="B466" s="431" t="s">
        <v>824</v>
      </c>
      <c r="C466" s="98" t="s">
        <v>17</v>
      </c>
      <c r="D466" s="368">
        <f>20000-6004</f>
        <v>13996</v>
      </c>
      <c r="E466" s="368"/>
      <c r="F466" s="430"/>
      <c r="G466" s="374"/>
      <c r="I466" s="375"/>
    </row>
    <row r="467" spans="2:9" x14ac:dyDescent="0.25">
      <c r="B467" s="400"/>
      <c r="C467" s="98"/>
      <c r="D467" s="368"/>
      <c r="E467" s="368"/>
      <c r="G467" s="374"/>
      <c r="I467" s="375"/>
    </row>
    <row r="468" spans="2:9" x14ac:dyDescent="0.25">
      <c r="B468" s="400" t="s">
        <v>825</v>
      </c>
      <c r="C468" s="98" t="s">
        <v>111</v>
      </c>
      <c r="D468" s="368">
        <f>4695*1.19*1.3*1.05</f>
        <v>7626.3232500000013</v>
      </c>
      <c r="E468" s="368"/>
      <c r="G468" s="374"/>
      <c r="I468" s="375"/>
    </row>
    <row r="469" spans="2:9" x14ac:dyDescent="0.25">
      <c r="B469" s="400" t="s">
        <v>826</v>
      </c>
      <c r="C469" s="98" t="s">
        <v>17</v>
      </c>
      <c r="D469" s="368">
        <v>52900</v>
      </c>
      <c r="E469" s="368"/>
      <c r="G469" s="374"/>
      <c r="I469" s="375"/>
    </row>
    <row r="470" spans="2:9" ht="30" x14ac:dyDescent="0.25">
      <c r="B470" s="400" t="s">
        <v>827</v>
      </c>
      <c r="C470" s="98" t="s">
        <v>17</v>
      </c>
      <c r="D470" s="368">
        <v>18200</v>
      </c>
      <c r="E470" s="368"/>
      <c r="G470" s="374"/>
      <c r="I470" s="375"/>
    </row>
    <row r="471" spans="2:9" x14ac:dyDescent="0.25">
      <c r="B471" s="400" t="s">
        <v>828</v>
      </c>
      <c r="C471" s="98" t="s">
        <v>17</v>
      </c>
      <c r="D471" s="368">
        <v>75800</v>
      </c>
      <c r="E471" s="368"/>
      <c r="G471" s="374"/>
      <c r="I471" s="375"/>
    </row>
    <row r="472" spans="2:9" x14ac:dyDescent="0.25">
      <c r="B472" s="400"/>
      <c r="C472" s="98"/>
      <c r="D472" s="368"/>
      <c r="E472" s="368"/>
      <c r="G472" s="374"/>
      <c r="I472" s="375"/>
    </row>
    <row r="473" spans="2:9" x14ac:dyDescent="0.25">
      <c r="B473" s="400" t="s">
        <v>829</v>
      </c>
      <c r="C473" s="98" t="s">
        <v>17</v>
      </c>
      <c r="D473" s="368">
        <v>45200</v>
      </c>
      <c r="E473" s="368"/>
      <c r="G473" s="374"/>
      <c r="I473" s="375"/>
    </row>
    <row r="474" spans="2:9" x14ac:dyDescent="0.25">
      <c r="B474" s="400" t="s">
        <v>710</v>
      </c>
      <c r="C474" s="98" t="s">
        <v>17</v>
      </c>
      <c r="D474" s="368">
        <f>10900+500</f>
        <v>11400</v>
      </c>
      <c r="E474" s="368"/>
      <c r="G474" s="374"/>
      <c r="I474" s="375"/>
    </row>
    <row r="475" spans="2:9" x14ac:dyDescent="0.25">
      <c r="B475" s="400" t="s">
        <v>708</v>
      </c>
      <c r="C475" s="98" t="s">
        <v>17</v>
      </c>
      <c r="D475" s="368">
        <v>4850</v>
      </c>
      <c r="E475" s="368"/>
      <c r="G475" s="374"/>
      <c r="I475" s="375"/>
    </row>
    <row r="476" spans="2:9" x14ac:dyDescent="0.25">
      <c r="B476" s="400" t="s">
        <v>830</v>
      </c>
      <c r="C476" s="98" t="s">
        <v>17</v>
      </c>
      <c r="D476" s="368">
        <v>205000</v>
      </c>
      <c r="E476" s="368"/>
      <c r="G476" s="374"/>
      <c r="I476" s="375"/>
    </row>
    <row r="477" spans="2:9" x14ac:dyDescent="0.25">
      <c r="B477" s="400" t="s">
        <v>711</v>
      </c>
      <c r="C477" s="98" t="s">
        <v>17</v>
      </c>
      <c r="D477" s="368">
        <v>61500</v>
      </c>
      <c r="E477" s="368"/>
      <c r="G477" s="374"/>
      <c r="I477" s="375"/>
    </row>
    <row r="478" spans="2:9" x14ac:dyDescent="0.25">
      <c r="B478" s="400" t="s">
        <v>712</v>
      </c>
      <c r="C478" s="98" t="s">
        <v>17</v>
      </c>
      <c r="D478" s="368">
        <v>35680</v>
      </c>
      <c r="E478" s="368"/>
      <c r="G478" s="374"/>
      <c r="I478" s="375"/>
    </row>
    <row r="479" spans="2:9" x14ac:dyDescent="0.25">
      <c r="B479" s="400" t="s">
        <v>713</v>
      </c>
      <c r="C479" s="98" t="s">
        <v>576</v>
      </c>
      <c r="D479" s="368">
        <v>135000</v>
      </c>
      <c r="E479" s="368"/>
      <c r="G479" s="374"/>
      <c r="I479" s="375"/>
    </row>
    <row r="480" spans="2:9" x14ac:dyDescent="0.25">
      <c r="B480" s="400" t="s">
        <v>714</v>
      </c>
      <c r="C480" s="98" t="s">
        <v>17</v>
      </c>
      <c r="D480" s="368">
        <v>95103</v>
      </c>
      <c r="E480" s="368"/>
      <c r="G480" s="374"/>
      <c r="I480" s="375"/>
    </row>
    <row r="481" spans="2:9" x14ac:dyDescent="0.25">
      <c r="B481" s="400" t="s">
        <v>831</v>
      </c>
      <c r="C481" s="98" t="s">
        <v>17</v>
      </c>
      <c r="D481" s="368">
        <f>125800+183649</f>
        <v>309449</v>
      </c>
      <c r="E481" s="368"/>
      <c r="G481" s="374"/>
      <c r="I481" s="375"/>
    </row>
    <row r="482" spans="2:9" x14ac:dyDescent="0.25">
      <c r="B482" s="400" t="s">
        <v>832</v>
      </c>
      <c r="C482" s="98" t="s">
        <v>117</v>
      </c>
      <c r="D482" s="368"/>
      <c r="E482" s="368"/>
      <c r="G482" s="374"/>
      <c r="I482" s="375"/>
    </row>
    <row r="483" spans="2:9" x14ac:dyDescent="0.25">
      <c r="B483" s="400" t="s">
        <v>833</v>
      </c>
      <c r="C483" s="98" t="s">
        <v>117</v>
      </c>
      <c r="D483" s="368">
        <f>SUBANALISIS!J7</f>
        <v>152967.59999999998</v>
      </c>
      <c r="E483" s="368"/>
      <c r="G483" s="374"/>
      <c r="I483" s="375"/>
    </row>
    <row r="484" spans="2:9" x14ac:dyDescent="0.25">
      <c r="B484" s="400" t="s">
        <v>834</v>
      </c>
      <c r="C484" s="98" t="s">
        <v>17</v>
      </c>
      <c r="D484" s="368">
        <v>2500</v>
      </c>
      <c r="E484" s="368"/>
      <c r="G484" s="374"/>
      <c r="I484" s="375"/>
    </row>
    <row r="485" spans="2:9" x14ac:dyDescent="0.25">
      <c r="B485" s="400" t="s">
        <v>835</v>
      </c>
      <c r="C485" s="98" t="s">
        <v>17</v>
      </c>
      <c r="D485" s="368">
        <v>25200</v>
      </c>
      <c r="E485" s="368"/>
      <c r="G485" s="374"/>
      <c r="I485" s="375"/>
    </row>
    <row r="486" spans="2:9" x14ac:dyDescent="0.25">
      <c r="B486" s="400" t="s">
        <v>836</v>
      </c>
      <c r="C486" s="98"/>
      <c r="D486" s="368">
        <v>2850</v>
      </c>
      <c r="E486" s="368"/>
      <c r="G486" s="374"/>
      <c r="I486" s="375"/>
    </row>
    <row r="487" spans="2:9" x14ac:dyDescent="0.25">
      <c r="B487" s="400" t="s">
        <v>837</v>
      </c>
      <c r="C487" s="98" t="s">
        <v>110</v>
      </c>
      <c r="D487" s="368">
        <v>35200</v>
      </c>
      <c r="E487" s="368"/>
      <c r="G487" s="374"/>
      <c r="I487" s="375"/>
    </row>
    <row r="488" spans="2:9" x14ac:dyDescent="0.25">
      <c r="B488" s="400" t="s">
        <v>838</v>
      </c>
      <c r="C488" s="98" t="s">
        <v>839</v>
      </c>
      <c r="D488" s="368">
        <v>16900</v>
      </c>
      <c r="E488" s="368"/>
      <c r="G488" s="374"/>
      <c r="I488" s="375"/>
    </row>
    <row r="489" spans="2:9" x14ac:dyDescent="0.25">
      <c r="B489" s="400"/>
      <c r="C489" s="98"/>
      <c r="D489" s="368"/>
      <c r="E489" s="368"/>
      <c r="G489" s="374"/>
      <c r="I489" s="375"/>
    </row>
    <row r="490" spans="2:9" x14ac:dyDescent="0.25">
      <c r="B490" s="400" t="s">
        <v>840</v>
      </c>
      <c r="C490" s="98" t="s">
        <v>115</v>
      </c>
      <c r="D490" s="368">
        <f>378900+50000</f>
        <v>428900</v>
      </c>
      <c r="E490" s="368">
        <f>+D490/(0.95*6.1)</f>
        <v>74012.079378774812</v>
      </c>
      <c r="G490" s="374"/>
      <c r="I490" s="375"/>
    </row>
    <row r="491" spans="2:9" x14ac:dyDescent="0.25">
      <c r="B491" s="400" t="s">
        <v>841</v>
      </c>
      <c r="C491" s="98" t="s">
        <v>110</v>
      </c>
      <c r="D491" s="368">
        <v>480</v>
      </c>
      <c r="E491" s="368"/>
      <c r="G491" s="374"/>
      <c r="I491" s="375"/>
    </row>
    <row r="492" spans="2:9" x14ac:dyDescent="0.25">
      <c r="B492" s="400"/>
      <c r="C492" s="98"/>
      <c r="D492" s="368"/>
      <c r="E492" s="368"/>
      <c r="G492" s="374"/>
      <c r="I492" s="375"/>
    </row>
    <row r="493" spans="2:9" x14ac:dyDescent="0.25">
      <c r="B493" s="400" t="s">
        <v>842</v>
      </c>
      <c r="C493" s="98" t="s">
        <v>122</v>
      </c>
      <c r="D493" s="368">
        <f>47520+5000</f>
        <v>52520</v>
      </c>
      <c r="E493" s="368">
        <f>+D493/40</f>
        <v>1313</v>
      </c>
      <c r="G493" s="374"/>
      <c r="I493" s="375"/>
    </row>
    <row r="494" spans="2:9" x14ac:dyDescent="0.25">
      <c r="B494" s="400" t="s">
        <v>843</v>
      </c>
      <c r="C494" s="98" t="s">
        <v>111</v>
      </c>
      <c r="D494" s="368">
        <v>29500</v>
      </c>
      <c r="E494" s="368"/>
      <c r="G494" s="374"/>
      <c r="I494" s="375"/>
    </row>
    <row r="495" spans="2:9" x14ac:dyDescent="0.25">
      <c r="B495" s="400" t="s">
        <v>844</v>
      </c>
      <c r="C495" s="98" t="s">
        <v>111</v>
      </c>
      <c r="D495" s="368">
        <f>(327500+15000)/6</f>
        <v>57083.333333333336</v>
      </c>
      <c r="E495" s="368"/>
      <c r="G495" s="374"/>
      <c r="I495" s="375"/>
    </row>
    <row r="496" spans="2:9" x14ac:dyDescent="0.25">
      <c r="B496" s="400" t="s">
        <v>845</v>
      </c>
      <c r="C496" s="98" t="s">
        <v>17</v>
      </c>
      <c r="D496" s="368">
        <v>8900</v>
      </c>
      <c r="E496" s="368"/>
      <c r="G496" s="374"/>
      <c r="I496" s="375"/>
    </row>
    <row r="497" spans="2:9" x14ac:dyDescent="0.25">
      <c r="B497" s="400" t="s">
        <v>846</v>
      </c>
      <c r="C497" s="98" t="s">
        <v>111</v>
      </c>
      <c r="D497" s="368">
        <v>156000</v>
      </c>
      <c r="E497" s="368">
        <f>265200*1.19/2</f>
        <v>157794</v>
      </c>
      <c r="G497" s="374"/>
      <c r="I497" s="375"/>
    </row>
    <row r="498" spans="2:9" x14ac:dyDescent="0.25">
      <c r="B498" s="400" t="s">
        <v>847</v>
      </c>
      <c r="C498" s="98" t="s">
        <v>17</v>
      </c>
      <c r="D498" s="368">
        <f>6200+2200</f>
        <v>8400</v>
      </c>
      <c r="E498" s="368"/>
      <c r="G498" s="374"/>
      <c r="I498" s="375"/>
    </row>
    <row r="499" spans="2:9" x14ac:dyDescent="0.25">
      <c r="B499" s="400" t="s">
        <v>848</v>
      </c>
      <c r="C499" s="98" t="s">
        <v>122</v>
      </c>
      <c r="D499" s="368">
        <v>20900</v>
      </c>
      <c r="E499" s="368"/>
      <c r="G499" s="374"/>
      <c r="I499" s="375"/>
    </row>
    <row r="500" spans="2:9" x14ac:dyDescent="0.25">
      <c r="B500" s="400" t="s">
        <v>849</v>
      </c>
      <c r="C500" s="98" t="s">
        <v>759</v>
      </c>
      <c r="D500" s="368">
        <f>113000+10000</f>
        <v>123000</v>
      </c>
      <c r="E500" s="368"/>
      <c r="G500" s="374"/>
      <c r="I500" s="375"/>
    </row>
    <row r="501" spans="2:9" x14ac:dyDescent="0.25">
      <c r="B501" s="400" t="s">
        <v>850</v>
      </c>
      <c r="C501" s="98" t="s">
        <v>759</v>
      </c>
      <c r="D501" s="368">
        <v>253000</v>
      </c>
      <c r="E501" s="368"/>
      <c r="G501" s="374"/>
      <c r="I501" s="375"/>
    </row>
    <row r="502" spans="2:9" ht="30" x14ac:dyDescent="0.25">
      <c r="B502" s="400" t="s">
        <v>851</v>
      </c>
      <c r="C502" s="98" t="s">
        <v>759</v>
      </c>
      <c r="D502" s="368">
        <f>144900/1.25+10000</f>
        <v>125920</v>
      </c>
      <c r="E502" s="368"/>
      <c r="G502" s="374"/>
      <c r="I502" s="375"/>
    </row>
    <row r="503" spans="2:9" x14ac:dyDescent="0.25">
      <c r="B503" s="400" t="s">
        <v>852</v>
      </c>
      <c r="C503" s="98" t="s">
        <v>759</v>
      </c>
      <c r="D503" s="368">
        <f>107000+10000</f>
        <v>117000</v>
      </c>
      <c r="E503" s="368"/>
      <c r="G503" s="374"/>
      <c r="I503" s="375"/>
    </row>
    <row r="504" spans="2:9" x14ac:dyDescent="0.25">
      <c r="B504" s="400" t="s">
        <v>853</v>
      </c>
      <c r="C504" s="98" t="s">
        <v>17</v>
      </c>
      <c r="D504" s="368">
        <v>55000</v>
      </c>
      <c r="E504" s="368"/>
      <c r="G504" s="374"/>
      <c r="I504" s="375"/>
    </row>
    <row r="505" spans="2:9" x14ac:dyDescent="0.25">
      <c r="B505" s="400" t="s">
        <v>854</v>
      </c>
      <c r="C505" s="98" t="s">
        <v>17</v>
      </c>
      <c r="D505" s="368">
        <v>6500</v>
      </c>
      <c r="E505" s="368"/>
      <c r="G505" s="374"/>
      <c r="I505" s="375"/>
    </row>
    <row r="506" spans="2:9" x14ac:dyDescent="0.25">
      <c r="B506" s="400"/>
      <c r="C506" s="98"/>
      <c r="D506" s="368"/>
      <c r="E506" s="368"/>
      <c r="G506" s="374"/>
      <c r="I506" s="375"/>
    </row>
    <row r="507" spans="2:9" x14ac:dyDescent="0.25">
      <c r="B507" s="406" t="s">
        <v>855</v>
      </c>
      <c r="C507" s="98" t="s">
        <v>115</v>
      </c>
      <c r="D507" s="368">
        <f>150000/(1.2*2.4)</f>
        <v>52083.333333333336</v>
      </c>
      <c r="E507" s="368"/>
      <c r="G507" s="374"/>
      <c r="I507" s="375"/>
    </row>
    <row r="508" spans="2:9" x14ac:dyDescent="0.25">
      <c r="B508" s="406" t="s">
        <v>856</v>
      </c>
      <c r="C508" s="98" t="s">
        <v>17</v>
      </c>
      <c r="D508" s="368">
        <v>35000</v>
      </c>
      <c r="E508" s="368"/>
      <c r="G508" s="374"/>
      <c r="I508" s="375"/>
    </row>
    <row r="509" spans="2:9" ht="25.5" x14ac:dyDescent="0.25">
      <c r="B509" s="406" t="s">
        <v>857</v>
      </c>
      <c r="C509" s="98" t="s">
        <v>17</v>
      </c>
      <c r="D509" s="368">
        <v>95</v>
      </c>
      <c r="E509" s="368"/>
      <c r="G509" s="374"/>
      <c r="I509" s="375"/>
    </row>
    <row r="510" spans="2:9" x14ac:dyDescent="0.25">
      <c r="B510" s="406" t="s">
        <v>858</v>
      </c>
      <c r="C510" s="98" t="s">
        <v>110</v>
      </c>
      <c r="D510" s="368">
        <v>35000</v>
      </c>
      <c r="E510" s="368"/>
      <c r="G510" s="374"/>
      <c r="I510" s="375"/>
    </row>
    <row r="511" spans="2:9" x14ac:dyDescent="0.25">
      <c r="B511" s="406" t="s">
        <v>859</v>
      </c>
      <c r="C511" s="98" t="s">
        <v>860</v>
      </c>
      <c r="D511" s="368">
        <v>30500</v>
      </c>
      <c r="E511" s="368"/>
      <c r="G511" s="374"/>
      <c r="I511" s="375"/>
    </row>
    <row r="512" spans="2:9" x14ac:dyDescent="0.25">
      <c r="B512" s="400" t="s">
        <v>861</v>
      </c>
      <c r="C512" s="98" t="s">
        <v>17</v>
      </c>
      <c r="D512" s="368">
        <v>15000</v>
      </c>
      <c r="E512" s="368"/>
      <c r="G512" s="374"/>
      <c r="I512" s="375"/>
    </row>
    <row r="513" spans="2:9" x14ac:dyDescent="0.25">
      <c r="B513" s="400"/>
      <c r="C513" s="98"/>
      <c r="D513" s="368"/>
      <c r="E513" s="368"/>
      <c r="G513" s="374"/>
      <c r="I513" s="375"/>
    </row>
    <row r="514" spans="2:9" x14ac:dyDescent="0.25">
      <c r="B514" s="400" t="s">
        <v>862</v>
      </c>
      <c r="C514" s="98" t="s">
        <v>381</v>
      </c>
      <c r="D514" s="368">
        <v>150900</v>
      </c>
      <c r="E514" s="368"/>
      <c r="G514" s="374"/>
      <c r="I514" s="375"/>
    </row>
    <row r="515" spans="2:9" x14ac:dyDescent="0.25">
      <c r="B515" s="400"/>
      <c r="C515" s="98"/>
      <c r="D515" s="368"/>
      <c r="E515" s="368"/>
      <c r="G515" s="374"/>
      <c r="I515" s="375"/>
    </row>
    <row r="516" spans="2:9" ht="25.5" x14ac:dyDescent="0.25">
      <c r="B516" s="406" t="s">
        <v>863</v>
      </c>
      <c r="C516" s="98" t="s">
        <v>117</v>
      </c>
      <c r="D516" s="368">
        <f>484000*1.19*1.1</f>
        <v>633556</v>
      </c>
      <c r="E516" s="368"/>
      <c r="G516" s="374"/>
      <c r="I516" s="375"/>
    </row>
    <row r="517" spans="2:9" x14ac:dyDescent="0.25">
      <c r="B517" s="400" t="s">
        <v>864</v>
      </c>
      <c r="C517" s="98" t="s">
        <v>110</v>
      </c>
      <c r="D517" s="368">
        <v>10500</v>
      </c>
      <c r="E517" s="368"/>
      <c r="G517" s="374"/>
      <c r="I517" s="375"/>
    </row>
    <row r="518" spans="2:9" x14ac:dyDescent="0.25">
      <c r="B518" s="400" t="s">
        <v>865</v>
      </c>
      <c r="C518" s="98" t="s">
        <v>110</v>
      </c>
      <c r="D518" s="368">
        <v>1950</v>
      </c>
      <c r="E518" s="368"/>
      <c r="G518" s="374"/>
      <c r="I518" s="375"/>
    </row>
    <row r="519" spans="2:9" x14ac:dyDescent="0.25">
      <c r="B519" s="400"/>
      <c r="C519" s="98"/>
      <c r="D519" s="368"/>
      <c r="E519" s="368"/>
      <c r="G519" s="374"/>
      <c r="I519" s="375"/>
    </row>
    <row r="520" spans="2:9" ht="30" x14ac:dyDescent="0.25">
      <c r="B520" s="400" t="s">
        <v>866</v>
      </c>
      <c r="C520" s="98" t="s">
        <v>17</v>
      </c>
      <c r="D520" s="368">
        <f>576000*1.19*1.15</f>
        <v>788255.99999999988</v>
      </c>
      <c r="E520" s="368"/>
      <c r="G520" s="374"/>
      <c r="I520" s="375"/>
    </row>
    <row r="521" spans="2:9" ht="30" x14ac:dyDescent="0.25">
      <c r="B521" s="400" t="s">
        <v>893</v>
      </c>
      <c r="C521" s="98" t="s">
        <v>599</v>
      </c>
      <c r="D521" s="368">
        <v>280000</v>
      </c>
      <c r="E521" s="368"/>
      <c r="G521" s="374"/>
      <c r="I521" s="375"/>
    </row>
    <row r="522" spans="2:9" x14ac:dyDescent="0.25">
      <c r="D522" s="368"/>
    </row>
    <row r="523" spans="2:9" x14ac:dyDescent="0.25">
      <c r="B523" t="s">
        <v>888</v>
      </c>
      <c r="C523" s="98" t="s">
        <v>110</v>
      </c>
      <c r="D523" s="368">
        <v>78467</v>
      </c>
    </row>
    <row r="524" spans="2:9" x14ac:dyDescent="0.25">
      <c r="B524" s="400" t="s">
        <v>889</v>
      </c>
      <c r="C524" s="98" t="s">
        <v>110</v>
      </c>
      <c r="D524" s="368">
        <v>112095</v>
      </c>
    </row>
    <row r="525" spans="2:9" x14ac:dyDescent="0.25">
      <c r="B525" s="400" t="s">
        <v>939</v>
      </c>
      <c r="C525" s="98" t="s">
        <v>17</v>
      </c>
      <c r="D525" s="368">
        <f>35600*1.19+20000</f>
        <v>62364</v>
      </c>
    </row>
    <row r="526" spans="2:9" x14ac:dyDescent="0.25">
      <c r="D526" s="368"/>
    </row>
    <row r="527" spans="2:9" x14ac:dyDescent="0.25">
      <c r="D527" s="368"/>
    </row>
    <row r="528" spans="2:9" x14ac:dyDescent="0.25">
      <c r="D528" s="368"/>
    </row>
    <row r="529" spans="4:6" x14ac:dyDescent="0.25">
      <c r="D529" s="368"/>
    </row>
    <row r="530" spans="4:6" x14ac:dyDescent="0.25">
      <c r="D530" s="368"/>
    </row>
    <row r="533" spans="4:6" x14ac:dyDescent="0.25">
      <c r="F533" t="s">
        <v>867</v>
      </c>
    </row>
    <row r="1903" spans="2:2" x14ac:dyDescent="0.25">
      <c r="B1903" t="s">
        <v>608</v>
      </c>
    </row>
  </sheetData>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sheetPr>
  <dimension ref="A1:M148"/>
  <sheetViews>
    <sheetView topLeftCell="A11" workbookViewId="0">
      <selection activeCell="I4" sqref="I4"/>
    </sheetView>
  </sheetViews>
  <sheetFormatPr baseColWidth="10" defaultRowHeight="11.25" x14ac:dyDescent="0.25"/>
  <cols>
    <col min="1" max="1" width="29.28515625" style="287" customWidth="1"/>
    <col min="2" max="2" width="10.28515625" style="288" bestFit="1" customWidth="1"/>
    <col min="3" max="3" width="10.5703125" style="287" bestFit="1" customWidth="1"/>
    <col min="4" max="4" width="16.42578125" style="288" customWidth="1"/>
    <col min="5" max="5" width="14.42578125" style="287" bestFit="1" customWidth="1"/>
    <col min="6" max="6" width="13.85546875" style="287" bestFit="1" customWidth="1"/>
    <col min="7" max="7" width="9" style="289" customWidth="1"/>
    <col min="8" max="8" width="30.7109375" style="289" customWidth="1"/>
    <col min="9" max="9" width="19.28515625" style="290" customWidth="1"/>
    <col min="10" max="10" width="21.42578125" style="289" bestFit="1" customWidth="1"/>
    <col min="11" max="11" width="18.28515625" style="287" customWidth="1"/>
    <col min="12" max="12" width="14.85546875" style="291" customWidth="1"/>
    <col min="13" max="13" width="11.5703125" style="287"/>
    <col min="14" max="14" width="2.85546875" style="287" customWidth="1"/>
    <col min="15" max="252" width="11.5703125" style="287"/>
    <col min="253" max="253" width="5.28515625" style="287" customWidth="1"/>
    <col min="254" max="254" width="1.5703125" style="287" customWidth="1"/>
    <col min="255" max="255" width="25" style="287" customWidth="1"/>
    <col min="256" max="256" width="9.42578125" style="287" customWidth="1"/>
    <col min="257" max="257" width="9.28515625" style="287" customWidth="1"/>
    <col min="258" max="258" width="7.85546875" style="287" customWidth="1"/>
    <col min="259" max="259" width="13.28515625" style="287" customWidth="1"/>
    <col min="260" max="260" width="11.7109375" style="287" customWidth="1"/>
    <col min="261" max="261" width="9" style="287" customWidth="1"/>
    <col min="262" max="262" width="17.28515625" style="287" customWidth="1"/>
    <col min="263" max="263" width="13.28515625" style="287" customWidth="1"/>
    <col min="264" max="264" width="16.28515625" style="287" customWidth="1"/>
    <col min="265" max="265" width="15.28515625" style="287" customWidth="1"/>
    <col min="266" max="266" width="12.42578125" style="287" customWidth="1"/>
    <col min="267" max="508" width="11.5703125" style="287"/>
    <col min="509" max="509" width="5.28515625" style="287" customWidth="1"/>
    <col min="510" max="510" width="1.5703125" style="287" customWidth="1"/>
    <col min="511" max="511" width="25" style="287" customWidth="1"/>
    <col min="512" max="512" width="9.42578125" style="287" customWidth="1"/>
    <col min="513" max="513" width="9.28515625" style="287" customWidth="1"/>
    <col min="514" max="514" width="7.85546875" style="287" customWidth="1"/>
    <col min="515" max="515" width="13.28515625" style="287" customWidth="1"/>
    <col min="516" max="516" width="11.7109375" style="287" customWidth="1"/>
    <col min="517" max="517" width="9" style="287" customWidth="1"/>
    <col min="518" max="518" width="17.28515625" style="287" customWidth="1"/>
    <col min="519" max="519" width="13.28515625" style="287" customWidth="1"/>
    <col min="520" max="520" width="16.28515625" style="287" customWidth="1"/>
    <col min="521" max="521" width="15.28515625" style="287" customWidth="1"/>
    <col min="522" max="522" width="12.42578125" style="287" customWidth="1"/>
    <col min="523" max="764" width="11.5703125" style="287"/>
    <col min="765" max="765" width="5.28515625" style="287" customWidth="1"/>
    <col min="766" max="766" width="1.5703125" style="287" customWidth="1"/>
    <col min="767" max="767" width="25" style="287" customWidth="1"/>
    <col min="768" max="768" width="9.42578125" style="287" customWidth="1"/>
    <col min="769" max="769" width="9.28515625" style="287" customWidth="1"/>
    <col min="770" max="770" width="7.85546875" style="287" customWidth="1"/>
    <col min="771" max="771" width="13.28515625" style="287" customWidth="1"/>
    <col min="772" max="772" width="11.7109375" style="287" customWidth="1"/>
    <col min="773" max="773" width="9" style="287" customWidth="1"/>
    <col min="774" max="774" width="17.28515625" style="287" customWidth="1"/>
    <col min="775" max="775" width="13.28515625" style="287" customWidth="1"/>
    <col min="776" max="776" width="16.28515625" style="287" customWidth="1"/>
    <col min="777" max="777" width="15.28515625" style="287" customWidth="1"/>
    <col min="778" max="778" width="12.42578125" style="287" customWidth="1"/>
    <col min="779" max="1020" width="11.5703125" style="287"/>
    <col min="1021" max="1021" width="5.28515625" style="287" customWidth="1"/>
    <col min="1022" max="1022" width="1.5703125" style="287" customWidth="1"/>
    <col min="1023" max="1023" width="25" style="287" customWidth="1"/>
    <col min="1024" max="1024" width="9.42578125" style="287" customWidth="1"/>
    <col min="1025" max="1025" width="9.28515625" style="287" customWidth="1"/>
    <col min="1026" max="1026" width="7.85546875" style="287" customWidth="1"/>
    <col min="1027" max="1027" width="13.28515625" style="287" customWidth="1"/>
    <col min="1028" max="1028" width="11.7109375" style="287" customWidth="1"/>
    <col min="1029" max="1029" width="9" style="287" customWidth="1"/>
    <col min="1030" max="1030" width="17.28515625" style="287" customWidth="1"/>
    <col min="1031" max="1031" width="13.28515625" style="287" customWidth="1"/>
    <col min="1032" max="1032" width="16.28515625" style="287" customWidth="1"/>
    <col min="1033" max="1033" width="15.28515625" style="287" customWidth="1"/>
    <col min="1034" max="1034" width="12.42578125" style="287" customWidth="1"/>
    <col min="1035" max="1276" width="11.5703125" style="287"/>
    <col min="1277" max="1277" width="5.28515625" style="287" customWidth="1"/>
    <col min="1278" max="1278" width="1.5703125" style="287" customWidth="1"/>
    <col min="1279" max="1279" width="25" style="287" customWidth="1"/>
    <col min="1280" max="1280" width="9.42578125" style="287" customWidth="1"/>
    <col min="1281" max="1281" width="9.28515625" style="287" customWidth="1"/>
    <col min="1282" max="1282" width="7.85546875" style="287" customWidth="1"/>
    <col min="1283" max="1283" width="13.28515625" style="287" customWidth="1"/>
    <col min="1284" max="1284" width="11.7109375" style="287" customWidth="1"/>
    <col min="1285" max="1285" width="9" style="287" customWidth="1"/>
    <col min="1286" max="1286" width="17.28515625" style="287" customWidth="1"/>
    <col min="1287" max="1287" width="13.28515625" style="287" customWidth="1"/>
    <col min="1288" max="1288" width="16.28515625" style="287" customWidth="1"/>
    <col min="1289" max="1289" width="15.28515625" style="287" customWidth="1"/>
    <col min="1290" max="1290" width="12.42578125" style="287" customWidth="1"/>
    <col min="1291" max="1532" width="11.5703125" style="287"/>
    <col min="1533" max="1533" width="5.28515625" style="287" customWidth="1"/>
    <col min="1534" max="1534" width="1.5703125" style="287" customWidth="1"/>
    <col min="1535" max="1535" width="25" style="287" customWidth="1"/>
    <col min="1536" max="1536" width="9.42578125" style="287" customWidth="1"/>
    <col min="1537" max="1537" width="9.28515625" style="287" customWidth="1"/>
    <col min="1538" max="1538" width="7.85546875" style="287" customWidth="1"/>
    <col min="1539" max="1539" width="13.28515625" style="287" customWidth="1"/>
    <col min="1540" max="1540" width="11.7109375" style="287" customWidth="1"/>
    <col min="1541" max="1541" width="9" style="287" customWidth="1"/>
    <col min="1542" max="1542" width="17.28515625" style="287" customWidth="1"/>
    <col min="1543" max="1543" width="13.28515625" style="287" customWidth="1"/>
    <col min="1544" max="1544" width="16.28515625" style="287" customWidth="1"/>
    <col min="1545" max="1545" width="15.28515625" style="287" customWidth="1"/>
    <col min="1546" max="1546" width="12.42578125" style="287" customWidth="1"/>
    <col min="1547" max="1788" width="11.5703125" style="287"/>
    <col min="1789" max="1789" width="5.28515625" style="287" customWidth="1"/>
    <col min="1790" max="1790" width="1.5703125" style="287" customWidth="1"/>
    <col min="1791" max="1791" width="25" style="287" customWidth="1"/>
    <col min="1792" max="1792" width="9.42578125" style="287" customWidth="1"/>
    <col min="1793" max="1793" width="9.28515625" style="287" customWidth="1"/>
    <col min="1794" max="1794" width="7.85546875" style="287" customWidth="1"/>
    <col min="1795" max="1795" width="13.28515625" style="287" customWidth="1"/>
    <col min="1796" max="1796" width="11.7109375" style="287" customWidth="1"/>
    <col min="1797" max="1797" width="9" style="287" customWidth="1"/>
    <col min="1798" max="1798" width="17.28515625" style="287" customWidth="1"/>
    <col min="1799" max="1799" width="13.28515625" style="287" customWidth="1"/>
    <col min="1800" max="1800" width="16.28515625" style="287" customWidth="1"/>
    <col min="1801" max="1801" width="15.28515625" style="287" customWidth="1"/>
    <col min="1802" max="1802" width="12.42578125" style="287" customWidth="1"/>
    <col min="1803" max="2044" width="11.5703125" style="287"/>
    <col min="2045" max="2045" width="5.28515625" style="287" customWidth="1"/>
    <col min="2046" max="2046" width="1.5703125" style="287" customWidth="1"/>
    <col min="2047" max="2047" width="25" style="287" customWidth="1"/>
    <col min="2048" max="2048" width="9.42578125" style="287" customWidth="1"/>
    <col min="2049" max="2049" width="9.28515625" style="287" customWidth="1"/>
    <col min="2050" max="2050" width="7.85546875" style="287" customWidth="1"/>
    <col min="2051" max="2051" width="13.28515625" style="287" customWidth="1"/>
    <col min="2052" max="2052" width="11.7109375" style="287" customWidth="1"/>
    <col min="2053" max="2053" width="9" style="287" customWidth="1"/>
    <col min="2054" max="2054" width="17.28515625" style="287" customWidth="1"/>
    <col min="2055" max="2055" width="13.28515625" style="287" customWidth="1"/>
    <col min="2056" max="2056" width="16.28515625" style="287" customWidth="1"/>
    <col min="2057" max="2057" width="15.28515625" style="287" customWidth="1"/>
    <col min="2058" max="2058" width="12.42578125" style="287" customWidth="1"/>
    <col min="2059" max="2300" width="11.5703125" style="287"/>
    <col min="2301" max="2301" width="5.28515625" style="287" customWidth="1"/>
    <col min="2302" max="2302" width="1.5703125" style="287" customWidth="1"/>
    <col min="2303" max="2303" width="25" style="287" customWidth="1"/>
    <col min="2304" max="2304" width="9.42578125" style="287" customWidth="1"/>
    <col min="2305" max="2305" width="9.28515625" style="287" customWidth="1"/>
    <col min="2306" max="2306" width="7.85546875" style="287" customWidth="1"/>
    <col min="2307" max="2307" width="13.28515625" style="287" customWidth="1"/>
    <col min="2308" max="2308" width="11.7109375" style="287" customWidth="1"/>
    <col min="2309" max="2309" width="9" style="287" customWidth="1"/>
    <col min="2310" max="2310" width="17.28515625" style="287" customWidth="1"/>
    <col min="2311" max="2311" width="13.28515625" style="287" customWidth="1"/>
    <col min="2312" max="2312" width="16.28515625" style="287" customWidth="1"/>
    <col min="2313" max="2313" width="15.28515625" style="287" customWidth="1"/>
    <col min="2314" max="2314" width="12.42578125" style="287" customWidth="1"/>
    <col min="2315" max="2556" width="11.5703125" style="287"/>
    <col min="2557" max="2557" width="5.28515625" style="287" customWidth="1"/>
    <col min="2558" max="2558" width="1.5703125" style="287" customWidth="1"/>
    <col min="2559" max="2559" width="25" style="287" customWidth="1"/>
    <col min="2560" max="2560" width="9.42578125" style="287" customWidth="1"/>
    <col min="2561" max="2561" width="9.28515625" style="287" customWidth="1"/>
    <col min="2562" max="2562" width="7.85546875" style="287" customWidth="1"/>
    <col min="2563" max="2563" width="13.28515625" style="287" customWidth="1"/>
    <col min="2564" max="2564" width="11.7109375" style="287" customWidth="1"/>
    <col min="2565" max="2565" width="9" style="287" customWidth="1"/>
    <col min="2566" max="2566" width="17.28515625" style="287" customWidth="1"/>
    <col min="2567" max="2567" width="13.28515625" style="287" customWidth="1"/>
    <col min="2568" max="2568" width="16.28515625" style="287" customWidth="1"/>
    <col min="2569" max="2569" width="15.28515625" style="287" customWidth="1"/>
    <col min="2570" max="2570" width="12.42578125" style="287" customWidth="1"/>
    <col min="2571" max="2812" width="11.5703125" style="287"/>
    <col min="2813" max="2813" width="5.28515625" style="287" customWidth="1"/>
    <col min="2814" max="2814" width="1.5703125" style="287" customWidth="1"/>
    <col min="2815" max="2815" width="25" style="287" customWidth="1"/>
    <col min="2816" max="2816" width="9.42578125" style="287" customWidth="1"/>
    <col min="2817" max="2817" width="9.28515625" style="287" customWidth="1"/>
    <col min="2818" max="2818" width="7.85546875" style="287" customWidth="1"/>
    <col min="2819" max="2819" width="13.28515625" style="287" customWidth="1"/>
    <col min="2820" max="2820" width="11.7109375" style="287" customWidth="1"/>
    <col min="2821" max="2821" width="9" style="287" customWidth="1"/>
    <col min="2822" max="2822" width="17.28515625" style="287" customWidth="1"/>
    <col min="2823" max="2823" width="13.28515625" style="287" customWidth="1"/>
    <col min="2824" max="2824" width="16.28515625" style="287" customWidth="1"/>
    <col min="2825" max="2825" width="15.28515625" style="287" customWidth="1"/>
    <col min="2826" max="2826" width="12.42578125" style="287" customWidth="1"/>
    <col min="2827" max="3068" width="11.5703125" style="287"/>
    <col min="3069" max="3069" width="5.28515625" style="287" customWidth="1"/>
    <col min="3070" max="3070" width="1.5703125" style="287" customWidth="1"/>
    <col min="3071" max="3071" width="25" style="287" customWidth="1"/>
    <col min="3072" max="3072" width="9.42578125" style="287" customWidth="1"/>
    <col min="3073" max="3073" width="9.28515625" style="287" customWidth="1"/>
    <col min="3074" max="3074" width="7.85546875" style="287" customWidth="1"/>
    <col min="3075" max="3075" width="13.28515625" style="287" customWidth="1"/>
    <col min="3076" max="3076" width="11.7109375" style="287" customWidth="1"/>
    <col min="3077" max="3077" width="9" style="287" customWidth="1"/>
    <col min="3078" max="3078" width="17.28515625" style="287" customWidth="1"/>
    <col min="3079" max="3079" width="13.28515625" style="287" customWidth="1"/>
    <col min="3080" max="3080" width="16.28515625" style="287" customWidth="1"/>
    <col min="3081" max="3081" width="15.28515625" style="287" customWidth="1"/>
    <col min="3082" max="3082" width="12.42578125" style="287" customWidth="1"/>
    <col min="3083" max="3324" width="11.5703125" style="287"/>
    <col min="3325" max="3325" width="5.28515625" style="287" customWidth="1"/>
    <col min="3326" max="3326" width="1.5703125" style="287" customWidth="1"/>
    <col min="3327" max="3327" width="25" style="287" customWidth="1"/>
    <col min="3328" max="3328" width="9.42578125" style="287" customWidth="1"/>
    <col min="3329" max="3329" width="9.28515625" style="287" customWidth="1"/>
    <col min="3330" max="3330" width="7.85546875" style="287" customWidth="1"/>
    <col min="3331" max="3331" width="13.28515625" style="287" customWidth="1"/>
    <col min="3332" max="3332" width="11.7109375" style="287" customWidth="1"/>
    <col min="3333" max="3333" width="9" style="287" customWidth="1"/>
    <col min="3334" max="3334" width="17.28515625" style="287" customWidth="1"/>
    <col min="3335" max="3335" width="13.28515625" style="287" customWidth="1"/>
    <col min="3336" max="3336" width="16.28515625" style="287" customWidth="1"/>
    <col min="3337" max="3337" width="15.28515625" style="287" customWidth="1"/>
    <col min="3338" max="3338" width="12.42578125" style="287" customWidth="1"/>
    <col min="3339" max="3580" width="11.5703125" style="287"/>
    <col min="3581" max="3581" width="5.28515625" style="287" customWidth="1"/>
    <col min="3582" max="3582" width="1.5703125" style="287" customWidth="1"/>
    <col min="3583" max="3583" width="25" style="287" customWidth="1"/>
    <col min="3584" max="3584" width="9.42578125" style="287" customWidth="1"/>
    <col min="3585" max="3585" width="9.28515625" style="287" customWidth="1"/>
    <col min="3586" max="3586" width="7.85546875" style="287" customWidth="1"/>
    <col min="3587" max="3587" width="13.28515625" style="287" customWidth="1"/>
    <col min="3588" max="3588" width="11.7109375" style="287" customWidth="1"/>
    <col min="3589" max="3589" width="9" style="287" customWidth="1"/>
    <col min="3590" max="3590" width="17.28515625" style="287" customWidth="1"/>
    <col min="3591" max="3591" width="13.28515625" style="287" customWidth="1"/>
    <col min="3592" max="3592" width="16.28515625" style="287" customWidth="1"/>
    <col min="3593" max="3593" width="15.28515625" style="287" customWidth="1"/>
    <col min="3594" max="3594" width="12.42578125" style="287" customWidth="1"/>
    <col min="3595" max="3836" width="11.5703125" style="287"/>
    <col min="3837" max="3837" width="5.28515625" style="287" customWidth="1"/>
    <col min="3838" max="3838" width="1.5703125" style="287" customWidth="1"/>
    <col min="3839" max="3839" width="25" style="287" customWidth="1"/>
    <col min="3840" max="3840" width="9.42578125" style="287" customWidth="1"/>
    <col min="3841" max="3841" width="9.28515625" style="287" customWidth="1"/>
    <col min="3842" max="3842" width="7.85546875" style="287" customWidth="1"/>
    <col min="3843" max="3843" width="13.28515625" style="287" customWidth="1"/>
    <col min="3844" max="3844" width="11.7109375" style="287" customWidth="1"/>
    <col min="3845" max="3845" width="9" style="287" customWidth="1"/>
    <col min="3846" max="3846" width="17.28515625" style="287" customWidth="1"/>
    <col min="3847" max="3847" width="13.28515625" style="287" customWidth="1"/>
    <col min="3848" max="3848" width="16.28515625" style="287" customWidth="1"/>
    <col min="3849" max="3849" width="15.28515625" style="287" customWidth="1"/>
    <col min="3850" max="3850" width="12.42578125" style="287" customWidth="1"/>
    <col min="3851" max="4092" width="11.5703125" style="287"/>
    <col min="4093" max="4093" width="5.28515625" style="287" customWidth="1"/>
    <col min="4094" max="4094" width="1.5703125" style="287" customWidth="1"/>
    <col min="4095" max="4095" width="25" style="287" customWidth="1"/>
    <col min="4096" max="4096" width="9.42578125" style="287" customWidth="1"/>
    <col min="4097" max="4097" width="9.28515625" style="287" customWidth="1"/>
    <col min="4098" max="4098" width="7.85546875" style="287" customWidth="1"/>
    <col min="4099" max="4099" width="13.28515625" style="287" customWidth="1"/>
    <col min="4100" max="4100" width="11.7109375" style="287" customWidth="1"/>
    <col min="4101" max="4101" width="9" style="287" customWidth="1"/>
    <col min="4102" max="4102" width="17.28515625" style="287" customWidth="1"/>
    <col min="4103" max="4103" width="13.28515625" style="287" customWidth="1"/>
    <col min="4104" max="4104" width="16.28515625" style="287" customWidth="1"/>
    <col min="4105" max="4105" width="15.28515625" style="287" customWidth="1"/>
    <col min="4106" max="4106" width="12.42578125" style="287" customWidth="1"/>
    <col min="4107" max="4348" width="11.5703125" style="287"/>
    <col min="4349" max="4349" width="5.28515625" style="287" customWidth="1"/>
    <col min="4350" max="4350" width="1.5703125" style="287" customWidth="1"/>
    <col min="4351" max="4351" width="25" style="287" customWidth="1"/>
    <col min="4352" max="4352" width="9.42578125" style="287" customWidth="1"/>
    <col min="4353" max="4353" width="9.28515625" style="287" customWidth="1"/>
    <col min="4354" max="4354" width="7.85546875" style="287" customWidth="1"/>
    <col min="4355" max="4355" width="13.28515625" style="287" customWidth="1"/>
    <col min="4356" max="4356" width="11.7109375" style="287" customWidth="1"/>
    <col min="4357" max="4357" width="9" style="287" customWidth="1"/>
    <col min="4358" max="4358" width="17.28515625" style="287" customWidth="1"/>
    <col min="4359" max="4359" width="13.28515625" style="287" customWidth="1"/>
    <col min="4360" max="4360" width="16.28515625" style="287" customWidth="1"/>
    <col min="4361" max="4361" width="15.28515625" style="287" customWidth="1"/>
    <col min="4362" max="4362" width="12.42578125" style="287" customWidth="1"/>
    <col min="4363" max="4604" width="11.5703125" style="287"/>
    <col min="4605" max="4605" width="5.28515625" style="287" customWidth="1"/>
    <col min="4606" max="4606" width="1.5703125" style="287" customWidth="1"/>
    <col min="4607" max="4607" width="25" style="287" customWidth="1"/>
    <col min="4608" max="4608" width="9.42578125" style="287" customWidth="1"/>
    <col min="4609" max="4609" width="9.28515625" style="287" customWidth="1"/>
    <col min="4610" max="4610" width="7.85546875" style="287" customWidth="1"/>
    <col min="4611" max="4611" width="13.28515625" style="287" customWidth="1"/>
    <col min="4612" max="4612" width="11.7109375" style="287" customWidth="1"/>
    <col min="4613" max="4613" width="9" style="287" customWidth="1"/>
    <col min="4614" max="4614" width="17.28515625" style="287" customWidth="1"/>
    <col min="4615" max="4615" width="13.28515625" style="287" customWidth="1"/>
    <col min="4616" max="4616" width="16.28515625" style="287" customWidth="1"/>
    <col min="4617" max="4617" width="15.28515625" style="287" customWidth="1"/>
    <col min="4618" max="4618" width="12.42578125" style="287" customWidth="1"/>
    <col min="4619" max="4860" width="11.5703125" style="287"/>
    <col min="4861" max="4861" width="5.28515625" style="287" customWidth="1"/>
    <col min="4862" max="4862" width="1.5703125" style="287" customWidth="1"/>
    <col min="4863" max="4863" width="25" style="287" customWidth="1"/>
    <col min="4864" max="4864" width="9.42578125" style="287" customWidth="1"/>
    <col min="4865" max="4865" width="9.28515625" style="287" customWidth="1"/>
    <col min="4866" max="4866" width="7.85546875" style="287" customWidth="1"/>
    <col min="4867" max="4867" width="13.28515625" style="287" customWidth="1"/>
    <col min="4868" max="4868" width="11.7109375" style="287" customWidth="1"/>
    <col min="4869" max="4869" width="9" style="287" customWidth="1"/>
    <col min="4870" max="4870" width="17.28515625" style="287" customWidth="1"/>
    <col min="4871" max="4871" width="13.28515625" style="287" customWidth="1"/>
    <col min="4872" max="4872" width="16.28515625" style="287" customWidth="1"/>
    <col min="4873" max="4873" width="15.28515625" style="287" customWidth="1"/>
    <col min="4874" max="4874" width="12.42578125" style="287" customWidth="1"/>
    <col min="4875" max="5116" width="11.5703125" style="287"/>
    <col min="5117" max="5117" width="5.28515625" style="287" customWidth="1"/>
    <col min="5118" max="5118" width="1.5703125" style="287" customWidth="1"/>
    <col min="5119" max="5119" width="25" style="287" customWidth="1"/>
    <col min="5120" max="5120" width="9.42578125" style="287" customWidth="1"/>
    <col min="5121" max="5121" width="9.28515625" style="287" customWidth="1"/>
    <col min="5122" max="5122" width="7.85546875" style="287" customWidth="1"/>
    <col min="5123" max="5123" width="13.28515625" style="287" customWidth="1"/>
    <col min="5124" max="5124" width="11.7109375" style="287" customWidth="1"/>
    <col min="5125" max="5125" width="9" style="287" customWidth="1"/>
    <col min="5126" max="5126" width="17.28515625" style="287" customWidth="1"/>
    <col min="5127" max="5127" width="13.28515625" style="287" customWidth="1"/>
    <col min="5128" max="5128" width="16.28515625" style="287" customWidth="1"/>
    <col min="5129" max="5129" width="15.28515625" style="287" customWidth="1"/>
    <col min="5130" max="5130" width="12.42578125" style="287" customWidth="1"/>
    <col min="5131" max="5372" width="11.5703125" style="287"/>
    <col min="5373" max="5373" width="5.28515625" style="287" customWidth="1"/>
    <col min="5374" max="5374" width="1.5703125" style="287" customWidth="1"/>
    <col min="5375" max="5375" width="25" style="287" customWidth="1"/>
    <col min="5376" max="5376" width="9.42578125" style="287" customWidth="1"/>
    <col min="5377" max="5377" width="9.28515625" style="287" customWidth="1"/>
    <col min="5378" max="5378" width="7.85546875" style="287" customWidth="1"/>
    <col min="5379" max="5379" width="13.28515625" style="287" customWidth="1"/>
    <col min="5380" max="5380" width="11.7109375" style="287" customWidth="1"/>
    <col min="5381" max="5381" width="9" style="287" customWidth="1"/>
    <col min="5382" max="5382" width="17.28515625" style="287" customWidth="1"/>
    <col min="5383" max="5383" width="13.28515625" style="287" customWidth="1"/>
    <col min="5384" max="5384" width="16.28515625" style="287" customWidth="1"/>
    <col min="5385" max="5385" width="15.28515625" style="287" customWidth="1"/>
    <col min="5386" max="5386" width="12.42578125" style="287" customWidth="1"/>
    <col min="5387" max="5628" width="11.5703125" style="287"/>
    <col min="5629" max="5629" width="5.28515625" style="287" customWidth="1"/>
    <col min="5630" max="5630" width="1.5703125" style="287" customWidth="1"/>
    <col min="5631" max="5631" width="25" style="287" customWidth="1"/>
    <col min="5632" max="5632" width="9.42578125" style="287" customWidth="1"/>
    <col min="5633" max="5633" width="9.28515625" style="287" customWidth="1"/>
    <col min="5634" max="5634" width="7.85546875" style="287" customWidth="1"/>
    <col min="5635" max="5635" width="13.28515625" style="287" customWidth="1"/>
    <col min="5636" max="5636" width="11.7109375" style="287" customWidth="1"/>
    <col min="5637" max="5637" width="9" style="287" customWidth="1"/>
    <col min="5638" max="5638" width="17.28515625" style="287" customWidth="1"/>
    <col min="5639" max="5639" width="13.28515625" style="287" customWidth="1"/>
    <col min="5640" max="5640" width="16.28515625" style="287" customWidth="1"/>
    <col min="5641" max="5641" width="15.28515625" style="287" customWidth="1"/>
    <col min="5642" max="5642" width="12.42578125" style="287" customWidth="1"/>
    <col min="5643" max="5884" width="11.5703125" style="287"/>
    <col min="5885" max="5885" width="5.28515625" style="287" customWidth="1"/>
    <col min="5886" max="5886" width="1.5703125" style="287" customWidth="1"/>
    <col min="5887" max="5887" width="25" style="287" customWidth="1"/>
    <col min="5888" max="5888" width="9.42578125" style="287" customWidth="1"/>
    <col min="5889" max="5889" width="9.28515625" style="287" customWidth="1"/>
    <col min="5890" max="5890" width="7.85546875" style="287" customWidth="1"/>
    <col min="5891" max="5891" width="13.28515625" style="287" customWidth="1"/>
    <col min="5892" max="5892" width="11.7109375" style="287" customWidth="1"/>
    <col min="5893" max="5893" width="9" style="287" customWidth="1"/>
    <col min="5894" max="5894" width="17.28515625" style="287" customWidth="1"/>
    <col min="5895" max="5895" width="13.28515625" style="287" customWidth="1"/>
    <col min="5896" max="5896" width="16.28515625" style="287" customWidth="1"/>
    <col min="5897" max="5897" width="15.28515625" style="287" customWidth="1"/>
    <col min="5898" max="5898" width="12.42578125" style="287" customWidth="1"/>
    <col min="5899" max="6140" width="11.5703125" style="287"/>
    <col min="6141" max="6141" width="5.28515625" style="287" customWidth="1"/>
    <col min="6142" max="6142" width="1.5703125" style="287" customWidth="1"/>
    <col min="6143" max="6143" width="25" style="287" customWidth="1"/>
    <col min="6144" max="6144" width="9.42578125" style="287" customWidth="1"/>
    <col min="6145" max="6145" width="9.28515625" style="287" customWidth="1"/>
    <col min="6146" max="6146" width="7.85546875" style="287" customWidth="1"/>
    <col min="6147" max="6147" width="13.28515625" style="287" customWidth="1"/>
    <col min="6148" max="6148" width="11.7109375" style="287" customWidth="1"/>
    <col min="6149" max="6149" width="9" style="287" customWidth="1"/>
    <col min="6150" max="6150" width="17.28515625" style="287" customWidth="1"/>
    <col min="6151" max="6151" width="13.28515625" style="287" customWidth="1"/>
    <col min="6152" max="6152" width="16.28515625" style="287" customWidth="1"/>
    <col min="6153" max="6153" width="15.28515625" style="287" customWidth="1"/>
    <col min="6154" max="6154" width="12.42578125" style="287" customWidth="1"/>
    <col min="6155" max="6396" width="11.5703125" style="287"/>
    <col min="6397" max="6397" width="5.28515625" style="287" customWidth="1"/>
    <col min="6398" max="6398" width="1.5703125" style="287" customWidth="1"/>
    <col min="6399" max="6399" width="25" style="287" customWidth="1"/>
    <col min="6400" max="6400" width="9.42578125" style="287" customWidth="1"/>
    <col min="6401" max="6401" width="9.28515625" style="287" customWidth="1"/>
    <col min="6402" max="6402" width="7.85546875" style="287" customWidth="1"/>
    <col min="6403" max="6403" width="13.28515625" style="287" customWidth="1"/>
    <col min="6404" max="6404" width="11.7109375" style="287" customWidth="1"/>
    <col min="6405" max="6405" width="9" style="287" customWidth="1"/>
    <col min="6406" max="6406" width="17.28515625" style="287" customWidth="1"/>
    <col min="6407" max="6407" width="13.28515625" style="287" customWidth="1"/>
    <col min="6408" max="6408" width="16.28515625" style="287" customWidth="1"/>
    <col min="6409" max="6409" width="15.28515625" style="287" customWidth="1"/>
    <col min="6410" max="6410" width="12.42578125" style="287" customWidth="1"/>
    <col min="6411" max="6652" width="11.5703125" style="287"/>
    <col min="6653" max="6653" width="5.28515625" style="287" customWidth="1"/>
    <col min="6654" max="6654" width="1.5703125" style="287" customWidth="1"/>
    <col min="6655" max="6655" width="25" style="287" customWidth="1"/>
    <col min="6656" max="6656" width="9.42578125" style="287" customWidth="1"/>
    <col min="6657" max="6657" width="9.28515625" style="287" customWidth="1"/>
    <col min="6658" max="6658" width="7.85546875" style="287" customWidth="1"/>
    <col min="6659" max="6659" width="13.28515625" style="287" customWidth="1"/>
    <col min="6660" max="6660" width="11.7109375" style="287" customWidth="1"/>
    <col min="6661" max="6661" width="9" style="287" customWidth="1"/>
    <col min="6662" max="6662" width="17.28515625" style="287" customWidth="1"/>
    <col min="6663" max="6663" width="13.28515625" style="287" customWidth="1"/>
    <col min="6664" max="6664" width="16.28515625" style="287" customWidth="1"/>
    <col min="6665" max="6665" width="15.28515625" style="287" customWidth="1"/>
    <col min="6666" max="6666" width="12.42578125" style="287" customWidth="1"/>
    <col min="6667" max="6908" width="11.5703125" style="287"/>
    <col min="6909" max="6909" width="5.28515625" style="287" customWidth="1"/>
    <col min="6910" max="6910" width="1.5703125" style="287" customWidth="1"/>
    <col min="6911" max="6911" width="25" style="287" customWidth="1"/>
    <col min="6912" max="6912" width="9.42578125" style="287" customWidth="1"/>
    <col min="6913" max="6913" width="9.28515625" style="287" customWidth="1"/>
    <col min="6914" max="6914" width="7.85546875" style="287" customWidth="1"/>
    <col min="6915" max="6915" width="13.28515625" style="287" customWidth="1"/>
    <col min="6916" max="6916" width="11.7109375" style="287" customWidth="1"/>
    <col min="6917" max="6917" width="9" style="287" customWidth="1"/>
    <col min="6918" max="6918" width="17.28515625" style="287" customWidth="1"/>
    <col min="6919" max="6919" width="13.28515625" style="287" customWidth="1"/>
    <col min="6920" max="6920" width="16.28515625" style="287" customWidth="1"/>
    <col min="6921" max="6921" width="15.28515625" style="287" customWidth="1"/>
    <col min="6922" max="6922" width="12.42578125" style="287" customWidth="1"/>
    <col min="6923" max="7164" width="11.5703125" style="287"/>
    <col min="7165" max="7165" width="5.28515625" style="287" customWidth="1"/>
    <col min="7166" max="7166" width="1.5703125" style="287" customWidth="1"/>
    <col min="7167" max="7167" width="25" style="287" customWidth="1"/>
    <col min="7168" max="7168" width="9.42578125" style="287" customWidth="1"/>
    <col min="7169" max="7169" width="9.28515625" style="287" customWidth="1"/>
    <col min="7170" max="7170" width="7.85546875" style="287" customWidth="1"/>
    <col min="7171" max="7171" width="13.28515625" style="287" customWidth="1"/>
    <col min="7172" max="7172" width="11.7109375" style="287" customWidth="1"/>
    <col min="7173" max="7173" width="9" style="287" customWidth="1"/>
    <col min="7174" max="7174" width="17.28515625" style="287" customWidth="1"/>
    <col min="7175" max="7175" width="13.28515625" style="287" customWidth="1"/>
    <col min="7176" max="7176" width="16.28515625" style="287" customWidth="1"/>
    <col min="7177" max="7177" width="15.28515625" style="287" customWidth="1"/>
    <col min="7178" max="7178" width="12.42578125" style="287" customWidth="1"/>
    <col min="7179" max="7420" width="11.5703125" style="287"/>
    <col min="7421" max="7421" width="5.28515625" style="287" customWidth="1"/>
    <col min="7422" max="7422" width="1.5703125" style="287" customWidth="1"/>
    <col min="7423" max="7423" width="25" style="287" customWidth="1"/>
    <col min="7424" max="7424" width="9.42578125" style="287" customWidth="1"/>
    <col min="7425" max="7425" width="9.28515625" style="287" customWidth="1"/>
    <col min="7426" max="7426" width="7.85546875" style="287" customWidth="1"/>
    <col min="7427" max="7427" width="13.28515625" style="287" customWidth="1"/>
    <col min="7428" max="7428" width="11.7109375" style="287" customWidth="1"/>
    <col min="7429" max="7429" width="9" style="287" customWidth="1"/>
    <col min="7430" max="7430" width="17.28515625" style="287" customWidth="1"/>
    <col min="7431" max="7431" width="13.28515625" style="287" customWidth="1"/>
    <col min="7432" max="7432" width="16.28515625" style="287" customWidth="1"/>
    <col min="7433" max="7433" width="15.28515625" style="287" customWidth="1"/>
    <col min="7434" max="7434" width="12.42578125" style="287" customWidth="1"/>
    <col min="7435" max="7676" width="11.5703125" style="287"/>
    <col min="7677" max="7677" width="5.28515625" style="287" customWidth="1"/>
    <col min="7678" max="7678" width="1.5703125" style="287" customWidth="1"/>
    <col min="7679" max="7679" width="25" style="287" customWidth="1"/>
    <col min="7680" max="7680" width="9.42578125" style="287" customWidth="1"/>
    <col min="7681" max="7681" width="9.28515625" style="287" customWidth="1"/>
    <col min="7682" max="7682" width="7.85546875" style="287" customWidth="1"/>
    <col min="7683" max="7683" width="13.28515625" style="287" customWidth="1"/>
    <col min="7684" max="7684" width="11.7109375" style="287" customWidth="1"/>
    <col min="7685" max="7685" width="9" style="287" customWidth="1"/>
    <col min="7686" max="7686" width="17.28515625" style="287" customWidth="1"/>
    <col min="7687" max="7687" width="13.28515625" style="287" customWidth="1"/>
    <col min="7688" max="7688" width="16.28515625" style="287" customWidth="1"/>
    <col min="7689" max="7689" width="15.28515625" style="287" customWidth="1"/>
    <col min="7690" max="7690" width="12.42578125" style="287" customWidth="1"/>
    <col min="7691" max="7932" width="11.5703125" style="287"/>
    <col min="7933" max="7933" width="5.28515625" style="287" customWidth="1"/>
    <col min="7934" max="7934" width="1.5703125" style="287" customWidth="1"/>
    <col min="7935" max="7935" width="25" style="287" customWidth="1"/>
    <col min="7936" max="7936" width="9.42578125" style="287" customWidth="1"/>
    <col min="7937" max="7937" width="9.28515625" style="287" customWidth="1"/>
    <col min="7938" max="7938" width="7.85546875" style="287" customWidth="1"/>
    <col min="7939" max="7939" width="13.28515625" style="287" customWidth="1"/>
    <col min="7940" max="7940" width="11.7109375" style="287" customWidth="1"/>
    <col min="7941" max="7941" width="9" style="287" customWidth="1"/>
    <col min="7942" max="7942" width="17.28515625" style="287" customWidth="1"/>
    <col min="7943" max="7943" width="13.28515625" style="287" customWidth="1"/>
    <col min="7944" max="7944" width="16.28515625" style="287" customWidth="1"/>
    <col min="7945" max="7945" width="15.28515625" style="287" customWidth="1"/>
    <col min="7946" max="7946" width="12.42578125" style="287" customWidth="1"/>
    <col min="7947" max="8188" width="11.5703125" style="287"/>
    <col min="8189" max="8189" width="5.28515625" style="287" customWidth="1"/>
    <col min="8190" max="8190" width="1.5703125" style="287" customWidth="1"/>
    <col min="8191" max="8191" width="25" style="287" customWidth="1"/>
    <col min="8192" max="8192" width="9.42578125" style="287" customWidth="1"/>
    <col min="8193" max="8193" width="9.28515625" style="287" customWidth="1"/>
    <col min="8194" max="8194" width="7.85546875" style="287" customWidth="1"/>
    <col min="8195" max="8195" width="13.28515625" style="287" customWidth="1"/>
    <col min="8196" max="8196" width="11.7109375" style="287" customWidth="1"/>
    <col min="8197" max="8197" width="9" style="287" customWidth="1"/>
    <col min="8198" max="8198" width="17.28515625" style="287" customWidth="1"/>
    <col min="8199" max="8199" width="13.28515625" style="287" customWidth="1"/>
    <col min="8200" max="8200" width="16.28515625" style="287" customWidth="1"/>
    <col min="8201" max="8201" width="15.28515625" style="287" customWidth="1"/>
    <col min="8202" max="8202" width="12.42578125" style="287" customWidth="1"/>
    <col min="8203" max="8444" width="11.5703125" style="287"/>
    <col min="8445" max="8445" width="5.28515625" style="287" customWidth="1"/>
    <col min="8446" max="8446" width="1.5703125" style="287" customWidth="1"/>
    <col min="8447" max="8447" width="25" style="287" customWidth="1"/>
    <col min="8448" max="8448" width="9.42578125" style="287" customWidth="1"/>
    <col min="8449" max="8449" width="9.28515625" style="287" customWidth="1"/>
    <col min="8450" max="8450" width="7.85546875" style="287" customWidth="1"/>
    <col min="8451" max="8451" width="13.28515625" style="287" customWidth="1"/>
    <col min="8452" max="8452" width="11.7109375" style="287" customWidth="1"/>
    <col min="8453" max="8453" width="9" style="287" customWidth="1"/>
    <col min="8454" max="8454" width="17.28515625" style="287" customWidth="1"/>
    <col min="8455" max="8455" width="13.28515625" style="287" customWidth="1"/>
    <col min="8456" max="8456" width="16.28515625" style="287" customWidth="1"/>
    <col min="8457" max="8457" width="15.28515625" style="287" customWidth="1"/>
    <col min="8458" max="8458" width="12.42578125" style="287" customWidth="1"/>
    <col min="8459" max="8700" width="11.5703125" style="287"/>
    <col min="8701" max="8701" width="5.28515625" style="287" customWidth="1"/>
    <col min="8702" max="8702" width="1.5703125" style="287" customWidth="1"/>
    <col min="8703" max="8703" width="25" style="287" customWidth="1"/>
    <col min="8704" max="8704" width="9.42578125" style="287" customWidth="1"/>
    <col min="8705" max="8705" width="9.28515625" style="287" customWidth="1"/>
    <col min="8706" max="8706" width="7.85546875" style="287" customWidth="1"/>
    <col min="8707" max="8707" width="13.28515625" style="287" customWidth="1"/>
    <col min="8708" max="8708" width="11.7109375" style="287" customWidth="1"/>
    <col min="8709" max="8709" width="9" style="287" customWidth="1"/>
    <col min="8710" max="8710" width="17.28515625" style="287" customWidth="1"/>
    <col min="8711" max="8711" width="13.28515625" style="287" customWidth="1"/>
    <col min="8712" max="8712" width="16.28515625" style="287" customWidth="1"/>
    <col min="8713" max="8713" width="15.28515625" style="287" customWidth="1"/>
    <col min="8714" max="8714" width="12.42578125" style="287" customWidth="1"/>
    <col min="8715" max="8956" width="11.5703125" style="287"/>
    <col min="8957" max="8957" width="5.28515625" style="287" customWidth="1"/>
    <col min="8958" max="8958" width="1.5703125" style="287" customWidth="1"/>
    <col min="8959" max="8959" width="25" style="287" customWidth="1"/>
    <col min="8960" max="8960" width="9.42578125" style="287" customWidth="1"/>
    <col min="8961" max="8961" width="9.28515625" style="287" customWidth="1"/>
    <col min="8962" max="8962" width="7.85546875" style="287" customWidth="1"/>
    <col min="8963" max="8963" width="13.28515625" style="287" customWidth="1"/>
    <col min="8964" max="8964" width="11.7109375" style="287" customWidth="1"/>
    <col min="8965" max="8965" width="9" style="287" customWidth="1"/>
    <col min="8966" max="8966" width="17.28515625" style="287" customWidth="1"/>
    <col min="8967" max="8967" width="13.28515625" style="287" customWidth="1"/>
    <col min="8968" max="8968" width="16.28515625" style="287" customWidth="1"/>
    <col min="8969" max="8969" width="15.28515625" style="287" customWidth="1"/>
    <col min="8970" max="8970" width="12.42578125" style="287" customWidth="1"/>
    <col min="8971" max="9212" width="11.5703125" style="287"/>
    <col min="9213" max="9213" width="5.28515625" style="287" customWidth="1"/>
    <col min="9214" max="9214" width="1.5703125" style="287" customWidth="1"/>
    <col min="9215" max="9215" width="25" style="287" customWidth="1"/>
    <col min="9216" max="9216" width="9.42578125" style="287" customWidth="1"/>
    <col min="9217" max="9217" width="9.28515625" style="287" customWidth="1"/>
    <col min="9218" max="9218" width="7.85546875" style="287" customWidth="1"/>
    <col min="9219" max="9219" width="13.28515625" style="287" customWidth="1"/>
    <col min="9220" max="9220" width="11.7109375" style="287" customWidth="1"/>
    <col min="9221" max="9221" width="9" style="287" customWidth="1"/>
    <col min="9222" max="9222" width="17.28515625" style="287" customWidth="1"/>
    <col min="9223" max="9223" width="13.28515625" style="287" customWidth="1"/>
    <col min="9224" max="9224" width="16.28515625" style="287" customWidth="1"/>
    <col min="9225" max="9225" width="15.28515625" style="287" customWidth="1"/>
    <col min="9226" max="9226" width="12.42578125" style="287" customWidth="1"/>
    <col min="9227" max="9468" width="11.5703125" style="287"/>
    <col min="9469" max="9469" width="5.28515625" style="287" customWidth="1"/>
    <col min="9470" max="9470" width="1.5703125" style="287" customWidth="1"/>
    <col min="9471" max="9471" width="25" style="287" customWidth="1"/>
    <col min="9472" max="9472" width="9.42578125" style="287" customWidth="1"/>
    <col min="9473" max="9473" width="9.28515625" style="287" customWidth="1"/>
    <col min="9474" max="9474" width="7.85546875" style="287" customWidth="1"/>
    <col min="9475" max="9475" width="13.28515625" style="287" customWidth="1"/>
    <col min="9476" max="9476" width="11.7109375" style="287" customWidth="1"/>
    <col min="9477" max="9477" width="9" style="287" customWidth="1"/>
    <col min="9478" max="9478" width="17.28515625" style="287" customWidth="1"/>
    <col min="9479" max="9479" width="13.28515625" style="287" customWidth="1"/>
    <col min="9480" max="9480" width="16.28515625" style="287" customWidth="1"/>
    <col min="9481" max="9481" width="15.28515625" style="287" customWidth="1"/>
    <col min="9482" max="9482" width="12.42578125" style="287" customWidth="1"/>
    <col min="9483" max="9724" width="11.5703125" style="287"/>
    <col min="9725" max="9725" width="5.28515625" style="287" customWidth="1"/>
    <col min="9726" max="9726" width="1.5703125" style="287" customWidth="1"/>
    <col min="9727" max="9727" width="25" style="287" customWidth="1"/>
    <col min="9728" max="9728" width="9.42578125" style="287" customWidth="1"/>
    <col min="9729" max="9729" width="9.28515625" style="287" customWidth="1"/>
    <col min="9730" max="9730" width="7.85546875" style="287" customWidth="1"/>
    <col min="9731" max="9731" width="13.28515625" style="287" customWidth="1"/>
    <col min="9732" max="9732" width="11.7109375" style="287" customWidth="1"/>
    <col min="9733" max="9733" width="9" style="287" customWidth="1"/>
    <col min="9734" max="9734" width="17.28515625" style="287" customWidth="1"/>
    <col min="9735" max="9735" width="13.28515625" style="287" customWidth="1"/>
    <col min="9736" max="9736" width="16.28515625" style="287" customWidth="1"/>
    <col min="9737" max="9737" width="15.28515625" style="287" customWidth="1"/>
    <col min="9738" max="9738" width="12.42578125" style="287" customWidth="1"/>
    <col min="9739" max="9980" width="11.5703125" style="287"/>
    <col min="9981" max="9981" width="5.28515625" style="287" customWidth="1"/>
    <col min="9982" max="9982" width="1.5703125" style="287" customWidth="1"/>
    <col min="9983" max="9983" width="25" style="287" customWidth="1"/>
    <col min="9984" max="9984" width="9.42578125" style="287" customWidth="1"/>
    <col min="9985" max="9985" width="9.28515625" style="287" customWidth="1"/>
    <col min="9986" max="9986" width="7.85546875" style="287" customWidth="1"/>
    <col min="9987" max="9987" width="13.28515625" style="287" customWidth="1"/>
    <col min="9988" max="9988" width="11.7109375" style="287" customWidth="1"/>
    <col min="9989" max="9989" width="9" style="287" customWidth="1"/>
    <col min="9990" max="9990" width="17.28515625" style="287" customWidth="1"/>
    <col min="9991" max="9991" width="13.28515625" style="287" customWidth="1"/>
    <col min="9992" max="9992" width="16.28515625" style="287" customWidth="1"/>
    <col min="9993" max="9993" width="15.28515625" style="287" customWidth="1"/>
    <col min="9994" max="9994" width="12.42578125" style="287" customWidth="1"/>
    <col min="9995" max="10236" width="11.5703125" style="287"/>
    <col min="10237" max="10237" width="5.28515625" style="287" customWidth="1"/>
    <col min="10238" max="10238" width="1.5703125" style="287" customWidth="1"/>
    <col min="10239" max="10239" width="25" style="287" customWidth="1"/>
    <col min="10240" max="10240" width="9.42578125" style="287" customWidth="1"/>
    <col min="10241" max="10241" width="9.28515625" style="287" customWidth="1"/>
    <col min="10242" max="10242" width="7.85546875" style="287" customWidth="1"/>
    <col min="10243" max="10243" width="13.28515625" style="287" customWidth="1"/>
    <col min="10244" max="10244" width="11.7109375" style="287" customWidth="1"/>
    <col min="10245" max="10245" width="9" style="287" customWidth="1"/>
    <col min="10246" max="10246" width="17.28515625" style="287" customWidth="1"/>
    <col min="10247" max="10247" width="13.28515625" style="287" customWidth="1"/>
    <col min="10248" max="10248" width="16.28515625" style="287" customWidth="1"/>
    <col min="10249" max="10249" width="15.28515625" style="287" customWidth="1"/>
    <col min="10250" max="10250" width="12.42578125" style="287" customWidth="1"/>
    <col min="10251" max="10492" width="11.5703125" style="287"/>
    <col min="10493" max="10493" width="5.28515625" style="287" customWidth="1"/>
    <col min="10494" max="10494" width="1.5703125" style="287" customWidth="1"/>
    <col min="10495" max="10495" width="25" style="287" customWidth="1"/>
    <col min="10496" max="10496" width="9.42578125" style="287" customWidth="1"/>
    <col min="10497" max="10497" width="9.28515625" style="287" customWidth="1"/>
    <col min="10498" max="10498" width="7.85546875" style="287" customWidth="1"/>
    <col min="10499" max="10499" width="13.28515625" style="287" customWidth="1"/>
    <col min="10500" max="10500" width="11.7109375" style="287" customWidth="1"/>
    <col min="10501" max="10501" width="9" style="287" customWidth="1"/>
    <col min="10502" max="10502" width="17.28515625" style="287" customWidth="1"/>
    <col min="10503" max="10503" width="13.28515625" style="287" customWidth="1"/>
    <col min="10504" max="10504" width="16.28515625" style="287" customWidth="1"/>
    <col min="10505" max="10505" width="15.28515625" style="287" customWidth="1"/>
    <col min="10506" max="10506" width="12.42578125" style="287" customWidth="1"/>
    <col min="10507" max="10748" width="11.5703125" style="287"/>
    <col min="10749" max="10749" width="5.28515625" style="287" customWidth="1"/>
    <col min="10750" max="10750" width="1.5703125" style="287" customWidth="1"/>
    <col min="10751" max="10751" width="25" style="287" customWidth="1"/>
    <col min="10752" max="10752" width="9.42578125" style="287" customWidth="1"/>
    <col min="10753" max="10753" width="9.28515625" style="287" customWidth="1"/>
    <col min="10754" max="10754" width="7.85546875" style="287" customWidth="1"/>
    <col min="10755" max="10755" width="13.28515625" style="287" customWidth="1"/>
    <col min="10756" max="10756" width="11.7109375" style="287" customWidth="1"/>
    <col min="10757" max="10757" width="9" style="287" customWidth="1"/>
    <col min="10758" max="10758" width="17.28515625" style="287" customWidth="1"/>
    <col min="10759" max="10759" width="13.28515625" style="287" customWidth="1"/>
    <col min="10760" max="10760" width="16.28515625" style="287" customWidth="1"/>
    <col min="10761" max="10761" width="15.28515625" style="287" customWidth="1"/>
    <col min="10762" max="10762" width="12.42578125" style="287" customWidth="1"/>
    <col min="10763" max="11004" width="11.5703125" style="287"/>
    <col min="11005" max="11005" width="5.28515625" style="287" customWidth="1"/>
    <col min="11006" max="11006" width="1.5703125" style="287" customWidth="1"/>
    <col min="11007" max="11007" width="25" style="287" customWidth="1"/>
    <col min="11008" max="11008" width="9.42578125" style="287" customWidth="1"/>
    <col min="11009" max="11009" width="9.28515625" style="287" customWidth="1"/>
    <col min="11010" max="11010" width="7.85546875" style="287" customWidth="1"/>
    <col min="11011" max="11011" width="13.28515625" style="287" customWidth="1"/>
    <col min="11012" max="11012" width="11.7109375" style="287" customWidth="1"/>
    <col min="11013" max="11013" width="9" style="287" customWidth="1"/>
    <col min="11014" max="11014" width="17.28515625" style="287" customWidth="1"/>
    <col min="11015" max="11015" width="13.28515625" style="287" customWidth="1"/>
    <col min="11016" max="11016" width="16.28515625" style="287" customWidth="1"/>
    <col min="11017" max="11017" width="15.28515625" style="287" customWidth="1"/>
    <col min="11018" max="11018" width="12.42578125" style="287" customWidth="1"/>
    <col min="11019" max="11260" width="11.5703125" style="287"/>
    <col min="11261" max="11261" width="5.28515625" style="287" customWidth="1"/>
    <col min="11262" max="11262" width="1.5703125" style="287" customWidth="1"/>
    <col min="11263" max="11263" width="25" style="287" customWidth="1"/>
    <col min="11264" max="11264" width="9.42578125" style="287" customWidth="1"/>
    <col min="11265" max="11265" width="9.28515625" style="287" customWidth="1"/>
    <col min="11266" max="11266" width="7.85546875" style="287" customWidth="1"/>
    <col min="11267" max="11267" width="13.28515625" style="287" customWidth="1"/>
    <col min="11268" max="11268" width="11.7109375" style="287" customWidth="1"/>
    <col min="11269" max="11269" width="9" style="287" customWidth="1"/>
    <col min="11270" max="11270" width="17.28515625" style="287" customWidth="1"/>
    <col min="11271" max="11271" width="13.28515625" style="287" customWidth="1"/>
    <col min="11272" max="11272" width="16.28515625" style="287" customWidth="1"/>
    <col min="11273" max="11273" width="15.28515625" style="287" customWidth="1"/>
    <col min="11274" max="11274" width="12.42578125" style="287" customWidth="1"/>
    <col min="11275" max="11516" width="11.5703125" style="287"/>
    <col min="11517" max="11517" width="5.28515625" style="287" customWidth="1"/>
    <col min="11518" max="11518" width="1.5703125" style="287" customWidth="1"/>
    <col min="11519" max="11519" width="25" style="287" customWidth="1"/>
    <col min="11520" max="11520" width="9.42578125" style="287" customWidth="1"/>
    <col min="11521" max="11521" width="9.28515625" style="287" customWidth="1"/>
    <col min="11522" max="11522" width="7.85546875" style="287" customWidth="1"/>
    <col min="11523" max="11523" width="13.28515625" style="287" customWidth="1"/>
    <col min="11524" max="11524" width="11.7109375" style="287" customWidth="1"/>
    <col min="11525" max="11525" width="9" style="287" customWidth="1"/>
    <col min="11526" max="11526" width="17.28515625" style="287" customWidth="1"/>
    <col min="11527" max="11527" width="13.28515625" style="287" customWidth="1"/>
    <col min="11528" max="11528" width="16.28515625" style="287" customWidth="1"/>
    <col min="11529" max="11529" width="15.28515625" style="287" customWidth="1"/>
    <col min="11530" max="11530" width="12.42578125" style="287" customWidth="1"/>
    <col min="11531" max="11772" width="11.5703125" style="287"/>
    <col min="11773" max="11773" width="5.28515625" style="287" customWidth="1"/>
    <col min="11774" max="11774" width="1.5703125" style="287" customWidth="1"/>
    <col min="11775" max="11775" width="25" style="287" customWidth="1"/>
    <col min="11776" max="11776" width="9.42578125" style="287" customWidth="1"/>
    <col min="11777" max="11777" width="9.28515625" style="287" customWidth="1"/>
    <col min="11778" max="11778" width="7.85546875" style="287" customWidth="1"/>
    <col min="11779" max="11779" width="13.28515625" style="287" customWidth="1"/>
    <col min="11780" max="11780" width="11.7109375" style="287" customWidth="1"/>
    <col min="11781" max="11781" width="9" style="287" customWidth="1"/>
    <col min="11782" max="11782" width="17.28515625" style="287" customWidth="1"/>
    <col min="11783" max="11783" width="13.28515625" style="287" customWidth="1"/>
    <col min="11784" max="11784" width="16.28515625" style="287" customWidth="1"/>
    <col min="11785" max="11785" width="15.28515625" style="287" customWidth="1"/>
    <col min="11786" max="11786" width="12.42578125" style="287" customWidth="1"/>
    <col min="11787" max="12028" width="11.5703125" style="287"/>
    <col min="12029" max="12029" width="5.28515625" style="287" customWidth="1"/>
    <col min="12030" max="12030" width="1.5703125" style="287" customWidth="1"/>
    <col min="12031" max="12031" width="25" style="287" customWidth="1"/>
    <col min="12032" max="12032" width="9.42578125" style="287" customWidth="1"/>
    <col min="12033" max="12033" width="9.28515625" style="287" customWidth="1"/>
    <col min="12034" max="12034" width="7.85546875" style="287" customWidth="1"/>
    <col min="12035" max="12035" width="13.28515625" style="287" customWidth="1"/>
    <col min="12036" max="12036" width="11.7109375" style="287" customWidth="1"/>
    <col min="12037" max="12037" width="9" style="287" customWidth="1"/>
    <col min="12038" max="12038" width="17.28515625" style="287" customWidth="1"/>
    <col min="12039" max="12039" width="13.28515625" style="287" customWidth="1"/>
    <col min="12040" max="12040" width="16.28515625" style="287" customWidth="1"/>
    <col min="12041" max="12041" width="15.28515625" style="287" customWidth="1"/>
    <col min="12042" max="12042" width="12.42578125" style="287" customWidth="1"/>
    <col min="12043" max="12284" width="11.5703125" style="287"/>
    <col min="12285" max="12285" width="5.28515625" style="287" customWidth="1"/>
    <col min="12286" max="12286" width="1.5703125" style="287" customWidth="1"/>
    <col min="12287" max="12287" width="25" style="287" customWidth="1"/>
    <col min="12288" max="12288" width="9.42578125" style="287" customWidth="1"/>
    <col min="12289" max="12289" width="9.28515625" style="287" customWidth="1"/>
    <col min="12290" max="12290" width="7.85546875" style="287" customWidth="1"/>
    <col min="12291" max="12291" width="13.28515625" style="287" customWidth="1"/>
    <col min="12292" max="12292" width="11.7109375" style="287" customWidth="1"/>
    <col min="12293" max="12293" width="9" style="287" customWidth="1"/>
    <col min="12294" max="12294" width="17.28515625" style="287" customWidth="1"/>
    <col min="12295" max="12295" width="13.28515625" style="287" customWidth="1"/>
    <col min="12296" max="12296" width="16.28515625" style="287" customWidth="1"/>
    <col min="12297" max="12297" width="15.28515625" style="287" customWidth="1"/>
    <col min="12298" max="12298" width="12.42578125" style="287" customWidth="1"/>
    <col min="12299" max="12540" width="11.5703125" style="287"/>
    <col min="12541" max="12541" width="5.28515625" style="287" customWidth="1"/>
    <col min="12542" max="12542" width="1.5703125" style="287" customWidth="1"/>
    <col min="12543" max="12543" width="25" style="287" customWidth="1"/>
    <col min="12544" max="12544" width="9.42578125" style="287" customWidth="1"/>
    <col min="12545" max="12545" width="9.28515625" style="287" customWidth="1"/>
    <col min="12546" max="12546" width="7.85546875" style="287" customWidth="1"/>
    <col min="12547" max="12547" width="13.28515625" style="287" customWidth="1"/>
    <col min="12548" max="12548" width="11.7109375" style="287" customWidth="1"/>
    <col min="12549" max="12549" width="9" style="287" customWidth="1"/>
    <col min="12550" max="12550" width="17.28515625" style="287" customWidth="1"/>
    <col min="12551" max="12551" width="13.28515625" style="287" customWidth="1"/>
    <col min="12552" max="12552" width="16.28515625" style="287" customWidth="1"/>
    <col min="12553" max="12553" width="15.28515625" style="287" customWidth="1"/>
    <col min="12554" max="12554" width="12.42578125" style="287" customWidth="1"/>
    <col min="12555" max="12796" width="11.5703125" style="287"/>
    <col min="12797" max="12797" width="5.28515625" style="287" customWidth="1"/>
    <col min="12798" max="12798" width="1.5703125" style="287" customWidth="1"/>
    <col min="12799" max="12799" width="25" style="287" customWidth="1"/>
    <col min="12800" max="12800" width="9.42578125" style="287" customWidth="1"/>
    <col min="12801" max="12801" width="9.28515625" style="287" customWidth="1"/>
    <col min="12802" max="12802" width="7.85546875" style="287" customWidth="1"/>
    <col min="12803" max="12803" width="13.28515625" style="287" customWidth="1"/>
    <col min="12804" max="12804" width="11.7109375" style="287" customWidth="1"/>
    <col min="12805" max="12805" width="9" style="287" customWidth="1"/>
    <col min="12806" max="12806" width="17.28515625" style="287" customWidth="1"/>
    <col min="12807" max="12807" width="13.28515625" style="287" customWidth="1"/>
    <col min="12808" max="12808" width="16.28515625" style="287" customWidth="1"/>
    <col min="12809" max="12809" width="15.28515625" style="287" customWidth="1"/>
    <col min="12810" max="12810" width="12.42578125" style="287" customWidth="1"/>
    <col min="12811" max="13052" width="11.5703125" style="287"/>
    <col min="13053" max="13053" width="5.28515625" style="287" customWidth="1"/>
    <col min="13054" max="13054" width="1.5703125" style="287" customWidth="1"/>
    <col min="13055" max="13055" width="25" style="287" customWidth="1"/>
    <col min="13056" max="13056" width="9.42578125" style="287" customWidth="1"/>
    <col min="13057" max="13057" width="9.28515625" style="287" customWidth="1"/>
    <col min="13058" max="13058" width="7.85546875" style="287" customWidth="1"/>
    <col min="13059" max="13059" width="13.28515625" style="287" customWidth="1"/>
    <col min="13060" max="13060" width="11.7109375" style="287" customWidth="1"/>
    <col min="13061" max="13061" width="9" style="287" customWidth="1"/>
    <col min="13062" max="13062" width="17.28515625" style="287" customWidth="1"/>
    <col min="13063" max="13063" width="13.28515625" style="287" customWidth="1"/>
    <col min="13064" max="13064" width="16.28515625" style="287" customWidth="1"/>
    <col min="13065" max="13065" width="15.28515625" style="287" customWidth="1"/>
    <col min="13066" max="13066" width="12.42578125" style="287" customWidth="1"/>
    <col min="13067" max="13308" width="11.5703125" style="287"/>
    <col min="13309" max="13309" width="5.28515625" style="287" customWidth="1"/>
    <col min="13310" max="13310" width="1.5703125" style="287" customWidth="1"/>
    <col min="13311" max="13311" width="25" style="287" customWidth="1"/>
    <col min="13312" max="13312" width="9.42578125" style="287" customWidth="1"/>
    <col min="13313" max="13313" width="9.28515625" style="287" customWidth="1"/>
    <col min="13314" max="13314" width="7.85546875" style="287" customWidth="1"/>
    <col min="13315" max="13315" width="13.28515625" style="287" customWidth="1"/>
    <col min="13316" max="13316" width="11.7109375" style="287" customWidth="1"/>
    <col min="13317" max="13317" width="9" style="287" customWidth="1"/>
    <col min="13318" max="13318" width="17.28515625" style="287" customWidth="1"/>
    <col min="13319" max="13319" width="13.28515625" style="287" customWidth="1"/>
    <col min="13320" max="13320" width="16.28515625" style="287" customWidth="1"/>
    <col min="13321" max="13321" width="15.28515625" style="287" customWidth="1"/>
    <col min="13322" max="13322" width="12.42578125" style="287" customWidth="1"/>
    <col min="13323" max="13564" width="11.5703125" style="287"/>
    <col min="13565" max="13565" width="5.28515625" style="287" customWidth="1"/>
    <col min="13566" max="13566" width="1.5703125" style="287" customWidth="1"/>
    <col min="13567" max="13567" width="25" style="287" customWidth="1"/>
    <col min="13568" max="13568" width="9.42578125" style="287" customWidth="1"/>
    <col min="13569" max="13569" width="9.28515625" style="287" customWidth="1"/>
    <col min="13570" max="13570" width="7.85546875" style="287" customWidth="1"/>
    <col min="13571" max="13571" width="13.28515625" style="287" customWidth="1"/>
    <col min="13572" max="13572" width="11.7109375" style="287" customWidth="1"/>
    <col min="13573" max="13573" width="9" style="287" customWidth="1"/>
    <col min="13574" max="13574" width="17.28515625" style="287" customWidth="1"/>
    <col min="13575" max="13575" width="13.28515625" style="287" customWidth="1"/>
    <col min="13576" max="13576" width="16.28515625" style="287" customWidth="1"/>
    <col min="13577" max="13577" width="15.28515625" style="287" customWidth="1"/>
    <col min="13578" max="13578" width="12.42578125" style="287" customWidth="1"/>
    <col min="13579" max="13820" width="11.5703125" style="287"/>
    <col min="13821" max="13821" width="5.28515625" style="287" customWidth="1"/>
    <col min="13822" max="13822" width="1.5703125" style="287" customWidth="1"/>
    <col min="13823" max="13823" width="25" style="287" customWidth="1"/>
    <col min="13824" max="13824" width="9.42578125" style="287" customWidth="1"/>
    <col min="13825" max="13825" width="9.28515625" style="287" customWidth="1"/>
    <col min="13826" max="13826" width="7.85546875" style="287" customWidth="1"/>
    <col min="13827" max="13827" width="13.28515625" style="287" customWidth="1"/>
    <col min="13828" max="13828" width="11.7109375" style="287" customWidth="1"/>
    <col min="13829" max="13829" width="9" style="287" customWidth="1"/>
    <col min="13830" max="13830" width="17.28515625" style="287" customWidth="1"/>
    <col min="13831" max="13831" width="13.28515625" style="287" customWidth="1"/>
    <col min="13832" max="13832" width="16.28515625" style="287" customWidth="1"/>
    <col min="13833" max="13833" width="15.28515625" style="287" customWidth="1"/>
    <col min="13834" max="13834" width="12.42578125" style="287" customWidth="1"/>
    <col min="13835" max="14076" width="11.5703125" style="287"/>
    <col min="14077" max="14077" width="5.28515625" style="287" customWidth="1"/>
    <col min="14078" max="14078" width="1.5703125" style="287" customWidth="1"/>
    <col min="14079" max="14079" width="25" style="287" customWidth="1"/>
    <col min="14080" max="14080" width="9.42578125" style="287" customWidth="1"/>
    <col min="14081" max="14081" width="9.28515625" style="287" customWidth="1"/>
    <col min="14082" max="14082" width="7.85546875" style="287" customWidth="1"/>
    <col min="14083" max="14083" width="13.28515625" style="287" customWidth="1"/>
    <col min="14084" max="14084" width="11.7109375" style="287" customWidth="1"/>
    <col min="14085" max="14085" width="9" style="287" customWidth="1"/>
    <col min="14086" max="14086" width="17.28515625" style="287" customWidth="1"/>
    <col min="14087" max="14087" width="13.28515625" style="287" customWidth="1"/>
    <col min="14088" max="14088" width="16.28515625" style="287" customWidth="1"/>
    <col min="14089" max="14089" width="15.28515625" style="287" customWidth="1"/>
    <col min="14090" max="14090" width="12.42578125" style="287" customWidth="1"/>
    <col min="14091" max="14332" width="11.5703125" style="287"/>
    <col min="14333" max="14333" width="5.28515625" style="287" customWidth="1"/>
    <col min="14334" max="14334" width="1.5703125" style="287" customWidth="1"/>
    <col min="14335" max="14335" width="25" style="287" customWidth="1"/>
    <col min="14336" max="14336" width="9.42578125" style="287" customWidth="1"/>
    <col min="14337" max="14337" width="9.28515625" style="287" customWidth="1"/>
    <col min="14338" max="14338" width="7.85546875" style="287" customWidth="1"/>
    <col min="14339" max="14339" width="13.28515625" style="287" customWidth="1"/>
    <col min="14340" max="14340" width="11.7109375" style="287" customWidth="1"/>
    <col min="14341" max="14341" width="9" style="287" customWidth="1"/>
    <col min="14342" max="14342" width="17.28515625" style="287" customWidth="1"/>
    <col min="14343" max="14343" width="13.28515625" style="287" customWidth="1"/>
    <col min="14344" max="14344" width="16.28515625" style="287" customWidth="1"/>
    <col min="14345" max="14345" width="15.28515625" style="287" customWidth="1"/>
    <col min="14346" max="14346" width="12.42578125" style="287" customWidth="1"/>
    <col min="14347" max="14588" width="11.5703125" style="287"/>
    <col min="14589" max="14589" width="5.28515625" style="287" customWidth="1"/>
    <col min="14590" max="14590" width="1.5703125" style="287" customWidth="1"/>
    <col min="14591" max="14591" width="25" style="287" customWidth="1"/>
    <col min="14592" max="14592" width="9.42578125" style="287" customWidth="1"/>
    <col min="14593" max="14593" width="9.28515625" style="287" customWidth="1"/>
    <col min="14594" max="14594" width="7.85546875" style="287" customWidth="1"/>
    <col min="14595" max="14595" width="13.28515625" style="287" customWidth="1"/>
    <col min="14596" max="14596" width="11.7109375" style="287" customWidth="1"/>
    <col min="14597" max="14597" width="9" style="287" customWidth="1"/>
    <col min="14598" max="14598" width="17.28515625" style="287" customWidth="1"/>
    <col min="14599" max="14599" width="13.28515625" style="287" customWidth="1"/>
    <col min="14600" max="14600" width="16.28515625" style="287" customWidth="1"/>
    <col min="14601" max="14601" width="15.28515625" style="287" customWidth="1"/>
    <col min="14602" max="14602" width="12.42578125" style="287" customWidth="1"/>
    <col min="14603" max="14844" width="11.5703125" style="287"/>
    <col min="14845" max="14845" width="5.28515625" style="287" customWidth="1"/>
    <col min="14846" max="14846" width="1.5703125" style="287" customWidth="1"/>
    <col min="14847" max="14847" width="25" style="287" customWidth="1"/>
    <col min="14848" max="14848" width="9.42578125" style="287" customWidth="1"/>
    <col min="14849" max="14849" width="9.28515625" style="287" customWidth="1"/>
    <col min="14850" max="14850" width="7.85546875" style="287" customWidth="1"/>
    <col min="14851" max="14851" width="13.28515625" style="287" customWidth="1"/>
    <col min="14852" max="14852" width="11.7109375" style="287" customWidth="1"/>
    <col min="14853" max="14853" width="9" style="287" customWidth="1"/>
    <col min="14854" max="14854" width="17.28515625" style="287" customWidth="1"/>
    <col min="14855" max="14855" width="13.28515625" style="287" customWidth="1"/>
    <col min="14856" max="14856" width="16.28515625" style="287" customWidth="1"/>
    <col min="14857" max="14857" width="15.28515625" style="287" customWidth="1"/>
    <col min="14858" max="14858" width="12.42578125" style="287" customWidth="1"/>
    <col min="14859" max="15100" width="11.5703125" style="287"/>
    <col min="15101" max="15101" width="5.28515625" style="287" customWidth="1"/>
    <col min="15102" max="15102" width="1.5703125" style="287" customWidth="1"/>
    <col min="15103" max="15103" width="25" style="287" customWidth="1"/>
    <col min="15104" max="15104" width="9.42578125" style="287" customWidth="1"/>
    <col min="15105" max="15105" width="9.28515625" style="287" customWidth="1"/>
    <col min="15106" max="15106" width="7.85546875" style="287" customWidth="1"/>
    <col min="15107" max="15107" width="13.28515625" style="287" customWidth="1"/>
    <col min="15108" max="15108" width="11.7109375" style="287" customWidth="1"/>
    <col min="15109" max="15109" width="9" style="287" customWidth="1"/>
    <col min="15110" max="15110" width="17.28515625" style="287" customWidth="1"/>
    <col min="15111" max="15111" width="13.28515625" style="287" customWidth="1"/>
    <col min="15112" max="15112" width="16.28515625" style="287" customWidth="1"/>
    <col min="15113" max="15113" width="15.28515625" style="287" customWidth="1"/>
    <col min="15114" max="15114" width="12.42578125" style="287" customWidth="1"/>
    <col min="15115" max="15356" width="11.5703125" style="287"/>
    <col min="15357" max="15357" width="5.28515625" style="287" customWidth="1"/>
    <col min="15358" max="15358" width="1.5703125" style="287" customWidth="1"/>
    <col min="15359" max="15359" width="25" style="287" customWidth="1"/>
    <col min="15360" max="15360" width="9.42578125" style="287" customWidth="1"/>
    <col min="15361" max="15361" width="9.28515625" style="287" customWidth="1"/>
    <col min="15362" max="15362" width="7.85546875" style="287" customWidth="1"/>
    <col min="15363" max="15363" width="13.28515625" style="287" customWidth="1"/>
    <col min="15364" max="15364" width="11.7109375" style="287" customWidth="1"/>
    <col min="15365" max="15365" width="9" style="287" customWidth="1"/>
    <col min="15366" max="15366" width="17.28515625" style="287" customWidth="1"/>
    <col min="15367" max="15367" width="13.28515625" style="287" customWidth="1"/>
    <col min="15368" max="15368" width="16.28515625" style="287" customWidth="1"/>
    <col min="15369" max="15369" width="15.28515625" style="287" customWidth="1"/>
    <col min="15370" max="15370" width="12.42578125" style="287" customWidth="1"/>
    <col min="15371" max="15612" width="11.5703125" style="287"/>
    <col min="15613" max="15613" width="5.28515625" style="287" customWidth="1"/>
    <col min="15614" max="15614" width="1.5703125" style="287" customWidth="1"/>
    <col min="15615" max="15615" width="25" style="287" customWidth="1"/>
    <col min="15616" max="15616" width="9.42578125" style="287" customWidth="1"/>
    <col min="15617" max="15617" width="9.28515625" style="287" customWidth="1"/>
    <col min="15618" max="15618" width="7.85546875" style="287" customWidth="1"/>
    <col min="15619" max="15619" width="13.28515625" style="287" customWidth="1"/>
    <col min="15620" max="15620" width="11.7109375" style="287" customWidth="1"/>
    <col min="15621" max="15621" width="9" style="287" customWidth="1"/>
    <col min="15622" max="15622" width="17.28515625" style="287" customWidth="1"/>
    <col min="15623" max="15623" width="13.28515625" style="287" customWidth="1"/>
    <col min="15624" max="15624" width="16.28515625" style="287" customWidth="1"/>
    <col min="15625" max="15625" width="15.28515625" style="287" customWidth="1"/>
    <col min="15626" max="15626" width="12.42578125" style="287" customWidth="1"/>
    <col min="15627" max="15868" width="11.5703125" style="287"/>
    <col min="15869" max="15869" width="5.28515625" style="287" customWidth="1"/>
    <col min="15870" max="15870" width="1.5703125" style="287" customWidth="1"/>
    <col min="15871" max="15871" width="25" style="287" customWidth="1"/>
    <col min="15872" max="15872" width="9.42578125" style="287" customWidth="1"/>
    <col min="15873" max="15873" width="9.28515625" style="287" customWidth="1"/>
    <col min="15874" max="15874" width="7.85546875" style="287" customWidth="1"/>
    <col min="15875" max="15875" width="13.28515625" style="287" customWidth="1"/>
    <col min="15876" max="15876" width="11.7109375" style="287" customWidth="1"/>
    <col min="15877" max="15877" width="9" style="287" customWidth="1"/>
    <col min="15878" max="15878" width="17.28515625" style="287" customWidth="1"/>
    <col min="15879" max="15879" width="13.28515625" style="287" customWidth="1"/>
    <col min="15880" max="15880" width="16.28515625" style="287" customWidth="1"/>
    <col min="15881" max="15881" width="15.28515625" style="287" customWidth="1"/>
    <col min="15882" max="15882" width="12.42578125" style="287" customWidth="1"/>
    <col min="15883" max="16124" width="11.5703125" style="287"/>
    <col min="16125" max="16125" width="5.28515625" style="287" customWidth="1"/>
    <col min="16126" max="16126" width="1.5703125" style="287" customWidth="1"/>
    <col min="16127" max="16127" width="25" style="287" customWidth="1"/>
    <col min="16128" max="16128" width="9.42578125" style="287" customWidth="1"/>
    <col min="16129" max="16129" width="9.28515625" style="287" customWidth="1"/>
    <col min="16130" max="16130" width="7.85546875" style="287" customWidth="1"/>
    <col min="16131" max="16131" width="13.28515625" style="287" customWidth="1"/>
    <col min="16132" max="16132" width="11.7109375" style="287" customWidth="1"/>
    <col min="16133" max="16133" width="9" style="287" customWidth="1"/>
    <col min="16134" max="16134" width="17.28515625" style="287" customWidth="1"/>
    <col min="16135" max="16135" width="13.28515625" style="287" customWidth="1"/>
    <col min="16136" max="16136" width="16.28515625" style="287" customWidth="1"/>
    <col min="16137" max="16137" width="15.28515625" style="287" customWidth="1"/>
    <col min="16138" max="16138" width="12.42578125" style="287" customWidth="1"/>
    <col min="16139" max="16384" width="11.5703125" style="287"/>
  </cols>
  <sheetData>
    <row r="1" spans="1:12" ht="100.15" customHeight="1" thickBot="1" x14ac:dyDescent="0.3">
      <c r="J1" s="346">
        <f>+H2*J3</f>
        <v>72000</v>
      </c>
    </row>
    <row r="2" spans="1:12" ht="16.5" thickBot="1" x14ac:dyDescent="0.3">
      <c r="A2" s="292" t="s">
        <v>292</v>
      </c>
      <c r="B2" s="292" t="s">
        <v>293</v>
      </c>
      <c r="C2" s="293" t="s">
        <v>294</v>
      </c>
      <c r="D2" s="292" t="s">
        <v>295</v>
      </c>
      <c r="E2" s="294" t="s">
        <v>296</v>
      </c>
      <c r="F2" s="294" t="s">
        <v>297</v>
      </c>
      <c r="H2" s="295">
        <v>1800</v>
      </c>
      <c r="I2" s="296" t="s">
        <v>298</v>
      </c>
      <c r="J2" s="297" t="s">
        <v>299</v>
      </c>
      <c r="K2" s="298" t="s">
        <v>300</v>
      </c>
      <c r="L2" s="299" t="s">
        <v>301</v>
      </c>
    </row>
    <row r="3" spans="1:12" x14ac:dyDescent="0.25">
      <c r="A3" s="300"/>
      <c r="B3" s="301"/>
      <c r="C3" s="302"/>
      <c r="D3" s="301"/>
      <c r="E3" s="289"/>
      <c r="F3" s="289"/>
      <c r="H3" s="522" t="s">
        <v>302</v>
      </c>
      <c r="I3" s="303"/>
      <c r="J3" s="523">
        <v>40</v>
      </c>
      <c r="K3" s="304">
        <v>55</v>
      </c>
      <c r="L3" s="305">
        <v>35</v>
      </c>
    </row>
    <row r="4" spans="1:12" ht="20.25" x14ac:dyDescent="0.25">
      <c r="A4" s="306" t="s">
        <v>303</v>
      </c>
      <c r="B4" s="301"/>
      <c r="C4" s="302"/>
      <c r="D4" s="301"/>
      <c r="E4" s="289"/>
      <c r="F4" s="289"/>
      <c r="H4" s="307" t="s">
        <v>304</v>
      </c>
      <c r="I4" s="524">
        <f>37000*1.8*1.19</f>
        <v>79254</v>
      </c>
      <c r="J4" s="309">
        <f>I4+$J$3*$H$2</f>
        <v>151254</v>
      </c>
      <c r="K4" s="311">
        <f>ROUND(I4+$K$3*$H$2,0)</f>
        <v>178254</v>
      </c>
      <c r="L4" s="310">
        <f t="shared" ref="L4:L12" si="0">I4+$L$3*$H$2</f>
        <v>142254</v>
      </c>
    </row>
    <row r="5" spans="1:12" ht="15.75" x14ac:dyDescent="0.25">
      <c r="A5" s="300"/>
      <c r="B5" s="301"/>
      <c r="C5" s="302"/>
      <c r="D5" s="301"/>
      <c r="E5" s="289"/>
      <c r="F5" s="289"/>
      <c r="G5" s="294"/>
      <c r="H5" s="307" t="s">
        <v>305</v>
      </c>
      <c r="I5" s="308">
        <f>35000*1.8*1.19</f>
        <v>74970</v>
      </c>
      <c r="J5" s="309">
        <f t="shared" ref="J5:J11" si="1">I5+$J$3*$H$2</f>
        <v>146970</v>
      </c>
      <c r="K5" s="311">
        <f>I5+$K$3*$H$2</f>
        <v>173970</v>
      </c>
      <c r="L5" s="310">
        <f t="shared" si="0"/>
        <v>137970</v>
      </c>
    </row>
    <row r="6" spans="1:12" x14ac:dyDescent="0.25">
      <c r="A6" s="312" t="s">
        <v>306</v>
      </c>
      <c r="B6" s="313" t="s">
        <v>117</v>
      </c>
      <c r="C6" s="314"/>
      <c r="D6" s="313"/>
      <c r="E6" s="315"/>
      <c r="F6" s="315">
        <f>F7+F8+F9*1.05+F10</f>
        <v>908384.54504</v>
      </c>
      <c r="H6" s="316" t="s">
        <v>307</v>
      </c>
      <c r="I6" s="317">
        <v>20000</v>
      </c>
      <c r="J6" s="318">
        <f>I6+$J$3*$H$2</f>
        <v>92000</v>
      </c>
      <c r="K6" s="311">
        <f t="shared" ref="K6:K12" si="2">I6+$K$3*$H$2</f>
        <v>119000</v>
      </c>
      <c r="L6" s="310">
        <f t="shared" si="0"/>
        <v>83000</v>
      </c>
    </row>
    <row r="7" spans="1:12" x14ac:dyDescent="0.25">
      <c r="A7" s="300" t="s">
        <v>308</v>
      </c>
      <c r="B7" s="301" t="s">
        <v>117</v>
      </c>
      <c r="C7" s="302">
        <v>0.7</v>
      </c>
      <c r="D7" s="301">
        <v>5</v>
      </c>
      <c r="E7" s="289">
        <f>+J10</f>
        <v>141716.864</v>
      </c>
      <c r="F7" s="289">
        <f>C7*E7*1.05</f>
        <v>104161.89504</v>
      </c>
      <c r="H7" s="319" t="s">
        <v>309</v>
      </c>
      <c r="I7" s="524">
        <f>42000*1.62*1.19</f>
        <v>80967.599999999991</v>
      </c>
      <c r="J7" s="309">
        <f t="shared" si="1"/>
        <v>152967.59999999998</v>
      </c>
      <c r="K7" s="311">
        <f t="shared" si="2"/>
        <v>179967.59999999998</v>
      </c>
      <c r="L7" s="310">
        <f t="shared" si="0"/>
        <v>143967.59999999998</v>
      </c>
    </row>
    <row r="8" spans="1:12" x14ac:dyDescent="0.25">
      <c r="A8" s="300" t="s">
        <v>310</v>
      </c>
      <c r="B8" s="301" t="s">
        <v>311</v>
      </c>
      <c r="C8" s="302">
        <v>18.501000000000001</v>
      </c>
      <c r="D8" s="301">
        <v>10</v>
      </c>
      <c r="E8" s="289">
        <f>J13</f>
        <v>35000</v>
      </c>
      <c r="F8" s="289">
        <f>C8*E8*1.1</f>
        <v>712288.5</v>
      </c>
      <c r="H8" s="319" t="s">
        <v>912</v>
      </c>
      <c r="I8" s="524">
        <f>93739*1.19</f>
        <v>111549.40999999999</v>
      </c>
      <c r="J8" s="309">
        <f t="shared" si="1"/>
        <v>183549.40999999997</v>
      </c>
      <c r="K8" s="311">
        <f t="shared" si="2"/>
        <v>210549.40999999997</v>
      </c>
      <c r="L8" s="310">
        <f t="shared" si="0"/>
        <v>174549.40999999997</v>
      </c>
    </row>
    <row r="9" spans="1:12" x14ac:dyDescent="0.25">
      <c r="A9" s="300" t="s">
        <v>313</v>
      </c>
      <c r="B9" s="301" t="s">
        <v>117</v>
      </c>
      <c r="C9" s="302">
        <v>1</v>
      </c>
      <c r="D9" s="301">
        <v>0</v>
      </c>
      <c r="E9" s="289">
        <f>K18</f>
        <v>80254.428571428565</v>
      </c>
      <c r="F9" s="289">
        <f>C9*E9</f>
        <v>80254.428571428565</v>
      </c>
      <c r="H9" s="319" t="s">
        <v>314</v>
      </c>
      <c r="I9" s="524">
        <f>45000*1.652*1.19</f>
        <v>88464.599999999991</v>
      </c>
      <c r="J9" s="309">
        <f t="shared" si="1"/>
        <v>160464.59999999998</v>
      </c>
      <c r="K9" s="311">
        <f t="shared" si="2"/>
        <v>187464.59999999998</v>
      </c>
      <c r="L9" s="310">
        <f t="shared" si="0"/>
        <v>151464.59999999998</v>
      </c>
    </row>
    <row r="10" spans="1:12" x14ac:dyDescent="0.25">
      <c r="A10" s="300" t="s">
        <v>315</v>
      </c>
      <c r="B10" s="301" t="s">
        <v>110</v>
      </c>
      <c r="C10" s="302">
        <v>7</v>
      </c>
      <c r="D10" s="301">
        <v>0</v>
      </c>
      <c r="E10" s="289">
        <f>J39</f>
        <v>53669</v>
      </c>
      <c r="F10" s="289">
        <f>E10/C10</f>
        <v>7667</v>
      </c>
      <c r="H10" s="320" t="s">
        <v>316</v>
      </c>
      <c r="I10" s="524">
        <f>31840*1.19*1.84</f>
        <v>69716.864000000001</v>
      </c>
      <c r="J10" s="309">
        <f t="shared" si="1"/>
        <v>141716.864</v>
      </c>
      <c r="K10" s="311">
        <f t="shared" si="2"/>
        <v>168716.864</v>
      </c>
      <c r="L10" s="310">
        <f t="shared" si="0"/>
        <v>132716.864</v>
      </c>
    </row>
    <row r="11" spans="1:12" x14ac:dyDescent="0.25">
      <c r="A11" s="300"/>
      <c r="B11" s="301"/>
      <c r="C11" s="302"/>
      <c r="D11" s="301"/>
      <c r="E11" s="289"/>
      <c r="F11" s="289"/>
      <c r="H11" s="320" t="s">
        <v>317</v>
      </c>
      <c r="I11" s="524">
        <f>31840*1.84*1.19</f>
        <v>69716.864000000001</v>
      </c>
      <c r="J11" s="309">
        <f t="shared" si="1"/>
        <v>141716.864</v>
      </c>
      <c r="K11" s="311">
        <f t="shared" si="2"/>
        <v>168716.864</v>
      </c>
      <c r="L11" s="310">
        <f t="shared" si="0"/>
        <v>132716.864</v>
      </c>
    </row>
    <row r="12" spans="1:12" ht="22.5" x14ac:dyDescent="0.25">
      <c r="A12" s="300"/>
      <c r="B12" s="301"/>
      <c r="C12" s="302"/>
      <c r="D12" s="301"/>
      <c r="E12" s="289"/>
      <c r="F12" s="289"/>
      <c r="H12" s="320" t="s">
        <v>979</v>
      </c>
      <c r="I12" s="524">
        <f>60639*1.55*1.19</f>
        <v>111848.63549999999</v>
      </c>
      <c r="J12" s="309">
        <f>I12+$J$3*$H$2</f>
        <v>183848.63549999997</v>
      </c>
      <c r="K12" s="311">
        <f t="shared" si="2"/>
        <v>210848.63549999997</v>
      </c>
      <c r="L12" s="310">
        <f t="shared" si="0"/>
        <v>174848.63549999997</v>
      </c>
    </row>
    <row r="13" spans="1:12" x14ac:dyDescent="0.25">
      <c r="A13" s="312" t="s">
        <v>319</v>
      </c>
      <c r="B13" s="313" t="s">
        <v>117</v>
      </c>
      <c r="C13" s="314"/>
      <c r="D13" s="313"/>
      <c r="E13" s="315"/>
      <c r="F13" s="315">
        <f>F14+F15+F16*1.05+F17</f>
        <v>705972.77598400007</v>
      </c>
      <c r="H13" s="321" t="s">
        <v>320</v>
      </c>
      <c r="I13" s="317">
        <v>35000</v>
      </c>
      <c r="J13" s="318">
        <v>35000</v>
      </c>
      <c r="K13" s="311">
        <v>35000</v>
      </c>
      <c r="L13" s="322">
        <v>35000</v>
      </c>
    </row>
    <row r="14" spans="1:12" ht="12" customHeight="1" thickBot="1" x14ac:dyDescent="0.3">
      <c r="A14" s="300" t="s">
        <v>308</v>
      </c>
      <c r="B14" s="301" t="s">
        <v>117</v>
      </c>
      <c r="C14" s="302">
        <v>0.97</v>
      </c>
      <c r="D14" s="301">
        <v>5</v>
      </c>
      <c r="E14" s="289">
        <f>J10</f>
        <v>141716.864</v>
      </c>
      <c r="F14" s="289">
        <f>C14*E14*1.05</f>
        <v>144338.62598400001</v>
      </c>
      <c r="H14" s="323" t="s">
        <v>321</v>
      </c>
      <c r="I14" s="324">
        <v>9500</v>
      </c>
      <c r="J14" s="325">
        <v>9500</v>
      </c>
      <c r="K14" s="311">
        <v>10500</v>
      </c>
      <c r="L14" s="326">
        <v>9500</v>
      </c>
    </row>
    <row r="15" spans="1:12" ht="14.25" customHeight="1" x14ac:dyDescent="0.25">
      <c r="A15" s="300" t="s">
        <v>310</v>
      </c>
      <c r="B15" s="301" t="s">
        <v>311</v>
      </c>
      <c r="C15" s="302">
        <v>12.2</v>
      </c>
      <c r="D15" s="301">
        <v>10</v>
      </c>
      <c r="E15" s="289">
        <f>J13</f>
        <v>35000</v>
      </c>
      <c r="F15" s="289">
        <f>C15*E15*1.1</f>
        <v>469700.00000000006</v>
      </c>
      <c r="H15" s="633" t="s">
        <v>322</v>
      </c>
      <c r="I15" s="634"/>
      <c r="J15" s="327" t="s">
        <v>323</v>
      </c>
      <c r="K15" s="328" t="s">
        <v>183</v>
      </c>
    </row>
    <row r="16" spans="1:12" ht="15.75" customHeight="1" x14ac:dyDescent="0.25">
      <c r="A16" s="300" t="s">
        <v>313</v>
      </c>
      <c r="B16" s="301" t="s">
        <v>117</v>
      </c>
      <c r="C16" s="302">
        <v>1</v>
      </c>
      <c r="D16" s="301">
        <v>0</v>
      </c>
      <c r="E16" s="289">
        <f>K18</f>
        <v>80254.428571428565</v>
      </c>
      <c r="F16" s="289">
        <f>C16*E16</f>
        <v>80254.428571428565</v>
      </c>
      <c r="H16" s="329" t="s">
        <v>211</v>
      </c>
      <c r="I16" s="330">
        <v>137065</v>
      </c>
      <c r="J16" s="331">
        <v>7</v>
      </c>
      <c r="K16" s="332">
        <f>I16/J16</f>
        <v>19580.714285714286</v>
      </c>
      <c r="L16" s="287"/>
    </row>
    <row r="17" spans="1:12" x14ac:dyDescent="0.25">
      <c r="A17" s="300" t="s">
        <v>315</v>
      </c>
      <c r="B17" s="301" t="s">
        <v>110</v>
      </c>
      <c r="C17" s="302">
        <v>7</v>
      </c>
      <c r="D17" s="301">
        <v>0</v>
      </c>
      <c r="E17" s="289">
        <f>J39</f>
        <v>53669</v>
      </c>
      <c r="F17" s="289">
        <f>E17/C17</f>
        <v>7667</v>
      </c>
      <c r="H17" s="329" t="s">
        <v>324</v>
      </c>
      <c r="I17" s="330">
        <v>424716</v>
      </c>
      <c r="J17" s="331">
        <v>7</v>
      </c>
      <c r="K17" s="333">
        <f>I17/J17</f>
        <v>60673.714285714283</v>
      </c>
      <c r="L17" s="287"/>
    </row>
    <row r="18" spans="1:12" x14ac:dyDescent="0.25">
      <c r="A18" s="312"/>
      <c r="B18" s="313"/>
      <c r="C18" s="314"/>
      <c r="D18" s="313"/>
      <c r="E18" s="315"/>
      <c r="F18" s="315"/>
      <c r="G18" s="287"/>
      <c r="H18" s="334" t="s">
        <v>325</v>
      </c>
      <c r="I18" s="335"/>
      <c r="J18" s="336"/>
      <c r="K18" s="337">
        <f>(K17+K16+K20)</f>
        <v>80254.428571428565</v>
      </c>
      <c r="L18" s="287"/>
    </row>
    <row r="19" spans="1:12" x14ac:dyDescent="0.25">
      <c r="A19" s="312" t="s">
        <v>326</v>
      </c>
      <c r="B19" s="313" t="s">
        <v>117</v>
      </c>
      <c r="C19" s="314"/>
      <c r="D19" s="313"/>
      <c r="E19" s="315"/>
      <c r="F19" s="315">
        <f>F20+F21+F22*1.05+F23</f>
        <v>600629.10084800003</v>
      </c>
      <c r="H19" s="338" t="s">
        <v>327</v>
      </c>
      <c r="I19" s="339">
        <v>53669</v>
      </c>
      <c r="J19" s="340">
        <v>0.66</v>
      </c>
      <c r="K19" s="341">
        <f>+I19*J19</f>
        <v>35421.54</v>
      </c>
    </row>
    <row r="20" spans="1:12" ht="12" thickBot="1" x14ac:dyDescent="0.3">
      <c r="A20" s="300" t="s">
        <v>308</v>
      </c>
      <c r="B20" s="301" t="s">
        <v>117</v>
      </c>
      <c r="C20" s="302">
        <v>1.0900000000000001</v>
      </c>
      <c r="D20" s="301">
        <v>5</v>
      </c>
      <c r="E20" s="289">
        <f>J10</f>
        <v>141716.864</v>
      </c>
      <c r="F20" s="289">
        <f>C20*E20*1.05</f>
        <v>162194.95084800004</v>
      </c>
      <c r="H20" s="342" t="s">
        <v>328</v>
      </c>
      <c r="I20" s="343">
        <v>14000</v>
      </c>
      <c r="J20" s="344">
        <v>0</v>
      </c>
      <c r="K20" s="345">
        <f>I20*J20</f>
        <v>0</v>
      </c>
    </row>
    <row r="21" spans="1:12" x14ac:dyDescent="0.25">
      <c r="A21" s="300" t="s">
        <v>310</v>
      </c>
      <c r="B21" s="301" t="s">
        <v>311</v>
      </c>
      <c r="C21" s="302">
        <v>9</v>
      </c>
      <c r="D21" s="301">
        <v>10</v>
      </c>
      <c r="E21" s="289">
        <f>I13</f>
        <v>35000</v>
      </c>
      <c r="F21" s="289">
        <f>C21*E21*1.1</f>
        <v>346500</v>
      </c>
      <c r="I21" s="289"/>
      <c r="K21" s="289"/>
    </row>
    <row r="22" spans="1:12" x14ac:dyDescent="0.25">
      <c r="A22" s="300" t="s">
        <v>313</v>
      </c>
      <c r="B22" s="301" t="s">
        <v>117</v>
      </c>
      <c r="C22" s="302">
        <v>1</v>
      </c>
      <c r="D22" s="301">
        <v>0</v>
      </c>
      <c r="E22" s="289">
        <f>K18</f>
        <v>80254.428571428565</v>
      </c>
      <c r="F22" s="289">
        <f>C22*E22</f>
        <v>80254.428571428565</v>
      </c>
      <c r="H22" s="289" t="s">
        <v>986</v>
      </c>
      <c r="I22" s="289">
        <v>345200</v>
      </c>
      <c r="J22" s="309">
        <f>I22+$J$3*$H$2</f>
        <v>417200</v>
      </c>
      <c r="K22" s="289"/>
    </row>
    <row r="23" spans="1:12" x14ac:dyDescent="0.25">
      <c r="A23" s="300" t="s">
        <v>315</v>
      </c>
      <c r="B23" s="301" t="s">
        <v>110</v>
      </c>
      <c r="C23" s="302">
        <v>7</v>
      </c>
      <c r="D23" s="301">
        <v>0</v>
      </c>
      <c r="E23" s="289">
        <f>I19</f>
        <v>53669</v>
      </c>
      <c r="F23" s="289">
        <f>E23/C23</f>
        <v>7667</v>
      </c>
      <c r="I23" s="289"/>
      <c r="K23" s="289"/>
    </row>
    <row r="24" spans="1:12" x14ac:dyDescent="0.25">
      <c r="A24" s="312"/>
      <c r="B24" s="313"/>
      <c r="C24" s="314"/>
      <c r="D24" s="313"/>
      <c r="E24" s="315"/>
      <c r="F24" s="315"/>
      <c r="I24" s="289"/>
      <c r="K24" s="289"/>
    </row>
    <row r="25" spans="1:12" x14ac:dyDescent="0.25">
      <c r="A25" s="312" t="s">
        <v>329</v>
      </c>
      <c r="B25" s="313" t="s">
        <v>117</v>
      </c>
      <c r="C25" s="314"/>
      <c r="D25" s="313"/>
      <c r="E25" s="315"/>
      <c r="F25" s="315">
        <f>F26+F27+F28*1.05+F29</f>
        <v>537281.20913600002</v>
      </c>
      <c r="H25" s="315" t="s">
        <v>330</v>
      </c>
      <c r="I25" s="346">
        <f>45100*1.19</f>
        <v>53669</v>
      </c>
      <c r="K25" s="289"/>
    </row>
    <row r="26" spans="1:12" x14ac:dyDescent="0.25">
      <c r="A26" s="300" t="s">
        <v>308</v>
      </c>
      <c r="B26" s="301" t="s">
        <v>117</v>
      </c>
      <c r="C26" s="302">
        <v>1.1299999999999999</v>
      </c>
      <c r="D26" s="301">
        <v>5</v>
      </c>
      <c r="E26" s="289">
        <f>J10</f>
        <v>141716.864</v>
      </c>
      <c r="F26" s="289">
        <f>C26*E26*1.05</f>
        <v>168147.05913599997</v>
      </c>
      <c r="I26" s="289"/>
      <c r="K26" s="289"/>
    </row>
    <row r="27" spans="1:12" x14ac:dyDescent="0.25">
      <c r="A27" s="300" t="s">
        <v>310</v>
      </c>
      <c r="B27" s="301" t="s">
        <v>311</v>
      </c>
      <c r="C27" s="302">
        <v>7.2</v>
      </c>
      <c r="D27" s="301">
        <v>10</v>
      </c>
      <c r="E27" s="289">
        <f>I13</f>
        <v>35000</v>
      </c>
      <c r="F27" s="289">
        <f>C27*E27*1.1</f>
        <v>277200</v>
      </c>
      <c r="I27" s="289"/>
      <c r="J27" s="451"/>
      <c r="K27" s="289"/>
    </row>
    <row r="28" spans="1:12" x14ac:dyDescent="0.25">
      <c r="A28" s="300" t="s">
        <v>313</v>
      </c>
      <c r="B28" s="301" t="s">
        <v>117</v>
      </c>
      <c r="C28" s="302">
        <v>1</v>
      </c>
      <c r="D28" s="301">
        <v>0</v>
      </c>
      <c r="E28" s="289">
        <f>K18</f>
        <v>80254.428571428565</v>
      </c>
      <c r="F28" s="289">
        <f>C28*E28</f>
        <v>80254.428571428565</v>
      </c>
      <c r="I28" s="289"/>
      <c r="J28" s="289">
        <f>+H2*40</f>
        <v>72000</v>
      </c>
      <c r="K28" s="289"/>
    </row>
    <row r="29" spans="1:12" x14ac:dyDescent="0.25">
      <c r="A29" s="300" t="s">
        <v>315</v>
      </c>
      <c r="B29" s="301" t="s">
        <v>110</v>
      </c>
      <c r="C29" s="302">
        <v>7</v>
      </c>
      <c r="D29" s="301">
        <v>0</v>
      </c>
      <c r="E29" s="289">
        <f>J39</f>
        <v>53669</v>
      </c>
      <c r="F29" s="289">
        <f>E29/C29</f>
        <v>7667</v>
      </c>
      <c r="H29" s="289">
        <f>950000/6</f>
        <v>158333.33333333334</v>
      </c>
      <c r="I29" s="289"/>
      <c r="J29" s="289">
        <f>+J3*H2</f>
        <v>72000</v>
      </c>
      <c r="K29" s="289"/>
    </row>
    <row r="30" spans="1:12" x14ac:dyDescent="0.25">
      <c r="A30" s="312"/>
      <c r="B30" s="313"/>
      <c r="C30" s="314"/>
      <c r="D30" s="313"/>
      <c r="E30" s="315"/>
      <c r="F30" s="315"/>
      <c r="I30" s="289"/>
      <c r="K30" s="289"/>
    </row>
    <row r="31" spans="1:12" x14ac:dyDescent="0.25">
      <c r="A31" s="312" t="s">
        <v>331</v>
      </c>
      <c r="B31" s="313" t="s">
        <v>117</v>
      </c>
      <c r="C31" s="314"/>
      <c r="D31" s="313"/>
      <c r="E31" s="315"/>
      <c r="F31" s="315">
        <f>F32+F33+F34*1.05+F35</f>
        <v>498521.34449600009</v>
      </c>
      <c r="I31" s="289"/>
      <c r="K31" s="289"/>
    </row>
    <row r="32" spans="1:12" x14ac:dyDescent="0.25">
      <c r="A32" s="300" t="s">
        <v>308</v>
      </c>
      <c r="B32" s="301" t="s">
        <v>117</v>
      </c>
      <c r="C32" s="302">
        <v>1.18</v>
      </c>
      <c r="D32" s="301">
        <v>5</v>
      </c>
      <c r="E32" s="289">
        <f>J10</f>
        <v>141716.864</v>
      </c>
      <c r="F32" s="289">
        <f>C32*E32*1.05</f>
        <v>175587.19449600001</v>
      </c>
      <c r="I32" s="289"/>
      <c r="K32" s="289"/>
    </row>
    <row r="33" spans="1:12" x14ac:dyDescent="0.25">
      <c r="A33" s="300" t="s">
        <v>310</v>
      </c>
      <c r="B33" s="301" t="s">
        <v>311</v>
      </c>
      <c r="C33" s="302">
        <v>6</v>
      </c>
      <c r="D33" s="301">
        <v>10</v>
      </c>
      <c r="E33" s="289">
        <f>I13</f>
        <v>35000</v>
      </c>
      <c r="F33" s="289">
        <f>C33*E33*1.1</f>
        <v>231000.00000000003</v>
      </c>
      <c r="I33" s="289"/>
      <c r="K33" s="289"/>
    </row>
    <row r="34" spans="1:12" ht="13.5" customHeight="1" x14ac:dyDescent="0.25">
      <c r="A34" s="300" t="s">
        <v>313</v>
      </c>
      <c r="B34" s="301" t="s">
        <v>117</v>
      </c>
      <c r="C34" s="302">
        <v>1</v>
      </c>
      <c r="D34" s="301">
        <v>0</v>
      </c>
      <c r="E34" s="289">
        <f>K18</f>
        <v>80254.428571428565</v>
      </c>
      <c r="F34" s="289">
        <f>C34*E34</f>
        <v>80254.428571428565</v>
      </c>
      <c r="I34" s="289"/>
      <c r="K34" s="289"/>
    </row>
    <row r="35" spans="1:12" x14ac:dyDescent="0.25">
      <c r="A35" s="300" t="s">
        <v>315</v>
      </c>
      <c r="B35" s="301" t="s">
        <v>110</v>
      </c>
      <c r="C35" s="302">
        <v>7</v>
      </c>
      <c r="D35" s="301">
        <v>0</v>
      </c>
      <c r="E35" s="289">
        <f>I19</f>
        <v>53669</v>
      </c>
      <c r="F35" s="289">
        <f>E35/C35</f>
        <v>7667</v>
      </c>
      <c r="I35" s="289"/>
      <c r="K35" s="289"/>
    </row>
    <row r="36" spans="1:12" x14ac:dyDescent="0.25">
      <c r="A36" s="312"/>
      <c r="B36" s="313"/>
      <c r="C36" s="314"/>
      <c r="D36" s="313"/>
      <c r="E36" s="315"/>
      <c r="F36" s="315"/>
      <c r="I36" s="289"/>
      <c r="K36" s="289"/>
    </row>
    <row r="37" spans="1:12" x14ac:dyDescent="0.25">
      <c r="A37" s="312" t="s">
        <v>332</v>
      </c>
      <c r="B37" s="313" t="s">
        <v>117</v>
      </c>
      <c r="C37" s="314"/>
      <c r="D37" s="313"/>
      <c r="E37" s="315"/>
      <c r="F37" s="315">
        <f>F38+F39+F40*1.05+F41</f>
        <v>470697.39864000003</v>
      </c>
      <c r="I37" s="289"/>
      <c r="K37" s="289"/>
    </row>
    <row r="38" spans="1:12" x14ac:dyDescent="0.25">
      <c r="A38" s="300" t="s">
        <v>308</v>
      </c>
      <c r="B38" s="301" t="s">
        <v>117</v>
      </c>
      <c r="C38" s="302">
        <v>1.2</v>
      </c>
      <c r="D38" s="301">
        <v>5</v>
      </c>
      <c r="E38" s="289">
        <f>J10</f>
        <v>141716.864</v>
      </c>
      <c r="F38" s="289">
        <f>C38*E38*1.05</f>
        <v>178563.24864000001</v>
      </c>
      <c r="G38" s="347"/>
    </row>
    <row r="39" spans="1:12" x14ac:dyDescent="0.25">
      <c r="A39" s="300" t="s">
        <v>310</v>
      </c>
      <c r="B39" s="301" t="s">
        <v>311</v>
      </c>
      <c r="C39" s="302">
        <v>5.2</v>
      </c>
      <c r="D39" s="301">
        <v>10</v>
      </c>
      <c r="E39" s="289">
        <f>I13</f>
        <v>35000</v>
      </c>
      <c r="F39" s="289">
        <f>C39*E39*1.1</f>
        <v>200200.00000000003</v>
      </c>
      <c r="H39" s="348" t="s">
        <v>333</v>
      </c>
      <c r="I39" s="349"/>
      <c r="J39" s="349">
        <v>53669</v>
      </c>
    </row>
    <row r="40" spans="1:12" x14ac:dyDescent="0.25">
      <c r="A40" s="300" t="s">
        <v>313</v>
      </c>
      <c r="B40" s="301" t="s">
        <v>117</v>
      </c>
      <c r="C40" s="302">
        <v>1</v>
      </c>
      <c r="D40" s="301">
        <v>0</v>
      </c>
      <c r="E40" s="289">
        <f>K18</f>
        <v>80254.428571428565</v>
      </c>
      <c r="F40" s="289">
        <f>C40*E40</f>
        <v>80254.428571428565</v>
      </c>
      <c r="I40" s="289"/>
      <c r="K40" s="289"/>
    </row>
    <row r="41" spans="1:12" x14ac:dyDescent="0.25">
      <c r="A41" s="300" t="s">
        <v>315</v>
      </c>
      <c r="B41" s="301" t="s">
        <v>110</v>
      </c>
      <c r="C41" s="302">
        <v>7</v>
      </c>
      <c r="D41" s="301">
        <v>0</v>
      </c>
      <c r="E41" s="289">
        <f>J39</f>
        <v>53669</v>
      </c>
      <c r="F41" s="289">
        <f>E41/C41</f>
        <v>7667</v>
      </c>
      <c r="H41" s="350" t="s">
        <v>334</v>
      </c>
      <c r="I41" s="350"/>
      <c r="J41" s="289" t="s">
        <v>335</v>
      </c>
      <c r="K41" s="289"/>
    </row>
    <row r="42" spans="1:12" x14ac:dyDescent="0.25">
      <c r="A42" s="312"/>
      <c r="B42" s="313"/>
      <c r="C42" s="314"/>
      <c r="D42" s="313"/>
      <c r="E42" s="315"/>
      <c r="F42" s="315"/>
      <c r="H42" s="350" t="s">
        <v>312</v>
      </c>
      <c r="I42" s="350"/>
      <c r="J42" s="289" t="s">
        <v>335</v>
      </c>
      <c r="K42" s="289"/>
    </row>
    <row r="43" spans="1:12" x14ac:dyDescent="0.25">
      <c r="A43" s="312" t="s">
        <v>336</v>
      </c>
      <c r="B43" s="313" t="s">
        <v>117</v>
      </c>
      <c r="C43" s="314"/>
      <c r="D43" s="313"/>
      <c r="E43" s="315"/>
      <c r="F43" s="315">
        <f>F44+F45+F46*1.05+F47</f>
        <v>439637.53399999999</v>
      </c>
      <c r="H43" s="350" t="s">
        <v>314</v>
      </c>
      <c r="I43" s="350"/>
      <c r="J43" s="289" t="s">
        <v>335</v>
      </c>
      <c r="K43" s="289"/>
    </row>
    <row r="44" spans="1:12" x14ac:dyDescent="0.25">
      <c r="A44" s="300" t="s">
        <v>308</v>
      </c>
      <c r="B44" s="301" t="s">
        <v>117</v>
      </c>
      <c r="C44" s="302">
        <v>1.25</v>
      </c>
      <c r="D44" s="301">
        <v>5</v>
      </c>
      <c r="E44" s="289">
        <f>J10</f>
        <v>141716.864</v>
      </c>
      <c r="F44" s="289">
        <f>C44*E44*1.05</f>
        <v>186003.38400000002</v>
      </c>
      <c r="H44" s="350" t="s">
        <v>316</v>
      </c>
      <c r="I44" s="350"/>
      <c r="J44" s="289" t="s">
        <v>337</v>
      </c>
      <c r="K44" s="289"/>
    </row>
    <row r="45" spans="1:12" x14ac:dyDescent="0.25">
      <c r="A45" s="300" t="s">
        <v>310</v>
      </c>
      <c r="B45" s="301" t="s">
        <v>311</v>
      </c>
      <c r="C45" s="302">
        <v>4.2</v>
      </c>
      <c r="D45" s="301">
        <v>10</v>
      </c>
      <c r="E45" s="289">
        <f>I13</f>
        <v>35000</v>
      </c>
      <c r="F45" s="289">
        <f>C45*E45*1.1</f>
        <v>161700</v>
      </c>
      <c r="H45" s="350" t="s">
        <v>317</v>
      </c>
      <c r="I45" s="350"/>
      <c r="J45" s="289" t="s">
        <v>338</v>
      </c>
      <c r="K45" s="289"/>
    </row>
    <row r="46" spans="1:12" x14ac:dyDescent="0.25">
      <c r="A46" s="300" t="s">
        <v>313</v>
      </c>
      <c r="B46" s="301" t="s">
        <v>117</v>
      </c>
      <c r="C46" s="302">
        <v>1</v>
      </c>
      <c r="D46" s="301">
        <v>0</v>
      </c>
      <c r="E46" s="289">
        <f>K18</f>
        <v>80254.428571428565</v>
      </c>
      <c r="F46" s="289">
        <f>C46*E46</f>
        <v>80254.428571428565</v>
      </c>
      <c r="H46" s="350" t="s">
        <v>318</v>
      </c>
      <c r="I46" s="350"/>
      <c r="J46" s="289" t="s">
        <v>339</v>
      </c>
      <c r="K46" s="289"/>
    </row>
    <row r="47" spans="1:12" s="289" customFormat="1" x14ac:dyDescent="0.25">
      <c r="A47" s="300" t="s">
        <v>315</v>
      </c>
      <c r="B47" s="301" t="s">
        <v>110</v>
      </c>
      <c r="C47" s="302">
        <v>7</v>
      </c>
      <c r="D47" s="301">
        <v>0</v>
      </c>
      <c r="E47" s="289">
        <f>J39</f>
        <v>53669</v>
      </c>
      <c r="F47" s="289">
        <f>E47/C47</f>
        <v>7667</v>
      </c>
      <c r="H47" s="350" t="s">
        <v>340</v>
      </c>
      <c r="I47" s="350"/>
      <c r="J47" s="289" t="s">
        <v>335</v>
      </c>
      <c r="L47" s="291"/>
    </row>
    <row r="48" spans="1:12" s="289" customFormat="1" x14ac:dyDescent="0.25">
      <c r="A48" s="312"/>
      <c r="B48" s="313"/>
      <c r="C48" s="314"/>
      <c r="D48" s="313"/>
      <c r="E48" s="315"/>
      <c r="F48" s="315"/>
      <c r="H48" s="350" t="s">
        <v>304</v>
      </c>
      <c r="I48" s="350"/>
      <c r="J48" s="289" t="s">
        <v>339</v>
      </c>
      <c r="L48" s="291"/>
    </row>
    <row r="49" spans="1:12" s="289" customFormat="1" x14ac:dyDescent="0.25">
      <c r="A49" s="312" t="s">
        <v>341</v>
      </c>
      <c r="B49" s="313" t="s">
        <v>117</v>
      </c>
      <c r="C49" s="314"/>
      <c r="D49" s="313"/>
      <c r="E49" s="315"/>
      <c r="F49" s="315">
        <f>SUM(F50+F51+F52+F53*1.05)</f>
        <v>431937.53399999999</v>
      </c>
      <c r="H49" s="350" t="s">
        <v>342</v>
      </c>
      <c r="I49" s="350"/>
      <c r="J49" s="289" t="s">
        <v>339</v>
      </c>
      <c r="L49" s="291"/>
    </row>
    <row r="50" spans="1:12" s="289" customFormat="1" x14ac:dyDescent="0.25">
      <c r="A50" s="300" t="s">
        <v>308</v>
      </c>
      <c r="B50" s="301" t="s">
        <v>117</v>
      </c>
      <c r="C50" s="302">
        <v>1.25</v>
      </c>
      <c r="D50" s="301">
        <v>5</v>
      </c>
      <c r="E50" s="289">
        <f>J10</f>
        <v>141716.864</v>
      </c>
      <c r="F50" s="289">
        <f>C50*E50*1.05</f>
        <v>186003.38400000002</v>
      </c>
      <c r="H50" s="350" t="s">
        <v>307</v>
      </c>
      <c r="I50" s="350"/>
      <c r="J50" s="289" t="s">
        <v>339</v>
      </c>
      <c r="L50" s="291"/>
    </row>
    <row r="51" spans="1:12" s="289" customFormat="1" x14ac:dyDescent="0.25">
      <c r="A51" s="300" t="s">
        <v>310</v>
      </c>
      <c r="B51" s="301" t="s">
        <v>311</v>
      </c>
      <c r="C51" s="302">
        <v>4</v>
      </c>
      <c r="D51" s="301">
        <v>10</v>
      </c>
      <c r="E51" s="289">
        <f>I13</f>
        <v>35000</v>
      </c>
      <c r="F51" s="289">
        <f>C51*E51*1.1</f>
        <v>154000</v>
      </c>
      <c r="H51" s="350" t="s">
        <v>343</v>
      </c>
      <c r="I51" s="350"/>
      <c r="L51" s="291"/>
    </row>
    <row r="52" spans="1:12" s="289" customFormat="1" ht="12" thickBot="1" x14ac:dyDescent="0.3">
      <c r="A52" s="300" t="s">
        <v>315</v>
      </c>
      <c r="B52" s="301" t="s">
        <v>110</v>
      </c>
      <c r="C52" s="302">
        <v>7</v>
      </c>
      <c r="D52" s="301">
        <v>0</v>
      </c>
      <c r="E52" s="289">
        <f>I19</f>
        <v>53669</v>
      </c>
      <c r="F52" s="289">
        <f>E52/C52</f>
        <v>7667</v>
      </c>
      <c r="L52" s="291"/>
    </row>
    <row r="53" spans="1:12" s="289" customFormat="1" x14ac:dyDescent="0.25">
      <c r="A53" s="300" t="s">
        <v>344</v>
      </c>
      <c r="B53" s="301" t="s">
        <v>117</v>
      </c>
      <c r="C53" s="302">
        <v>1</v>
      </c>
      <c r="D53" s="301">
        <v>0</v>
      </c>
      <c r="E53" s="289">
        <f>K18</f>
        <v>80254.428571428565</v>
      </c>
      <c r="F53" s="289">
        <f>C53*E53</f>
        <v>80254.428571428565</v>
      </c>
      <c r="H53" s="635" t="s">
        <v>345</v>
      </c>
      <c r="I53" s="636"/>
      <c r="J53" s="637"/>
      <c r="L53" s="291"/>
    </row>
    <row r="54" spans="1:12" s="289" customFormat="1" x14ac:dyDescent="0.25">
      <c r="A54" s="312"/>
      <c r="B54" s="313"/>
      <c r="C54" s="314"/>
      <c r="D54" s="313"/>
      <c r="E54" s="315"/>
      <c r="F54" s="315"/>
      <c r="H54" s="638"/>
      <c r="I54" s="639"/>
      <c r="J54" s="640"/>
      <c r="L54" s="291"/>
    </row>
    <row r="55" spans="1:12" s="289" customFormat="1" ht="20.25" x14ac:dyDescent="0.25">
      <c r="A55" s="306" t="s">
        <v>123</v>
      </c>
      <c r="B55" s="313"/>
      <c r="C55" s="314"/>
      <c r="D55" s="313"/>
      <c r="E55" s="315"/>
      <c r="F55" s="315"/>
      <c r="H55" s="351" t="s">
        <v>346</v>
      </c>
      <c r="I55" s="629" t="s">
        <v>347</v>
      </c>
      <c r="J55" s="630"/>
      <c r="L55" s="291"/>
    </row>
    <row r="56" spans="1:12" s="289" customFormat="1" x14ac:dyDescent="0.25">
      <c r="A56" s="312"/>
      <c r="B56" s="313"/>
      <c r="C56" s="314"/>
      <c r="D56" s="313"/>
      <c r="E56" s="315"/>
      <c r="F56" s="315"/>
      <c r="H56" s="351" t="s">
        <v>348</v>
      </c>
      <c r="I56" s="629" t="s">
        <v>349</v>
      </c>
      <c r="J56" s="630"/>
      <c r="L56" s="291"/>
    </row>
    <row r="57" spans="1:12" s="289" customFormat="1" x14ac:dyDescent="0.25">
      <c r="A57" s="312" t="s">
        <v>350</v>
      </c>
      <c r="B57" s="313" t="s">
        <v>117</v>
      </c>
      <c r="C57" s="314"/>
      <c r="D57" s="313"/>
      <c r="E57" s="315"/>
      <c r="F57" s="315">
        <f>(F61*1.05)+F58+F59+F60+F62</f>
        <v>511154.03639999998</v>
      </c>
      <c r="H57" s="351" t="s">
        <v>351</v>
      </c>
      <c r="I57" s="629" t="s">
        <v>352</v>
      </c>
      <c r="J57" s="630"/>
      <c r="L57" s="291"/>
    </row>
    <row r="58" spans="1:12" s="289" customFormat="1" x14ac:dyDescent="0.25">
      <c r="A58" s="300" t="s">
        <v>353</v>
      </c>
      <c r="B58" s="301" t="s">
        <v>117</v>
      </c>
      <c r="C58" s="302">
        <v>0.92</v>
      </c>
      <c r="D58" s="301">
        <v>5</v>
      </c>
      <c r="E58" s="289">
        <f>$J$7</f>
        <v>152967.59999999998</v>
      </c>
      <c r="F58" s="289">
        <f>C58*E58*1.05</f>
        <v>147766.7016</v>
      </c>
      <c r="H58" s="351" t="s">
        <v>354</v>
      </c>
      <c r="I58" s="629" t="s">
        <v>355</v>
      </c>
      <c r="J58" s="630"/>
      <c r="L58" s="291"/>
    </row>
    <row r="59" spans="1:12" s="289" customFormat="1" x14ac:dyDescent="0.25">
      <c r="A59" s="300" t="s">
        <v>356</v>
      </c>
      <c r="B59" s="301" t="s">
        <v>117</v>
      </c>
      <c r="C59" s="302">
        <v>0.56000000000000005</v>
      </c>
      <c r="D59" s="301">
        <v>5</v>
      </c>
      <c r="E59" s="289">
        <f>$J$9</f>
        <v>160464.59999999998</v>
      </c>
      <c r="F59" s="289">
        <f>C59*E59*1.05</f>
        <v>94353.184800000003</v>
      </c>
      <c r="H59" s="351" t="s">
        <v>357</v>
      </c>
      <c r="I59" s="629" t="s">
        <v>358</v>
      </c>
      <c r="J59" s="630"/>
      <c r="L59" s="291"/>
    </row>
    <row r="60" spans="1:12" s="289" customFormat="1" ht="12" thickBot="1" x14ac:dyDescent="0.3">
      <c r="A60" s="300" t="s">
        <v>310</v>
      </c>
      <c r="B60" s="301" t="s">
        <v>311</v>
      </c>
      <c r="C60" s="302">
        <v>4.5999999999999996</v>
      </c>
      <c r="D60" s="301">
        <v>10</v>
      </c>
      <c r="E60" s="289">
        <f>$I$13</f>
        <v>35000</v>
      </c>
      <c r="F60" s="289">
        <f>C60*E60*1.1</f>
        <v>177100</v>
      </c>
      <c r="H60" s="352"/>
      <c r="I60" s="631" t="s">
        <v>359</v>
      </c>
      <c r="J60" s="632"/>
      <c r="L60" s="291"/>
    </row>
    <row r="61" spans="1:12" s="289" customFormat="1" x14ac:dyDescent="0.25">
      <c r="A61" s="300" t="s">
        <v>313</v>
      </c>
      <c r="B61" s="301" t="s">
        <v>117</v>
      </c>
      <c r="C61" s="302">
        <v>1</v>
      </c>
      <c r="D61" s="301">
        <v>0</v>
      </c>
      <c r="E61" s="289">
        <f>$K$18</f>
        <v>80254.428571428565</v>
      </c>
      <c r="F61" s="289">
        <f>C61*E61</f>
        <v>80254.428571428565</v>
      </c>
      <c r="H61" s="315" t="s">
        <v>974</v>
      </c>
      <c r="I61" s="629">
        <v>50</v>
      </c>
      <c r="J61" s="630"/>
      <c r="K61" s="289">
        <f>+I61*H2</f>
        <v>90000</v>
      </c>
      <c r="L61" s="291"/>
    </row>
    <row r="62" spans="1:12" s="289" customFormat="1" x14ac:dyDescent="0.25">
      <c r="A62" s="300" t="s">
        <v>315</v>
      </c>
      <c r="B62" s="301" t="s">
        <v>110</v>
      </c>
      <c r="C62" s="302">
        <v>7</v>
      </c>
      <c r="D62" s="301">
        <v>0</v>
      </c>
      <c r="E62" s="289">
        <f>$I$19</f>
        <v>53669</v>
      </c>
      <c r="F62" s="289">
        <f>E62/C62</f>
        <v>7667</v>
      </c>
      <c r="I62" s="629"/>
      <c r="J62" s="630"/>
      <c r="L62" s="291"/>
    </row>
    <row r="63" spans="1:12" x14ac:dyDescent="0.25">
      <c r="A63" s="312"/>
      <c r="B63" s="313"/>
      <c r="C63" s="314"/>
      <c r="D63" s="313"/>
      <c r="E63" s="315"/>
      <c r="F63" s="315"/>
      <c r="I63" s="629"/>
      <c r="J63" s="630"/>
    </row>
    <row r="64" spans="1:12" x14ac:dyDescent="0.25">
      <c r="A64" s="312" t="s">
        <v>360</v>
      </c>
      <c r="B64" s="313" t="s">
        <v>117</v>
      </c>
      <c r="C64" s="314"/>
      <c r="D64" s="313"/>
      <c r="E64" s="315"/>
      <c r="F64" s="315">
        <f>(F68*1.05)+F65+F66+F67+F69</f>
        <v>533198.90610000002</v>
      </c>
    </row>
    <row r="65" spans="1:11" x14ac:dyDescent="0.25">
      <c r="A65" s="300" t="s">
        <v>353</v>
      </c>
      <c r="B65" s="301" t="s">
        <v>117</v>
      </c>
      <c r="C65" s="302">
        <v>0.84</v>
      </c>
      <c r="D65" s="301">
        <v>5</v>
      </c>
      <c r="E65" s="289">
        <f>$J$7</f>
        <v>152967.59999999998</v>
      </c>
      <c r="F65" s="289">
        <f>C65*E65*1.05</f>
        <v>134917.42319999996</v>
      </c>
    </row>
    <row r="66" spans="1:11" x14ac:dyDescent="0.25">
      <c r="A66" s="300" t="s">
        <v>356</v>
      </c>
      <c r="B66" s="301" t="s">
        <v>117</v>
      </c>
      <c r="C66" s="302">
        <v>0.63</v>
      </c>
      <c r="D66" s="301">
        <v>5</v>
      </c>
      <c r="E66" s="289">
        <f>$J$9</f>
        <v>160464.59999999998</v>
      </c>
      <c r="F66" s="289">
        <f>C66*E66*1.05</f>
        <v>106147.33289999999</v>
      </c>
    </row>
    <row r="67" spans="1:11" x14ac:dyDescent="0.25">
      <c r="A67" s="300" t="s">
        <v>310</v>
      </c>
      <c r="B67" s="301" t="s">
        <v>311</v>
      </c>
      <c r="C67" s="302">
        <v>5.2</v>
      </c>
      <c r="D67" s="301">
        <v>10</v>
      </c>
      <c r="E67" s="289">
        <f>$I$13</f>
        <v>35000</v>
      </c>
      <c r="F67" s="289">
        <f>C67*E67*1.1</f>
        <v>200200.00000000003</v>
      </c>
    </row>
    <row r="68" spans="1:11" x14ac:dyDescent="0.25">
      <c r="A68" s="300" t="s">
        <v>313</v>
      </c>
      <c r="B68" s="301" t="s">
        <v>117</v>
      </c>
      <c r="C68" s="302">
        <v>1</v>
      </c>
      <c r="D68" s="301">
        <v>0</v>
      </c>
      <c r="E68" s="289">
        <f>$K$18</f>
        <v>80254.428571428565</v>
      </c>
      <c r="F68" s="289">
        <f>C68*E68</f>
        <v>80254.428571428565</v>
      </c>
    </row>
    <row r="69" spans="1:11" x14ac:dyDescent="0.25">
      <c r="A69" s="300" t="s">
        <v>315</v>
      </c>
      <c r="B69" s="301" t="s">
        <v>110</v>
      </c>
      <c r="C69" s="302">
        <v>7</v>
      </c>
      <c r="D69" s="301">
        <v>0</v>
      </c>
      <c r="E69" s="289">
        <f>$I$19</f>
        <v>53669</v>
      </c>
      <c r="F69" s="289">
        <f>E69/C69</f>
        <v>7667</v>
      </c>
    </row>
    <row r="70" spans="1:11" x14ac:dyDescent="0.25">
      <c r="A70" s="312"/>
      <c r="B70" s="313"/>
      <c r="C70" s="314"/>
      <c r="D70" s="313"/>
      <c r="E70" s="315"/>
      <c r="F70" s="315"/>
    </row>
    <row r="71" spans="1:11" x14ac:dyDescent="0.25">
      <c r="A71" s="312" t="s">
        <v>361</v>
      </c>
      <c r="B71" s="313" t="s">
        <v>117</v>
      </c>
      <c r="C71" s="314"/>
      <c r="D71" s="313"/>
      <c r="E71" s="315"/>
      <c r="F71" s="315">
        <f>(F75*1.05)+F72+F73+F74+F76</f>
        <v>561841.71680000005</v>
      </c>
    </row>
    <row r="72" spans="1:11" x14ac:dyDescent="0.25">
      <c r="A72" s="300" t="s">
        <v>353</v>
      </c>
      <c r="B72" s="301" t="s">
        <v>117</v>
      </c>
      <c r="C72" s="302">
        <v>0.9</v>
      </c>
      <c r="D72" s="301">
        <v>5</v>
      </c>
      <c r="E72" s="289">
        <f>$J$7</f>
        <v>152967.59999999998</v>
      </c>
      <c r="F72" s="289">
        <f>C72*E72*1.05</f>
        <v>144554.38200000001</v>
      </c>
    </row>
    <row r="73" spans="1:11" x14ac:dyDescent="0.25">
      <c r="A73" s="300" t="s">
        <v>356</v>
      </c>
      <c r="B73" s="301" t="s">
        <v>117</v>
      </c>
      <c r="C73" s="302">
        <v>0.56000000000000005</v>
      </c>
      <c r="D73" s="301">
        <v>5</v>
      </c>
      <c r="E73" s="289">
        <f>$J$9</f>
        <v>160464.59999999998</v>
      </c>
      <c r="F73" s="289">
        <f>C73*E73*1.05</f>
        <v>94353.184800000003</v>
      </c>
    </row>
    <row r="74" spans="1:11" x14ac:dyDescent="0.25">
      <c r="A74" s="300" t="s">
        <v>310</v>
      </c>
      <c r="B74" s="301" t="s">
        <v>311</v>
      </c>
      <c r="C74" s="302">
        <v>6</v>
      </c>
      <c r="D74" s="301">
        <v>10</v>
      </c>
      <c r="E74" s="289">
        <f>$I$13</f>
        <v>35000</v>
      </c>
      <c r="F74" s="289">
        <f>C74*E74*1.1</f>
        <v>231000.00000000003</v>
      </c>
    </row>
    <row r="75" spans="1:11" x14ac:dyDescent="0.25">
      <c r="A75" s="300" t="s">
        <v>313</v>
      </c>
      <c r="B75" s="301" t="s">
        <v>117</v>
      </c>
      <c r="C75" s="302">
        <v>1</v>
      </c>
      <c r="D75" s="301">
        <v>0</v>
      </c>
      <c r="E75" s="289">
        <f>$K$18</f>
        <v>80254.428571428565</v>
      </c>
      <c r="F75" s="289">
        <f>C75*E75</f>
        <v>80254.428571428565</v>
      </c>
      <c r="H75" s="315"/>
    </row>
    <row r="76" spans="1:11" x14ac:dyDescent="0.25">
      <c r="A76" s="300" t="s">
        <v>315</v>
      </c>
      <c r="B76" s="301" t="s">
        <v>110</v>
      </c>
      <c r="C76" s="302">
        <v>7</v>
      </c>
      <c r="D76" s="301">
        <v>0</v>
      </c>
      <c r="E76" s="289">
        <f>$I$19</f>
        <v>53669</v>
      </c>
      <c r="F76" s="289">
        <f>E76/C76</f>
        <v>7667</v>
      </c>
    </row>
    <row r="77" spans="1:11" x14ac:dyDescent="0.25">
      <c r="A77" s="312"/>
      <c r="B77" s="313"/>
      <c r="C77" s="314"/>
      <c r="D77" s="313"/>
      <c r="E77" s="315"/>
      <c r="F77" s="315"/>
      <c r="K77" s="289"/>
    </row>
    <row r="78" spans="1:11" x14ac:dyDescent="0.25">
      <c r="A78" s="312" t="s">
        <v>362</v>
      </c>
      <c r="B78" s="313" t="s">
        <v>117</v>
      </c>
      <c r="C78" s="314"/>
      <c r="D78" s="313"/>
      <c r="E78" s="315"/>
      <c r="F78" s="315">
        <f>(F82*1.05)+F79+F80+F81+F83</f>
        <v>630810.91779999994</v>
      </c>
    </row>
    <row r="79" spans="1:11" x14ac:dyDescent="0.25">
      <c r="A79" s="300" t="s">
        <v>353</v>
      </c>
      <c r="B79" s="301" t="s">
        <v>117</v>
      </c>
      <c r="C79" s="302">
        <v>0.85</v>
      </c>
      <c r="D79" s="301">
        <v>5</v>
      </c>
      <c r="E79" s="289">
        <f>$J$7</f>
        <v>152967.59999999998</v>
      </c>
      <c r="F79" s="289">
        <f>C79*E79*1.05</f>
        <v>136523.58299999998</v>
      </c>
    </row>
    <row r="80" spans="1:11" x14ac:dyDescent="0.25">
      <c r="A80" s="300" t="s">
        <v>356</v>
      </c>
      <c r="B80" s="301" t="s">
        <v>117</v>
      </c>
      <c r="C80" s="302">
        <v>0.56000000000000005</v>
      </c>
      <c r="D80" s="301">
        <v>5</v>
      </c>
      <c r="E80" s="289">
        <f>$J$9</f>
        <v>160464.59999999998</v>
      </c>
      <c r="F80" s="289">
        <f>C80*E80*1.05</f>
        <v>94353.184800000003</v>
      </c>
    </row>
    <row r="81" spans="1:13" x14ac:dyDescent="0.25">
      <c r="A81" s="300" t="s">
        <v>310</v>
      </c>
      <c r="B81" s="301" t="s">
        <v>311</v>
      </c>
      <c r="C81" s="302">
        <v>8</v>
      </c>
      <c r="D81" s="301">
        <v>10</v>
      </c>
      <c r="E81" s="289">
        <f>$I$13</f>
        <v>35000</v>
      </c>
      <c r="F81" s="289">
        <f>C81*E81*1.1</f>
        <v>308000</v>
      </c>
    </row>
    <row r="82" spans="1:13" x14ac:dyDescent="0.25">
      <c r="A82" s="300" t="s">
        <v>313</v>
      </c>
      <c r="B82" s="301" t="s">
        <v>117</v>
      </c>
      <c r="C82" s="302">
        <v>1</v>
      </c>
      <c r="D82" s="301">
        <v>0</v>
      </c>
      <c r="E82" s="289">
        <f>$K$18</f>
        <v>80254.428571428565</v>
      </c>
      <c r="F82" s="289">
        <f>C82*E82</f>
        <v>80254.428571428565</v>
      </c>
      <c r="H82" s="315"/>
      <c r="J82" s="315"/>
    </row>
    <row r="83" spans="1:13" x14ac:dyDescent="0.25">
      <c r="A83" s="300" t="s">
        <v>315</v>
      </c>
      <c r="B83" s="301" t="s">
        <v>110</v>
      </c>
      <c r="C83" s="302">
        <v>7</v>
      </c>
      <c r="D83" s="301">
        <v>0</v>
      </c>
      <c r="E83" s="289">
        <f>$I$19</f>
        <v>53669</v>
      </c>
      <c r="F83" s="289">
        <f>E83/C83</f>
        <v>7667</v>
      </c>
    </row>
    <row r="84" spans="1:13" x14ac:dyDescent="0.25">
      <c r="A84" s="312"/>
      <c r="B84" s="313"/>
      <c r="C84" s="314"/>
      <c r="D84" s="313"/>
      <c r="E84" s="315"/>
      <c r="F84" s="315"/>
    </row>
    <row r="85" spans="1:13" x14ac:dyDescent="0.25">
      <c r="A85" s="312" t="s">
        <v>363</v>
      </c>
      <c r="B85" s="313" t="s">
        <v>117</v>
      </c>
      <c r="C85" s="314"/>
      <c r="D85" s="313"/>
      <c r="E85" s="315"/>
      <c r="F85" s="315">
        <f>(F89*1.05)+F86+F87+F88+F90</f>
        <v>635833.70270000002</v>
      </c>
    </row>
    <row r="86" spans="1:13" x14ac:dyDescent="0.25">
      <c r="A86" s="300" t="s">
        <v>353</v>
      </c>
      <c r="B86" s="301" t="s">
        <v>117</v>
      </c>
      <c r="C86" s="302">
        <v>0.67</v>
      </c>
      <c r="D86" s="301">
        <v>5</v>
      </c>
      <c r="E86" s="289">
        <f>$J$7</f>
        <v>152967.59999999998</v>
      </c>
      <c r="F86" s="289">
        <f>C86*E86*1.05</f>
        <v>107612.70659999999</v>
      </c>
    </row>
    <row r="87" spans="1:13" x14ac:dyDescent="0.25">
      <c r="A87" s="300" t="s">
        <v>356</v>
      </c>
      <c r="B87" s="301" t="s">
        <v>117</v>
      </c>
      <c r="C87" s="302">
        <v>0.67</v>
      </c>
      <c r="D87" s="301">
        <v>5</v>
      </c>
      <c r="E87" s="289">
        <f>$J$9</f>
        <v>160464.59999999998</v>
      </c>
      <c r="F87" s="289">
        <f>C87*E87*1.05</f>
        <v>112886.8461</v>
      </c>
    </row>
    <row r="88" spans="1:13" x14ac:dyDescent="0.25">
      <c r="A88" s="300" t="s">
        <v>310</v>
      </c>
      <c r="B88" s="301" t="s">
        <v>311</v>
      </c>
      <c r="C88" s="302">
        <v>8.4</v>
      </c>
      <c r="D88" s="301">
        <v>10</v>
      </c>
      <c r="E88" s="289">
        <f>$I$13</f>
        <v>35000</v>
      </c>
      <c r="F88" s="289">
        <f>C88*E88*1.1</f>
        <v>323400</v>
      </c>
    </row>
    <row r="89" spans="1:13" x14ac:dyDescent="0.25">
      <c r="A89" s="300" t="s">
        <v>313</v>
      </c>
      <c r="B89" s="301" t="s">
        <v>117</v>
      </c>
      <c r="C89" s="302">
        <v>1</v>
      </c>
      <c r="D89" s="301">
        <v>0</v>
      </c>
      <c r="E89" s="289">
        <f>$K$18</f>
        <v>80254.428571428565</v>
      </c>
      <c r="F89" s="289">
        <f>C89*E89</f>
        <v>80254.428571428565</v>
      </c>
      <c r="H89" s="315"/>
      <c r="J89" s="315"/>
    </row>
    <row r="90" spans="1:13" x14ac:dyDescent="0.25">
      <c r="A90" s="300" t="s">
        <v>315</v>
      </c>
      <c r="B90" s="301" t="s">
        <v>110</v>
      </c>
      <c r="C90" s="302">
        <v>7</v>
      </c>
      <c r="D90" s="301">
        <v>0</v>
      </c>
      <c r="E90" s="289">
        <f>$I$19</f>
        <v>53669</v>
      </c>
      <c r="F90" s="289">
        <f>E90/C90</f>
        <v>7667</v>
      </c>
    </row>
    <row r="91" spans="1:13" x14ac:dyDescent="0.25">
      <c r="A91" s="312"/>
      <c r="B91" s="313"/>
      <c r="C91" s="314"/>
      <c r="D91" s="313"/>
      <c r="E91" s="315"/>
      <c r="F91" s="315"/>
    </row>
    <row r="92" spans="1:13" x14ac:dyDescent="0.25">
      <c r="A92" s="312" t="s">
        <v>364</v>
      </c>
      <c r="B92" s="313" t="s">
        <v>117</v>
      </c>
      <c r="C92" s="314"/>
      <c r="D92" s="313"/>
      <c r="E92" s="315"/>
      <c r="F92" s="315">
        <f>(F96*1.05)+F93+F94+F95+F97</f>
        <v>746621.85787000007</v>
      </c>
    </row>
    <row r="93" spans="1:13" x14ac:dyDescent="0.25">
      <c r="A93" s="300" t="s">
        <v>353</v>
      </c>
      <c r="B93" s="301" t="s">
        <v>117</v>
      </c>
      <c r="C93" s="302">
        <v>0.52700000000000002</v>
      </c>
      <c r="D93" s="301">
        <v>5</v>
      </c>
      <c r="E93" s="289">
        <f>$J$7</f>
        <v>152967.59999999998</v>
      </c>
      <c r="F93" s="289">
        <f>C93*E93*1.05</f>
        <v>84644.621459999995</v>
      </c>
    </row>
    <row r="94" spans="1:13" x14ac:dyDescent="0.25">
      <c r="A94" s="300" t="s">
        <v>356</v>
      </c>
      <c r="B94" s="301" t="s">
        <v>117</v>
      </c>
      <c r="C94" s="302">
        <v>0.52700000000000002</v>
      </c>
      <c r="D94" s="301">
        <v>5</v>
      </c>
      <c r="E94" s="289">
        <f>$J$9</f>
        <v>160464.59999999998</v>
      </c>
      <c r="F94" s="289">
        <f>C94*E94*1.05</f>
        <v>88793.086409999989</v>
      </c>
      <c r="H94" s="312" t="s">
        <v>362</v>
      </c>
      <c r="I94" s="313" t="s">
        <v>117</v>
      </c>
      <c r="J94" s="314"/>
      <c r="K94" s="312"/>
      <c r="L94" s="315"/>
      <c r="M94" s="315">
        <f>(M98*1.05)+M95+M96+M97+M99</f>
        <v>882250</v>
      </c>
    </row>
    <row r="95" spans="1:13" x14ac:dyDescent="0.25">
      <c r="A95" s="300" t="s">
        <v>310</v>
      </c>
      <c r="B95" s="301" t="s">
        <v>311</v>
      </c>
      <c r="C95" s="302">
        <v>12.5</v>
      </c>
      <c r="D95" s="301">
        <v>10</v>
      </c>
      <c r="E95" s="289">
        <f>$I$13</f>
        <v>35000</v>
      </c>
      <c r="F95" s="289">
        <f>C95*E95*1.1</f>
        <v>481250.00000000006</v>
      </c>
      <c r="H95" s="353" t="s">
        <v>365</v>
      </c>
      <c r="I95" s="301" t="s">
        <v>117</v>
      </c>
      <c r="J95" s="302">
        <v>0.85</v>
      </c>
      <c r="K95" s="300">
        <v>5</v>
      </c>
      <c r="L95" s="289">
        <f>P25</f>
        <v>0</v>
      </c>
      <c r="M95" s="289">
        <f>J95*L95*1.05</f>
        <v>0</v>
      </c>
    </row>
    <row r="96" spans="1:13" x14ac:dyDescent="0.25">
      <c r="A96" s="300" t="s">
        <v>313</v>
      </c>
      <c r="B96" s="301" t="s">
        <v>117</v>
      </c>
      <c r="C96" s="302">
        <v>1</v>
      </c>
      <c r="D96" s="301">
        <v>0</v>
      </c>
      <c r="E96" s="289">
        <f>$K$18</f>
        <v>80254.428571428565</v>
      </c>
      <c r="F96" s="289">
        <f>C96*E96</f>
        <v>80254.428571428565</v>
      </c>
      <c r="H96" s="300" t="s">
        <v>366</v>
      </c>
      <c r="I96" s="301" t="s">
        <v>117</v>
      </c>
      <c r="J96" s="302">
        <v>1</v>
      </c>
      <c r="K96" s="300">
        <v>5</v>
      </c>
      <c r="L96" s="289">
        <v>350000</v>
      </c>
      <c r="M96" s="289">
        <f>J96*L96*1.05</f>
        <v>367500</v>
      </c>
    </row>
    <row r="97" spans="1:13" x14ac:dyDescent="0.25">
      <c r="A97" s="300" t="s">
        <v>315</v>
      </c>
      <c r="B97" s="301" t="s">
        <v>110</v>
      </c>
      <c r="C97" s="302">
        <v>7</v>
      </c>
      <c r="D97" s="301">
        <v>0</v>
      </c>
      <c r="E97" s="289">
        <f>$I$19</f>
        <v>53669</v>
      </c>
      <c r="F97" s="289">
        <f>E97/C97</f>
        <v>7667</v>
      </c>
      <c r="H97" s="300" t="s">
        <v>367</v>
      </c>
      <c r="I97" s="301" t="s">
        <v>117</v>
      </c>
      <c r="J97" s="302">
        <v>1</v>
      </c>
      <c r="K97" s="300">
        <v>5</v>
      </c>
      <c r="L97" s="289">
        <v>25000</v>
      </c>
      <c r="M97" s="289">
        <f>J97*L97*1.1</f>
        <v>27500.000000000004</v>
      </c>
    </row>
    <row r="98" spans="1:13" x14ac:dyDescent="0.25">
      <c r="A98" s="312"/>
      <c r="B98" s="313"/>
      <c r="C98" s="314"/>
      <c r="D98" s="313"/>
      <c r="E98" s="315"/>
      <c r="F98" s="315"/>
      <c r="H98" s="300" t="s">
        <v>368</v>
      </c>
      <c r="I98" s="301" t="s">
        <v>117</v>
      </c>
      <c r="J98" s="302">
        <v>1</v>
      </c>
      <c r="K98" s="300">
        <v>5</v>
      </c>
      <c r="L98" s="289">
        <v>45000</v>
      </c>
      <c r="M98" s="289">
        <f>J98*L98</f>
        <v>45000</v>
      </c>
    </row>
    <row r="99" spans="1:13" x14ac:dyDescent="0.25">
      <c r="A99" s="312" t="s">
        <v>369</v>
      </c>
      <c r="B99" s="313" t="s">
        <v>117</v>
      </c>
      <c r="C99" s="314"/>
      <c r="D99" s="313"/>
      <c r="E99" s="315"/>
      <c r="F99" s="315">
        <f>(F103*1.05)+F100+F101+F102+F104</f>
        <v>784071.8600000001</v>
      </c>
      <c r="H99" s="300"/>
      <c r="I99" s="301"/>
      <c r="J99" s="302"/>
      <c r="K99" s="300">
        <v>0</v>
      </c>
      <c r="L99" s="289">
        <f>Q39</f>
        <v>0</v>
      </c>
      <c r="M99" s="289">
        <f>SUM(M95:M98)</f>
        <v>440000</v>
      </c>
    </row>
    <row r="100" spans="1:13" x14ac:dyDescent="0.25">
      <c r="A100" s="300" t="s">
        <v>353</v>
      </c>
      <c r="B100" s="301" t="s">
        <v>117</v>
      </c>
      <c r="C100" s="302">
        <v>0.5</v>
      </c>
      <c r="D100" s="301">
        <v>10</v>
      </c>
      <c r="E100" s="289">
        <f>$J$7</f>
        <v>152967.59999999998</v>
      </c>
      <c r="F100" s="289">
        <f>C100*E100*1.1</f>
        <v>84132.18</v>
      </c>
    </row>
    <row r="101" spans="1:13" x14ac:dyDescent="0.25">
      <c r="A101" s="300" t="s">
        <v>356</v>
      </c>
      <c r="B101" s="301" t="s">
        <v>117</v>
      </c>
      <c r="C101" s="302">
        <v>0.5</v>
      </c>
      <c r="D101" s="301">
        <v>10</v>
      </c>
      <c r="E101" s="289">
        <f>$J$9</f>
        <v>160464.59999999998</v>
      </c>
      <c r="F101" s="289">
        <f>C101*E101*1.1</f>
        <v>88255.53</v>
      </c>
    </row>
    <row r="102" spans="1:13" s="289" customFormat="1" x14ac:dyDescent="0.25">
      <c r="A102" s="300" t="s">
        <v>310</v>
      </c>
      <c r="B102" s="301" t="s">
        <v>311</v>
      </c>
      <c r="C102" s="302">
        <v>13.5</v>
      </c>
      <c r="D102" s="301">
        <v>10</v>
      </c>
      <c r="E102" s="289">
        <f>$I$13</f>
        <v>35000</v>
      </c>
      <c r="F102" s="289">
        <f>C102*E102*1.1</f>
        <v>519750.00000000006</v>
      </c>
      <c r="I102" s="290"/>
      <c r="L102" s="291"/>
    </row>
    <row r="103" spans="1:13" s="289" customFormat="1" x14ac:dyDescent="0.25">
      <c r="A103" s="300" t="s">
        <v>313</v>
      </c>
      <c r="B103" s="301" t="s">
        <v>117</v>
      </c>
      <c r="C103" s="302">
        <v>1</v>
      </c>
      <c r="D103" s="301">
        <v>0</v>
      </c>
      <c r="E103" s="289">
        <f>$K$18</f>
        <v>80254.428571428565</v>
      </c>
      <c r="F103" s="289">
        <f>C103*E103</f>
        <v>80254.428571428565</v>
      </c>
      <c r="H103" s="315"/>
      <c r="I103" s="290"/>
      <c r="L103" s="291"/>
    </row>
    <row r="104" spans="1:13" s="289" customFormat="1" x14ac:dyDescent="0.25">
      <c r="A104" s="300" t="s">
        <v>315</v>
      </c>
      <c r="B104" s="301" t="s">
        <v>110</v>
      </c>
      <c r="C104" s="302">
        <v>7</v>
      </c>
      <c r="D104" s="301">
        <v>0</v>
      </c>
      <c r="E104" s="289">
        <f>$I$19</f>
        <v>53669</v>
      </c>
      <c r="F104" s="289">
        <f>E104/C104</f>
        <v>7667</v>
      </c>
      <c r="I104" s="290"/>
      <c r="L104" s="291"/>
    </row>
    <row r="105" spans="1:13" s="289" customFormat="1" x14ac:dyDescent="0.25">
      <c r="A105" s="312"/>
      <c r="B105" s="313"/>
      <c r="C105" s="314"/>
      <c r="D105" s="313"/>
      <c r="E105" s="315"/>
      <c r="F105" s="315"/>
      <c r="I105" s="290"/>
      <c r="L105" s="291"/>
    </row>
    <row r="106" spans="1:13" s="289" customFormat="1" x14ac:dyDescent="0.25">
      <c r="A106" s="312"/>
      <c r="B106" s="313"/>
      <c r="C106" s="314"/>
      <c r="D106" s="313"/>
      <c r="E106" s="315"/>
      <c r="F106" s="315"/>
      <c r="I106" s="290"/>
      <c r="L106" s="291"/>
    </row>
    <row r="107" spans="1:13" s="289" customFormat="1" x14ac:dyDescent="0.25">
      <c r="A107" s="312" t="s">
        <v>370</v>
      </c>
      <c r="B107" s="313" t="s">
        <v>117</v>
      </c>
      <c r="C107" s="314"/>
      <c r="D107" s="313"/>
      <c r="E107" s="315"/>
      <c r="F107" s="315">
        <f>(F110*1.05)+F108+F109+F111</f>
        <v>595722.32165100006</v>
      </c>
      <c r="I107" s="290"/>
      <c r="L107" s="291"/>
    </row>
    <row r="108" spans="1:13" s="289" customFormat="1" x14ac:dyDescent="0.25">
      <c r="A108" s="300" t="s">
        <v>318</v>
      </c>
      <c r="B108" s="301" t="s">
        <v>117</v>
      </c>
      <c r="C108" s="302">
        <v>0.3</v>
      </c>
      <c r="D108" s="301">
        <v>10</v>
      </c>
      <c r="E108" s="289">
        <f>J12</f>
        <v>183848.63549999997</v>
      </c>
      <c r="F108" s="289">
        <f>C108*E108*1.1</f>
        <v>60670.049714999994</v>
      </c>
      <c r="I108" s="290"/>
      <c r="L108" s="291"/>
    </row>
    <row r="109" spans="1:13" s="289" customFormat="1" x14ac:dyDescent="0.25">
      <c r="A109" s="300" t="s">
        <v>371</v>
      </c>
      <c r="B109" s="301" t="s">
        <v>117</v>
      </c>
      <c r="C109" s="302">
        <v>0.7</v>
      </c>
      <c r="D109" s="301">
        <v>10</v>
      </c>
      <c r="E109" s="289">
        <f>F71</f>
        <v>561841.71680000005</v>
      </c>
      <c r="F109" s="289">
        <f>C109*E109*1.1</f>
        <v>432618.12193600007</v>
      </c>
      <c r="I109" s="290"/>
      <c r="L109" s="291"/>
    </row>
    <row r="110" spans="1:13" s="289" customFormat="1" x14ac:dyDescent="0.25">
      <c r="A110" s="300" t="s">
        <v>372</v>
      </c>
      <c r="B110" s="301" t="s">
        <v>117</v>
      </c>
      <c r="C110" s="302">
        <v>1</v>
      </c>
      <c r="D110" s="301">
        <v>0</v>
      </c>
      <c r="E110" s="289">
        <f>K18+10000</f>
        <v>90254.428571428565</v>
      </c>
      <c r="F110" s="289">
        <f>C110*E110</f>
        <v>90254.428571428565</v>
      </c>
      <c r="H110" s="315"/>
      <c r="I110" s="290"/>
      <c r="L110" s="291"/>
    </row>
    <row r="111" spans="1:13" s="289" customFormat="1" x14ac:dyDescent="0.25">
      <c r="A111" s="300" t="s">
        <v>315</v>
      </c>
      <c r="B111" s="301" t="s">
        <v>373</v>
      </c>
      <c r="C111" s="302">
        <v>7</v>
      </c>
      <c r="D111" s="301"/>
      <c r="E111" s="289">
        <f>I19</f>
        <v>53669</v>
      </c>
      <c r="F111" s="289">
        <f>E111/C111</f>
        <v>7667</v>
      </c>
      <c r="I111" s="354"/>
      <c r="L111" s="291"/>
    </row>
    <row r="112" spans="1:13" s="289" customFormat="1" x14ac:dyDescent="0.25">
      <c r="A112" s="312"/>
      <c r="B112" s="313"/>
      <c r="C112" s="314"/>
      <c r="D112" s="313"/>
      <c r="F112" s="315"/>
      <c r="I112" s="290"/>
      <c r="L112" s="291"/>
    </row>
    <row r="113" spans="1:12" s="289" customFormat="1" x14ac:dyDescent="0.25">
      <c r="A113" s="312" t="s">
        <v>374</v>
      </c>
      <c r="B113" s="313" t="s">
        <v>117</v>
      </c>
      <c r="C113" s="314"/>
      <c r="D113" s="313"/>
      <c r="E113" s="315"/>
      <c r="F113" s="315">
        <f>F114+F115+F116*1.05+F117</f>
        <v>592602.66993600002</v>
      </c>
      <c r="I113" s="290"/>
      <c r="L113" s="291"/>
    </row>
    <row r="114" spans="1:12" s="289" customFormat="1" x14ac:dyDescent="0.25">
      <c r="A114" s="300" t="s">
        <v>308</v>
      </c>
      <c r="B114" s="301" t="s">
        <v>117</v>
      </c>
      <c r="C114" s="302">
        <v>1.0900000000000001</v>
      </c>
      <c r="D114" s="301">
        <v>10</v>
      </c>
      <c r="E114" s="289">
        <f>J10</f>
        <v>141716.864</v>
      </c>
      <c r="F114" s="289">
        <f>C114*E114*1.1</f>
        <v>169918.51993600003</v>
      </c>
      <c r="I114" s="290"/>
      <c r="L114" s="291"/>
    </row>
    <row r="115" spans="1:12" s="289" customFormat="1" x14ac:dyDescent="0.25">
      <c r="A115" s="300" t="s">
        <v>310</v>
      </c>
      <c r="B115" s="301" t="s">
        <v>311</v>
      </c>
      <c r="C115" s="302">
        <v>9</v>
      </c>
      <c r="D115" s="301">
        <v>5</v>
      </c>
      <c r="E115" s="289">
        <f>$I$13</f>
        <v>35000</v>
      </c>
      <c r="F115" s="289">
        <f>C115*E115*1.05</f>
        <v>330750</v>
      </c>
      <c r="I115" s="290"/>
      <c r="L115" s="291"/>
    </row>
    <row r="116" spans="1:12" s="289" customFormat="1" x14ac:dyDescent="0.25">
      <c r="A116" s="300" t="s">
        <v>313</v>
      </c>
      <c r="B116" s="301" t="s">
        <v>117</v>
      </c>
      <c r="C116" s="302">
        <v>1</v>
      </c>
      <c r="D116" s="301">
        <v>0</v>
      </c>
      <c r="E116" s="289">
        <f>$K$18</f>
        <v>80254.428571428565</v>
      </c>
      <c r="F116" s="289">
        <f>C116*E116</f>
        <v>80254.428571428565</v>
      </c>
      <c r="I116" s="290"/>
      <c r="L116" s="291"/>
    </row>
    <row r="117" spans="1:12" s="289" customFormat="1" x14ac:dyDescent="0.25">
      <c r="A117" s="300" t="s">
        <v>315</v>
      </c>
      <c r="B117" s="301" t="s">
        <v>110</v>
      </c>
      <c r="C117" s="302">
        <v>7</v>
      </c>
      <c r="D117" s="301">
        <v>0</v>
      </c>
      <c r="E117" s="289">
        <f>$I$19</f>
        <v>53669</v>
      </c>
      <c r="F117" s="289">
        <f>E117/C117</f>
        <v>7667</v>
      </c>
      <c r="H117" s="315"/>
      <c r="I117" s="290"/>
      <c r="L117" s="291"/>
    </row>
    <row r="118" spans="1:12" s="289" customFormat="1" x14ac:dyDescent="0.25">
      <c r="A118" s="287"/>
      <c r="B118" s="288"/>
      <c r="C118" s="287"/>
      <c r="D118" s="288"/>
      <c r="F118" s="287"/>
      <c r="I118" s="290"/>
      <c r="L118" s="291"/>
    </row>
    <row r="119" spans="1:12" s="289" customFormat="1" ht="33.75" x14ac:dyDescent="0.25">
      <c r="A119" s="355" t="s">
        <v>375</v>
      </c>
      <c r="B119" s="356" t="s">
        <v>117</v>
      </c>
      <c r="C119" s="357"/>
      <c r="D119" s="356"/>
      <c r="E119" s="357"/>
      <c r="F119" s="358">
        <f>F120+F121+F122+F123+F125+F124*1.05</f>
        <v>641264.98854399996</v>
      </c>
      <c r="I119" s="290"/>
      <c r="L119" s="291"/>
    </row>
    <row r="120" spans="1:12" s="289" customFormat="1" x14ac:dyDescent="0.25">
      <c r="A120" s="287" t="s">
        <v>376</v>
      </c>
      <c r="B120" s="288" t="s">
        <v>117</v>
      </c>
      <c r="C120" s="287">
        <v>0.86</v>
      </c>
      <c r="D120" s="288">
        <v>10</v>
      </c>
      <c r="E120" s="289">
        <f>J10</f>
        <v>141716.864</v>
      </c>
      <c r="F120" s="289">
        <f>E120*C120*1.1</f>
        <v>134064.15334400002</v>
      </c>
      <c r="I120" s="290"/>
      <c r="L120" s="291"/>
    </row>
    <row r="121" spans="1:12" s="289" customFormat="1" x14ac:dyDescent="0.25">
      <c r="A121" s="287" t="s">
        <v>377</v>
      </c>
      <c r="B121" s="288" t="s">
        <v>117</v>
      </c>
      <c r="C121" s="287">
        <v>0.56999999999999995</v>
      </c>
      <c r="D121" s="288">
        <v>10</v>
      </c>
      <c r="E121" s="289">
        <f>$I$7</f>
        <v>80967.599999999991</v>
      </c>
      <c r="F121" s="289">
        <f>E121*C121*1.1</f>
        <v>50766.685199999993</v>
      </c>
      <c r="I121" s="290"/>
      <c r="L121" s="291"/>
    </row>
    <row r="122" spans="1:12" s="289" customFormat="1" x14ac:dyDescent="0.25">
      <c r="A122" s="287" t="s">
        <v>378</v>
      </c>
      <c r="B122" s="288" t="s">
        <v>311</v>
      </c>
      <c r="C122" s="287">
        <v>7</v>
      </c>
      <c r="D122" s="288">
        <v>10</v>
      </c>
      <c r="E122" s="289">
        <f>I13</f>
        <v>35000</v>
      </c>
      <c r="F122" s="289">
        <f>E122*C122*1.1</f>
        <v>269500</v>
      </c>
      <c r="I122" s="290"/>
      <c r="L122" s="291"/>
    </row>
    <row r="123" spans="1:12" s="289" customFormat="1" x14ac:dyDescent="0.25">
      <c r="A123" s="287" t="s">
        <v>379</v>
      </c>
      <c r="B123" s="288" t="s">
        <v>311</v>
      </c>
      <c r="C123" s="287">
        <v>10</v>
      </c>
      <c r="D123" s="288">
        <v>5</v>
      </c>
      <c r="E123" s="359">
        <f>J14</f>
        <v>9500</v>
      </c>
      <c r="F123" s="359">
        <f>E123*C123</f>
        <v>95000</v>
      </c>
      <c r="I123" s="290"/>
      <c r="L123" s="291"/>
    </row>
    <row r="124" spans="1:12" s="289" customFormat="1" x14ac:dyDescent="0.25">
      <c r="A124" s="287" t="s">
        <v>380</v>
      </c>
      <c r="B124" s="288" t="s">
        <v>381</v>
      </c>
      <c r="C124" s="287">
        <v>1</v>
      </c>
      <c r="D124" s="288">
        <v>0</v>
      </c>
      <c r="E124" s="289">
        <f>$K$18</f>
        <v>80254.428571428565</v>
      </c>
      <c r="F124" s="289">
        <f>E124*C124</f>
        <v>80254.428571428565</v>
      </c>
      <c r="I124" s="290"/>
      <c r="L124" s="291"/>
    </row>
    <row r="125" spans="1:12" s="289" customFormat="1" x14ac:dyDescent="0.25">
      <c r="A125" s="287" t="s">
        <v>315</v>
      </c>
      <c r="B125" s="288" t="s">
        <v>373</v>
      </c>
      <c r="C125" s="287">
        <v>7</v>
      </c>
      <c r="D125" s="288">
        <v>0</v>
      </c>
      <c r="E125" s="289">
        <f>$I$19</f>
        <v>53669</v>
      </c>
      <c r="F125" s="289">
        <f>E125/C125</f>
        <v>7667</v>
      </c>
      <c r="I125" s="290"/>
      <c r="L125" s="291"/>
    </row>
    <row r="126" spans="1:12" s="289" customFormat="1" x14ac:dyDescent="0.25">
      <c r="A126" s="287"/>
      <c r="B126" s="288"/>
      <c r="C126" s="287"/>
      <c r="D126" s="288"/>
      <c r="E126" s="287"/>
      <c r="F126" s="287"/>
      <c r="I126" s="290"/>
      <c r="L126" s="291"/>
    </row>
    <row r="127" spans="1:12" s="289" customFormat="1" x14ac:dyDescent="0.25">
      <c r="I127" s="290"/>
      <c r="L127" s="291"/>
    </row>
    <row r="128" spans="1:12" s="289" customFormat="1" x14ac:dyDescent="0.25">
      <c r="I128" s="290"/>
      <c r="L128" s="291"/>
    </row>
    <row r="129" spans="2:12" s="289" customFormat="1" x14ac:dyDescent="0.25">
      <c r="I129" s="290"/>
      <c r="L129" s="291"/>
    </row>
    <row r="130" spans="2:12" s="289" customFormat="1" x14ac:dyDescent="0.25">
      <c r="I130" s="290"/>
      <c r="L130" s="291"/>
    </row>
    <row r="131" spans="2:12" s="289" customFormat="1" x14ac:dyDescent="0.25">
      <c r="I131" s="290"/>
      <c r="L131" s="291"/>
    </row>
    <row r="132" spans="2:12" s="289" customFormat="1" x14ac:dyDescent="0.25">
      <c r="I132" s="290"/>
      <c r="L132" s="291"/>
    </row>
    <row r="133" spans="2:12" s="289" customFormat="1" x14ac:dyDescent="0.25">
      <c r="I133" s="290"/>
      <c r="L133" s="291"/>
    </row>
    <row r="135" spans="2:12" s="289" customFormat="1" x14ac:dyDescent="0.25">
      <c r="I135" s="290"/>
      <c r="L135" s="291"/>
    </row>
    <row r="136" spans="2:12" s="289" customFormat="1" x14ac:dyDescent="0.25">
      <c r="I136" s="290"/>
      <c r="L136" s="291"/>
    </row>
    <row r="137" spans="2:12" s="289" customFormat="1" x14ac:dyDescent="0.25">
      <c r="H137" s="315"/>
      <c r="I137" s="290"/>
      <c r="L137" s="291"/>
    </row>
    <row r="138" spans="2:12" s="289" customFormat="1" x14ac:dyDescent="0.25">
      <c r="I138" s="290"/>
      <c r="L138" s="291"/>
    </row>
    <row r="139" spans="2:12" s="289" customFormat="1" x14ac:dyDescent="0.25">
      <c r="I139" s="290"/>
      <c r="L139" s="291"/>
    </row>
    <row r="140" spans="2:12" s="289" customFormat="1" x14ac:dyDescent="0.25">
      <c r="I140" s="290"/>
      <c r="L140" s="291"/>
    </row>
    <row r="141" spans="2:12" s="289" customFormat="1" x14ac:dyDescent="0.25">
      <c r="I141" s="290"/>
      <c r="L141" s="291"/>
    </row>
    <row r="143" spans="2:12" s="289" customFormat="1" x14ac:dyDescent="0.25">
      <c r="B143" s="360"/>
      <c r="D143" s="360"/>
      <c r="I143" s="290"/>
      <c r="L143" s="291"/>
    </row>
    <row r="144" spans="2:12" s="289" customFormat="1" x14ac:dyDescent="0.25">
      <c r="B144" s="360"/>
      <c r="D144" s="360"/>
      <c r="I144" s="290"/>
      <c r="L144" s="291"/>
    </row>
    <row r="145" spans="1:12" s="289" customFormat="1" x14ac:dyDescent="0.25">
      <c r="B145" s="360"/>
      <c r="D145" s="360"/>
      <c r="I145" s="290"/>
      <c r="L145" s="291"/>
    </row>
    <row r="146" spans="1:12" s="289" customFormat="1" x14ac:dyDescent="0.25">
      <c r="B146" s="360"/>
      <c r="D146" s="360"/>
      <c r="I146" s="290"/>
      <c r="L146" s="291"/>
    </row>
    <row r="147" spans="1:12" s="289" customFormat="1" x14ac:dyDescent="0.25">
      <c r="B147" s="360"/>
      <c r="D147" s="360"/>
      <c r="I147" s="290"/>
      <c r="L147" s="291"/>
    </row>
    <row r="148" spans="1:12" s="289" customFormat="1" x14ac:dyDescent="0.25">
      <c r="A148" s="300"/>
      <c r="B148" s="301"/>
      <c r="C148" s="302"/>
      <c r="D148" s="301"/>
      <c r="I148" s="290"/>
      <c r="L148" s="291"/>
    </row>
  </sheetData>
  <mergeCells count="11">
    <mergeCell ref="I58:J58"/>
    <mergeCell ref="H15:I15"/>
    <mergeCell ref="H53:J54"/>
    <mergeCell ref="I55:J55"/>
    <mergeCell ref="I56:J56"/>
    <mergeCell ref="I57:J57"/>
    <mergeCell ref="I61:J61"/>
    <mergeCell ref="I62:J62"/>
    <mergeCell ref="I63:J63"/>
    <mergeCell ref="I59:J59"/>
    <mergeCell ref="I60:J60"/>
  </mergeCells>
  <conditionalFormatting sqref="H2:L13 K4:K14">
    <cfRule type="cellIs" dxfId="2" priority="3" operator="greaterThan">
      <formula>66514257.5</formula>
    </cfRule>
  </conditionalFormatting>
  <conditionalFormatting sqref="H14:L14">
    <cfRule type="cellIs" dxfId="1" priority="2" operator="greaterThan">
      <formula>66514257.5</formula>
    </cfRule>
  </conditionalFormatting>
  <conditionalFormatting sqref="J22">
    <cfRule type="cellIs" dxfId="0" priority="1" operator="greaterThan">
      <formula>66514257.5</formula>
    </cfRule>
  </conditionalFormatting>
  <pageMargins left="0.7" right="0.7" top="0.75" bottom="0.75" header="0.3" footer="0.3"/>
  <pageSetup orientation="portrait" horizontalDpi="0"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topLeftCell="A48" zoomScaleNormal="100" workbookViewId="0">
      <selection activeCell="F52" sqref="F52"/>
    </sheetView>
  </sheetViews>
  <sheetFormatPr baseColWidth="10" defaultRowHeight="15" x14ac:dyDescent="0.25"/>
  <cols>
    <col min="1" max="1" width="11.5703125" style="98" customWidth="1"/>
    <col min="2" max="2" width="57" style="400" customWidth="1"/>
    <col min="3" max="3" width="8.7109375" style="98" customWidth="1"/>
    <col min="4" max="4" width="14.42578125" bestFit="1" customWidth="1"/>
    <col min="5" max="5" width="15.85546875" bestFit="1" customWidth="1"/>
    <col min="6" max="6" width="14.5703125" bestFit="1" customWidth="1"/>
    <col min="7" max="7" width="62" customWidth="1"/>
  </cols>
  <sheetData>
    <row r="1" spans="1:7" ht="63" x14ac:dyDescent="0.25">
      <c r="A1" s="507" t="s">
        <v>103</v>
      </c>
      <c r="B1" s="501" t="s">
        <v>104</v>
      </c>
      <c r="C1" s="514" t="s">
        <v>105</v>
      </c>
      <c r="D1" s="510" t="s">
        <v>949</v>
      </c>
      <c r="E1" s="510" t="s">
        <v>950</v>
      </c>
      <c r="F1" s="510" t="s">
        <v>951</v>
      </c>
      <c r="G1" s="520" t="s">
        <v>959</v>
      </c>
    </row>
    <row r="2" spans="1:7" x14ac:dyDescent="0.25">
      <c r="A2" s="511"/>
      <c r="B2" s="506"/>
      <c r="C2" s="508"/>
      <c r="D2" s="508"/>
      <c r="E2" s="508"/>
      <c r="F2" s="508"/>
      <c r="G2" s="518"/>
    </row>
    <row r="3" spans="1:7" ht="90" x14ac:dyDescent="0.25">
      <c r="A3" s="511">
        <v>1.1000000000000001</v>
      </c>
      <c r="B3" s="506" t="s">
        <v>144</v>
      </c>
      <c r="C3" s="508" t="s">
        <v>115</v>
      </c>
      <c r="D3" s="515">
        <v>13146</v>
      </c>
      <c r="E3" s="515">
        <v>9116</v>
      </c>
      <c r="F3" s="515">
        <f>APU!F48</f>
        <v>9116</v>
      </c>
      <c r="G3" s="518" t="s">
        <v>960</v>
      </c>
    </row>
    <row r="4" spans="1:7" ht="60" x14ac:dyDescent="0.25">
      <c r="A4" s="511">
        <v>1.2</v>
      </c>
      <c r="B4" s="506" t="s">
        <v>266</v>
      </c>
      <c r="C4" s="508" t="s">
        <v>17</v>
      </c>
      <c r="D4" s="515">
        <v>538311</v>
      </c>
      <c r="E4" s="515">
        <v>300676</v>
      </c>
      <c r="F4" s="515">
        <f>APU!F96</f>
        <v>315915</v>
      </c>
      <c r="G4" s="518" t="s">
        <v>961</v>
      </c>
    </row>
    <row r="5" spans="1:7" s="502" customFormat="1" ht="90" x14ac:dyDescent="0.25">
      <c r="A5" s="511">
        <f>'PRESUPUESTO CALLE 58 SUR'!A8</f>
        <v>1.3</v>
      </c>
      <c r="B5" s="506" t="str">
        <f>'PRESUPUESTO CALLE 58 SUR'!B8</f>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
      <c r="C5" s="508" t="str">
        <f>'PRESUPUESTO CALLE 58 SUR'!C8</f>
        <v>m2</v>
      </c>
      <c r="D5" s="515">
        <v>51641</v>
      </c>
      <c r="E5" s="515">
        <v>44858</v>
      </c>
      <c r="F5" s="515">
        <f>APU!F144</f>
        <v>44858</v>
      </c>
      <c r="G5" s="518" t="s">
        <v>978</v>
      </c>
    </row>
    <row r="6" spans="1:7" s="502" customFormat="1" ht="90" x14ac:dyDescent="0.25">
      <c r="A6" s="511">
        <f>'PRESUPUESTO CALLE 58 SUR'!A9</f>
        <v>1.4</v>
      </c>
      <c r="B6" s="506" t="str">
        <f>'PRESUPUESTO CALLE 58 SUR'!B9</f>
        <v>EXCAVACIÓN MANUAL de material heterogéneo HASTA 3 m., bajo cualquier grado de humedad. Incluye: roca descompuesta, bolas de roca de volumen inferior a 0.35 m³., el cargue, transporte interno de las excavaciones en los sitios donde lo indique la interventoría y su medida será en el sitio. La botada y el entibado, se pagaran por su respectivo Ítem.</v>
      </c>
      <c r="C6" s="508" t="str">
        <f>'PRESUPUESTO CALLE 58 SUR'!C9</f>
        <v>m3</v>
      </c>
      <c r="D6" s="515">
        <v>58813</v>
      </c>
      <c r="E6" s="515">
        <v>57405</v>
      </c>
      <c r="F6" s="515">
        <f>APU!F192</f>
        <v>57405</v>
      </c>
      <c r="G6" s="518" t="s">
        <v>978</v>
      </c>
    </row>
    <row r="7" spans="1:7" ht="90" x14ac:dyDescent="0.25">
      <c r="A7" s="511">
        <v>1.5</v>
      </c>
      <c r="B7" s="506" t="s">
        <v>882</v>
      </c>
      <c r="C7" s="508" t="s">
        <v>117</v>
      </c>
      <c r="D7" s="515">
        <v>330563</v>
      </c>
      <c r="E7" s="515">
        <v>299474</v>
      </c>
      <c r="F7" s="515">
        <f>APU!F240</f>
        <v>299474</v>
      </c>
      <c r="G7" s="518" t="s">
        <v>987</v>
      </c>
    </row>
    <row r="8" spans="1:7" ht="60" x14ac:dyDescent="0.25">
      <c r="A8" s="511">
        <v>1.6</v>
      </c>
      <c r="B8" s="506" t="s">
        <v>267</v>
      </c>
      <c r="C8" s="508" t="s">
        <v>115</v>
      </c>
      <c r="D8" s="515">
        <v>51145</v>
      </c>
      <c r="E8" s="515">
        <v>50611</v>
      </c>
      <c r="F8" s="515">
        <v>50611</v>
      </c>
      <c r="G8" s="518" t="s">
        <v>1003</v>
      </c>
    </row>
    <row r="9" spans="1:7" ht="90" x14ac:dyDescent="0.25">
      <c r="A9" s="511">
        <v>1.7</v>
      </c>
      <c r="B9" s="506" t="s">
        <v>268</v>
      </c>
      <c r="C9" s="508" t="s">
        <v>117</v>
      </c>
      <c r="D9" s="515">
        <v>726271</v>
      </c>
      <c r="E9" s="515">
        <v>684649</v>
      </c>
      <c r="F9" s="515">
        <f>APU!F336</f>
        <v>684649</v>
      </c>
      <c r="G9" s="518" t="s">
        <v>988</v>
      </c>
    </row>
    <row r="10" spans="1:7" ht="120" x14ac:dyDescent="0.25">
      <c r="A10" s="511">
        <v>1.8</v>
      </c>
      <c r="B10" s="506" t="s">
        <v>269</v>
      </c>
      <c r="C10" s="508" t="s">
        <v>17</v>
      </c>
      <c r="D10" s="515">
        <v>338763</v>
      </c>
      <c r="E10" s="515">
        <v>312881</v>
      </c>
      <c r="F10" s="515">
        <f>APU!F384</f>
        <v>307759</v>
      </c>
      <c r="G10" s="518" t="s">
        <v>989</v>
      </c>
    </row>
    <row r="11" spans="1:7" s="502" customFormat="1" ht="60" x14ac:dyDescent="0.25">
      <c r="A11" s="511">
        <f>'PRESUPUESTO CALLE 58 SUR'!A16</f>
        <v>1.1100000000000001</v>
      </c>
      <c r="B11" s="506" t="str">
        <f>'PRESUPUESTO CALLE 58 SUR'!B16</f>
        <v>Suministro, transporte y colocación de TRITURADO de 3/4 " para construcción de CIMENTACIÓN DE TUBERÍA PVC NOVAFORT. Incluye transporte interno y todo lo necesario para su correcta instalación.</v>
      </c>
      <c r="C11" s="508" t="str">
        <f>'PRESUPUESTO CALLE 58 SUR'!C16</f>
        <v>m3</v>
      </c>
      <c r="D11" s="515">
        <v>242792</v>
      </c>
      <c r="E11" s="515">
        <v>238448</v>
      </c>
      <c r="F11" s="515">
        <f>APU!F528</f>
        <v>241448</v>
      </c>
      <c r="G11" s="518" t="s">
        <v>990</v>
      </c>
    </row>
    <row r="12" spans="1:7" ht="60" x14ac:dyDescent="0.25">
      <c r="A12" s="513">
        <v>1.1200000000000001</v>
      </c>
      <c r="B12" s="506" t="s">
        <v>274</v>
      </c>
      <c r="C12" s="515" t="s">
        <v>17</v>
      </c>
      <c r="D12" s="515">
        <v>210023</v>
      </c>
      <c r="E12" s="515">
        <v>168183</v>
      </c>
      <c r="F12" s="515">
        <f>APU!F576</f>
        <v>147396</v>
      </c>
      <c r="G12" s="518" t="s">
        <v>981</v>
      </c>
    </row>
    <row r="13" spans="1:7" ht="120" x14ac:dyDescent="0.25">
      <c r="A13" s="511">
        <v>1.1299999999999999</v>
      </c>
      <c r="B13" s="506" t="s">
        <v>935</v>
      </c>
      <c r="C13" s="517" t="s">
        <v>17</v>
      </c>
      <c r="D13" s="515">
        <v>3331514</v>
      </c>
      <c r="E13" s="515">
        <v>2202159</v>
      </c>
      <c r="F13" s="515">
        <f>APU!F624</f>
        <v>2557821</v>
      </c>
      <c r="G13" s="518" t="s">
        <v>982</v>
      </c>
    </row>
    <row r="14" spans="1:7" ht="90" x14ac:dyDescent="0.25">
      <c r="A14" s="511">
        <v>2.2000000000000002</v>
      </c>
      <c r="B14" s="506" t="s">
        <v>144</v>
      </c>
      <c r="C14" s="508" t="s">
        <v>115</v>
      </c>
      <c r="D14" s="515">
        <v>13146</v>
      </c>
      <c r="E14" s="515">
        <v>9116</v>
      </c>
      <c r="F14" s="515">
        <v>9116</v>
      </c>
      <c r="G14" s="518" t="s">
        <v>960</v>
      </c>
    </row>
    <row r="15" spans="1:7" s="502" customFormat="1" ht="120" x14ac:dyDescent="0.25">
      <c r="A15" s="511">
        <f>'PRESUPUESTO CALLE 58 SUR'!A22</f>
        <v>2.2999999999999998</v>
      </c>
      <c r="B15" s="506" t="str">
        <f>'PRESUPUESTO CALLE 58 SUR'!B22</f>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
      <c r="C15" s="508" t="str">
        <f>'PRESUPUESTO CALLE 58 SUR'!C22</f>
        <v>m</v>
      </c>
      <c r="D15" s="515">
        <v>28996</v>
      </c>
      <c r="E15" s="515">
        <v>28864</v>
      </c>
      <c r="F15" s="515">
        <f>APU!F768</f>
        <v>28864</v>
      </c>
      <c r="G15" s="518" t="s">
        <v>983</v>
      </c>
    </row>
    <row r="16" spans="1:7" s="502" customFormat="1" ht="75" x14ac:dyDescent="0.25">
      <c r="A16" s="511">
        <f>'PRESUPUESTO CALLE 58 SUR'!A25</f>
        <v>3.2</v>
      </c>
      <c r="B16" s="506" t="str">
        <f>'PRESUPUESTO CALLE 58 SUR'!B25</f>
        <v>DEMOLICIÓN PAVIMENTO ASFÁLTICO, CUALQUIER ESPESOR. Incluye compresor neumático con martillo, además recuperación de los materiales aprovechables y/o su transporte hasta el sitio que lo indique la interventoría, y/o cargue transporte y botada, corte de pavimento con máquina.</v>
      </c>
      <c r="C16" s="508" t="str">
        <f>'PRESUPUESTO CALLE 58 SUR'!C25</f>
        <v>m2</v>
      </c>
      <c r="D16" s="515">
        <v>51641</v>
      </c>
      <c r="E16" s="515">
        <v>44858</v>
      </c>
      <c r="F16" s="515">
        <f>APU!F864</f>
        <v>44858</v>
      </c>
      <c r="G16" s="518" t="s">
        <v>984</v>
      </c>
    </row>
    <row r="17" spans="1:7" ht="120" x14ac:dyDescent="0.25">
      <c r="A17" s="511">
        <v>3.3</v>
      </c>
      <c r="B17" s="506" t="s">
        <v>875</v>
      </c>
      <c r="C17" s="508" t="s">
        <v>117</v>
      </c>
      <c r="D17" s="515">
        <v>477605</v>
      </c>
      <c r="E17" s="515">
        <v>331321</v>
      </c>
      <c r="F17" s="515">
        <v>331321</v>
      </c>
      <c r="G17" s="518" t="s">
        <v>960</v>
      </c>
    </row>
    <row r="18" spans="1:7" ht="165" x14ac:dyDescent="0.25">
      <c r="A18" s="511">
        <v>4.5</v>
      </c>
      <c r="B18" s="506" t="s">
        <v>963</v>
      </c>
      <c r="C18" s="517" t="s">
        <v>111</v>
      </c>
      <c r="D18" s="515">
        <v>1196061</v>
      </c>
      <c r="E18" s="515">
        <v>779289</v>
      </c>
      <c r="F18" s="515">
        <f>APU!F1152</f>
        <v>829214</v>
      </c>
      <c r="G18" s="518" t="s">
        <v>991</v>
      </c>
    </row>
    <row r="19" spans="1:7" ht="75" x14ac:dyDescent="0.25">
      <c r="A19" s="511">
        <v>5.0999999999999996</v>
      </c>
      <c r="B19" s="506" t="s">
        <v>924</v>
      </c>
      <c r="C19" s="508" t="s">
        <v>117</v>
      </c>
      <c r="D19" s="515">
        <v>197142</v>
      </c>
      <c r="E19" s="515">
        <v>172954</v>
      </c>
      <c r="F19" s="515">
        <f>APU!F1200</f>
        <v>172954</v>
      </c>
      <c r="G19" s="518" t="s">
        <v>985</v>
      </c>
    </row>
    <row r="20" spans="1:7" ht="90" x14ac:dyDescent="0.25">
      <c r="A20" s="511">
        <v>5.2</v>
      </c>
      <c r="B20" s="506" t="s">
        <v>882</v>
      </c>
      <c r="C20" s="508" t="s">
        <v>117</v>
      </c>
      <c r="D20" s="515">
        <v>330563</v>
      </c>
      <c r="E20" s="515">
        <v>299474</v>
      </c>
      <c r="F20" s="515">
        <f>APU!F1248</f>
        <v>299474</v>
      </c>
      <c r="G20" s="518" t="s">
        <v>985</v>
      </c>
    </row>
    <row r="21" spans="1:7" ht="90" x14ac:dyDescent="0.25">
      <c r="A21" s="511">
        <v>6.1</v>
      </c>
      <c r="B21" s="506" t="s">
        <v>120</v>
      </c>
      <c r="C21" s="517" t="s">
        <v>117</v>
      </c>
      <c r="D21" s="515">
        <v>144865</v>
      </c>
      <c r="E21" s="515">
        <v>58198</v>
      </c>
      <c r="F21" s="515">
        <f>APU!F1296</f>
        <v>58198</v>
      </c>
      <c r="G21" s="518" t="s">
        <v>962</v>
      </c>
    </row>
    <row r="22" spans="1:7" s="502" customFormat="1" ht="90" x14ac:dyDescent="0.25">
      <c r="A22" s="511">
        <f>'PRESUPUESTO CALLE 58 SUR'!A42</f>
        <v>8.1999999999999993</v>
      </c>
      <c r="B22" s="506" t="str">
        <f>'PRESUPUESTO CALLE 58 SUR'!B42</f>
        <v>Colocación de concreto de 21 Mpa para PILOTES Ø= 40cm. HASTA 3.0 m. de profundidad. Incluye suministro y el transporte del concreto, mano de obra, vibrado, protección y curado, para estructuras de acuerdo con las diferentes dimensiones establecidas en los planos y diseños. No incluye refuerzo.</v>
      </c>
      <c r="C22" s="517" t="str">
        <f>'PRESUPUESTO CALLE 58 SUR'!C42</f>
        <v>m</v>
      </c>
      <c r="D22" s="515">
        <v>135110</v>
      </c>
      <c r="E22" s="515">
        <v>117783</v>
      </c>
      <c r="F22" s="515">
        <f>APU!F1440</f>
        <v>131848</v>
      </c>
      <c r="G22" s="518" t="s">
        <v>992</v>
      </c>
    </row>
    <row r="23" spans="1:7" ht="120" x14ac:dyDescent="0.25">
      <c r="A23" s="511">
        <v>8.3000000000000007</v>
      </c>
      <c r="B23" s="506" t="s">
        <v>943</v>
      </c>
      <c r="C23" s="517" t="s">
        <v>117</v>
      </c>
      <c r="D23" s="515">
        <v>1211602</v>
      </c>
      <c r="E23" s="515">
        <v>1030234</v>
      </c>
      <c r="F23" s="515">
        <f>APU!F1488</f>
        <v>1074441</v>
      </c>
      <c r="G23" s="518" t="s">
        <v>993</v>
      </c>
    </row>
    <row r="24" spans="1:7" ht="180" x14ac:dyDescent="0.25">
      <c r="A24" s="511">
        <v>8.4</v>
      </c>
      <c r="B24" s="506" t="s">
        <v>964</v>
      </c>
      <c r="C24" s="517" t="s">
        <v>115</v>
      </c>
      <c r="D24" s="515">
        <v>631674</v>
      </c>
      <c r="E24" s="515">
        <v>543728</v>
      </c>
      <c r="F24" s="515">
        <f>APU!F1532</f>
        <v>582902</v>
      </c>
      <c r="G24" s="518" t="s">
        <v>994</v>
      </c>
    </row>
    <row r="25" spans="1:7" ht="180" x14ac:dyDescent="0.25">
      <c r="A25" s="511">
        <v>8.5</v>
      </c>
      <c r="B25" s="506" t="s">
        <v>965</v>
      </c>
      <c r="C25" s="517" t="s">
        <v>115</v>
      </c>
      <c r="D25" s="515">
        <v>514279</v>
      </c>
      <c r="E25" s="515">
        <v>428434</v>
      </c>
      <c r="F25" s="515">
        <f>APU!F1577</f>
        <v>450819</v>
      </c>
      <c r="G25" s="518" t="s">
        <v>996</v>
      </c>
    </row>
    <row r="26" spans="1:7" ht="180" x14ac:dyDescent="0.25">
      <c r="A26" s="511">
        <v>8.6</v>
      </c>
      <c r="B26" s="506" t="s">
        <v>966</v>
      </c>
      <c r="C26" s="517" t="s">
        <v>115</v>
      </c>
      <c r="D26" s="515">
        <v>571756</v>
      </c>
      <c r="E26" s="515">
        <v>477332</v>
      </c>
      <c r="F26" s="515">
        <f>APU!F1622</f>
        <v>505313</v>
      </c>
      <c r="G26" s="518" t="s">
        <v>995</v>
      </c>
    </row>
    <row r="27" spans="1:7" ht="150" x14ac:dyDescent="0.25">
      <c r="A27" s="511">
        <v>8.6999999999999993</v>
      </c>
      <c r="B27" s="506" t="s">
        <v>967</v>
      </c>
      <c r="C27" s="517" t="s">
        <v>115</v>
      </c>
      <c r="D27" s="515">
        <v>491047</v>
      </c>
      <c r="E27" s="515">
        <v>1362946</v>
      </c>
      <c r="F27" s="521">
        <f>+APU!G1667</f>
        <v>447965.1</v>
      </c>
      <c r="G27" s="518" t="s">
        <v>997</v>
      </c>
    </row>
    <row r="28" spans="1:7" ht="135" x14ac:dyDescent="0.25">
      <c r="A28" s="511">
        <v>8.8000000000000007</v>
      </c>
      <c r="B28" s="506" t="s">
        <v>968</v>
      </c>
      <c r="C28" s="517" t="s">
        <v>115</v>
      </c>
      <c r="D28" s="515">
        <v>639795</v>
      </c>
      <c r="E28" s="515">
        <v>525771</v>
      </c>
      <c r="F28" s="515">
        <f>APU!F1712</f>
        <v>553752</v>
      </c>
      <c r="G28" s="518" t="s">
        <v>998</v>
      </c>
    </row>
    <row r="29" spans="1:7" ht="150" x14ac:dyDescent="0.25">
      <c r="A29" s="511">
        <v>8.9</v>
      </c>
      <c r="B29" s="506" t="s">
        <v>969</v>
      </c>
      <c r="C29" s="517" t="s">
        <v>115</v>
      </c>
      <c r="D29" s="515">
        <v>548948</v>
      </c>
      <c r="E29" s="515">
        <v>453290</v>
      </c>
      <c r="F29" s="515">
        <f>APU!F1757</f>
        <v>481271</v>
      </c>
      <c r="G29" s="518" t="s">
        <v>999</v>
      </c>
    </row>
    <row r="30" spans="1:7" ht="135" x14ac:dyDescent="0.25">
      <c r="A30" s="513">
        <v>8.1</v>
      </c>
      <c r="B30" s="506" t="s">
        <v>970</v>
      </c>
      <c r="C30" s="517" t="s">
        <v>115</v>
      </c>
      <c r="D30" s="515">
        <v>639795</v>
      </c>
      <c r="E30" s="515">
        <v>525771</v>
      </c>
      <c r="F30" s="515">
        <f>APU!F1802</f>
        <v>553752</v>
      </c>
      <c r="G30" s="518" t="s">
        <v>1000</v>
      </c>
    </row>
    <row r="31" spans="1:7" ht="30" x14ac:dyDescent="0.25">
      <c r="A31" s="511">
        <v>8.11</v>
      </c>
      <c r="B31" s="506" t="s">
        <v>911</v>
      </c>
      <c r="C31" s="517" t="s">
        <v>115</v>
      </c>
      <c r="D31" s="515">
        <v>305243</v>
      </c>
      <c r="E31" s="515">
        <v>283089</v>
      </c>
      <c r="F31" s="515">
        <f>APU!F1850</f>
        <v>296961</v>
      </c>
      <c r="G31" s="518" t="s">
        <v>1001</v>
      </c>
    </row>
    <row r="32" spans="1:7" ht="105" x14ac:dyDescent="0.25">
      <c r="A32" s="513">
        <v>8.1199999999999992</v>
      </c>
      <c r="B32" s="506" t="s">
        <v>124</v>
      </c>
      <c r="C32" s="517" t="s">
        <v>115</v>
      </c>
      <c r="D32" s="515">
        <v>121475</v>
      </c>
      <c r="E32" s="515">
        <v>112144</v>
      </c>
      <c r="F32" s="515">
        <f>APU!F1898</f>
        <v>112887</v>
      </c>
      <c r="G32" s="518" t="s">
        <v>1002</v>
      </c>
    </row>
    <row r="33" spans="1:7" ht="60" x14ac:dyDescent="0.25">
      <c r="A33" s="511">
        <v>8.1300000000000008</v>
      </c>
      <c r="B33" s="506" t="s">
        <v>267</v>
      </c>
      <c r="C33" s="508" t="s">
        <v>115</v>
      </c>
      <c r="D33" s="515">
        <v>51145</v>
      </c>
      <c r="E33" s="515">
        <v>50611</v>
      </c>
      <c r="F33" s="515">
        <f>APU!F1946</f>
        <v>50611</v>
      </c>
      <c r="G33" s="518" t="s">
        <v>1004</v>
      </c>
    </row>
    <row r="34" spans="1:7" ht="90" x14ac:dyDescent="0.25">
      <c r="A34" s="513">
        <v>8.14</v>
      </c>
      <c r="B34" s="506" t="s">
        <v>268</v>
      </c>
      <c r="C34" s="508" t="s">
        <v>117</v>
      </c>
      <c r="D34" s="515">
        <v>726271</v>
      </c>
      <c r="E34" s="515">
        <v>684649</v>
      </c>
      <c r="F34" s="515">
        <f>APU!F1994</f>
        <v>765543</v>
      </c>
      <c r="G34" s="518" t="s">
        <v>1006</v>
      </c>
    </row>
    <row r="35" spans="1:7" s="502" customFormat="1" ht="105" x14ac:dyDescent="0.25">
      <c r="A35" s="540">
        <f>'PRESUPUESTO CALLE 58 SUR'!A58</f>
        <v>9.1999999999999993</v>
      </c>
      <c r="B35" s="506" t="str">
        <f>'PRESUPUESTO CALLE 58 SUR'!B58</f>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 INCLUYE SOBREACARREO.</v>
      </c>
      <c r="C35" s="517" t="str">
        <f>'PRESUPUESTO CALLE 58 SUR'!C58</f>
        <v>m3</v>
      </c>
      <c r="D35" s="515">
        <v>224224</v>
      </c>
      <c r="E35" s="515">
        <v>206106</v>
      </c>
      <c r="F35" s="515">
        <f>APU!F2138</f>
        <v>208289</v>
      </c>
      <c r="G35" s="518" t="s">
        <v>1008</v>
      </c>
    </row>
    <row r="36" spans="1:7" s="502" customFormat="1" ht="90" x14ac:dyDescent="0.25">
      <c r="A36" s="540">
        <f>'PRESUPUESTO CALLE 58 SUR'!A61</f>
        <v>9.5</v>
      </c>
      <c r="B36" s="506" t="str">
        <f>'PRESUPUESTO CALLE 58 SUR'!B61</f>
        <v>Construcción de CUNETA EN "V" en concreto de 21 Mpa., DESARROLLO DE 0.50 m., ESPESOR DE 0.10 m. Incluye suministro, transporte y colocación del concreto, entresuelo 15 cm de piedra y 5 cm de arenilla y todos los demás elementos necesarios para su correcta construcción. Según diseño.</v>
      </c>
      <c r="C36" s="517" t="str">
        <f>'PRESUPUESTO CALLE 58 SUR'!C61</f>
        <v>m</v>
      </c>
      <c r="D36" s="515">
        <v>99375</v>
      </c>
      <c r="E36" s="515">
        <v>156273</v>
      </c>
      <c r="F36" s="515">
        <f>APU!F2282</f>
        <v>99572</v>
      </c>
      <c r="G36" s="518" t="s">
        <v>1010</v>
      </c>
    </row>
    <row r="37" spans="1:7" ht="150" x14ac:dyDescent="0.25">
      <c r="A37" s="511">
        <v>9.6</v>
      </c>
      <c r="B37" s="506" t="s">
        <v>917</v>
      </c>
      <c r="C37" s="517" t="s">
        <v>17</v>
      </c>
      <c r="D37" s="515">
        <v>5645097</v>
      </c>
      <c r="E37" s="515">
        <v>4066829</v>
      </c>
      <c r="F37" s="515">
        <f>APU!F2327</f>
        <v>4416749</v>
      </c>
      <c r="G37" s="518" t="s">
        <v>1011</v>
      </c>
    </row>
    <row r="38" spans="1:7" ht="60" x14ac:dyDescent="0.25">
      <c r="A38" s="511">
        <v>9.6999999999999993</v>
      </c>
      <c r="B38" s="506" t="s">
        <v>936</v>
      </c>
      <c r="C38" s="517" t="s">
        <v>17</v>
      </c>
      <c r="D38" s="515">
        <v>164477</v>
      </c>
      <c r="E38" s="515">
        <v>150195</v>
      </c>
      <c r="F38" s="515">
        <f>APU!F2375</f>
        <v>161510</v>
      </c>
      <c r="G38" s="518" t="s">
        <v>1012</v>
      </c>
    </row>
    <row r="39" spans="1:7" ht="105" x14ac:dyDescent="0.25">
      <c r="A39" s="511">
        <v>10.1</v>
      </c>
      <c r="B39" s="506" t="s">
        <v>130</v>
      </c>
      <c r="C39" s="517" t="s">
        <v>117</v>
      </c>
      <c r="D39" s="515">
        <v>208216</v>
      </c>
      <c r="E39" s="515">
        <v>167214</v>
      </c>
      <c r="F39" s="515">
        <f>APU!F2423</f>
        <v>167214</v>
      </c>
      <c r="G39" s="518" t="s">
        <v>971</v>
      </c>
    </row>
    <row r="40" spans="1:7" ht="90" x14ac:dyDescent="0.25">
      <c r="A40" s="511">
        <v>10.3</v>
      </c>
      <c r="B40" s="506" t="s">
        <v>132</v>
      </c>
      <c r="C40" s="517" t="s">
        <v>117</v>
      </c>
      <c r="D40" s="515">
        <v>293309</v>
      </c>
      <c r="E40" s="515">
        <v>266583</v>
      </c>
      <c r="F40" s="515">
        <f>APU!F2519</f>
        <v>269583</v>
      </c>
      <c r="G40" s="518" t="s">
        <v>1014</v>
      </c>
    </row>
    <row r="41" spans="1:7" ht="90" x14ac:dyDescent="0.25">
      <c r="A41" s="511">
        <v>10.4</v>
      </c>
      <c r="B41" s="506" t="s">
        <v>878</v>
      </c>
      <c r="C41" s="517" t="s">
        <v>117</v>
      </c>
      <c r="D41" s="515">
        <v>1452681</v>
      </c>
      <c r="E41" s="515">
        <v>1389533</v>
      </c>
      <c r="F41" s="515">
        <f>APU!F2567</f>
        <v>1389533</v>
      </c>
      <c r="G41" s="518" t="s">
        <v>1015</v>
      </c>
    </row>
    <row r="42" spans="1:7" ht="120" x14ac:dyDescent="0.25">
      <c r="A42" s="511">
        <v>10.5</v>
      </c>
      <c r="B42" s="506" t="s">
        <v>133</v>
      </c>
      <c r="C42" s="508" t="s">
        <v>111</v>
      </c>
      <c r="D42" s="515">
        <v>119460</v>
      </c>
      <c r="E42" s="515">
        <v>116903</v>
      </c>
      <c r="F42" s="515">
        <f>APU!F2615</f>
        <v>122989</v>
      </c>
      <c r="G42" s="518" t="s">
        <v>1016</v>
      </c>
    </row>
    <row r="43" spans="1:7" ht="75" x14ac:dyDescent="0.25">
      <c r="A43" s="511">
        <v>10.6</v>
      </c>
      <c r="B43" s="506" t="s">
        <v>947</v>
      </c>
      <c r="C43" s="517" t="s">
        <v>115</v>
      </c>
      <c r="D43" s="515">
        <v>7067</v>
      </c>
      <c r="E43" s="515">
        <v>3888</v>
      </c>
      <c r="F43" s="515">
        <f>APU!F2663</f>
        <v>8590</v>
      </c>
      <c r="G43" s="518" t="s">
        <v>1022</v>
      </c>
    </row>
    <row r="44" spans="1:7" ht="45" x14ac:dyDescent="0.25">
      <c r="A44" s="511">
        <v>12.1</v>
      </c>
      <c r="B44" s="506" t="s">
        <v>926</v>
      </c>
      <c r="C44" s="517" t="s">
        <v>115</v>
      </c>
      <c r="D44" s="515">
        <v>13007</v>
      </c>
      <c r="E44" s="515">
        <v>9116</v>
      </c>
      <c r="F44" s="515">
        <v>9116</v>
      </c>
      <c r="G44" s="518" t="s">
        <v>960</v>
      </c>
    </row>
    <row r="45" spans="1:7" ht="45" x14ac:dyDescent="0.25">
      <c r="A45" s="511">
        <v>12.2</v>
      </c>
      <c r="B45" s="506" t="s">
        <v>927</v>
      </c>
      <c r="C45" s="517" t="s">
        <v>17</v>
      </c>
      <c r="D45" s="515">
        <v>485069</v>
      </c>
      <c r="E45" s="515">
        <v>214955</v>
      </c>
      <c r="F45" s="515">
        <v>229820</v>
      </c>
      <c r="G45" s="518" t="s">
        <v>1023</v>
      </c>
    </row>
    <row r="46" spans="1:7" ht="45" x14ac:dyDescent="0.25">
      <c r="A46" s="554">
        <v>12.3</v>
      </c>
      <c r="B46" s="555" t="s">
        <v>928</v>
      </c>
      <c r="C46" s="556" t="s">
        <v>117</v>
      </c>
      <c r="D46" s="557">
        <v>29730</v>
      </c>
      <c r="E46" s="557">
        <v>0</v>
      </c>
      <c r="F46" s="557">
        <v>0</v>
      </c>
      <c r="G46" s="558" t="s">
        <v>1025</v>
      </c>
    </row>
    <row r="47" spans="1:7" s="502" customFormat="1" ht="90" x14ac:dyDescent="0.25">
      <c r="A47" s="511">
        <v>12.3</v>
      </c>
      <c r="B47" s="506" t="s">
        <v>1024</v>
      </c>
      <c r="C47" s="517" t="s">
        <v>117</v>
      </c>
      <c r="D47" s="515">
        <f>'PRESUPUESTO CALLE 58 SUR'!E76</f>
        <v>54511</v>
      </c>
      <c r="E47" s="515"/>
      <c r="F47" s="515">
        <f>APU!F2807</f>
        <v>54511</v>
      </c>
      <c r="G47" s="518" t="s">
        <v>1026</v>
      </c>
    </row>
    <row r="48" spans="1:7" ht="45" x14ac:dyDescent="0.25">
      <c r="A48" s="511">
        <v>12.4</v>
      </c>
      <c r="B48" s="506" t="s">
        <v>929</v>
      </c>
      <c r="C48" s="517" t="s">
        <v>111</v>
      </c>
      <c r="D48" s="515">
        <v>41868</v>
      </c>
      <c r="E48" s="515"/>
      <c r="F48" s="515">
        <v>41868</v>
      </c>
      <c r="G48" s="518" t="s">
        <v>972</v>
      </c>
    </row>
    <row r="49" spans="1:7" ht="45" x14ac:dyDescent="0.25">
      <c r="A49" s="511">
        <v>12.5</v>
      </c>
      <c r="B49" s="506" t="s">
        <v>930</v>
      </c>
      <c r="C49" s="517" t="s">
        <v>49</v>
      </c>
      <c r="D49" s="515">
        <v>4284761</v>
      </c>
      <c r="E49" s="515">
        <v>4166326</v>
      </c>
      <c r="F49" s="515">
        <f>APU!F2903</f>
        <v>4221892</v>
      </c>
      <c r="G49" s="518" t="s">
        <v>1029</v>
      </c>
    </row>
    <row r="50" spans="1:7" x14ac:dyDescent="0.25">
      <c r="A50" s="511">
        <v>12.6</v>
      </c>
      <c r="B50" s="506" t="s">
        <v>931</v>
      </c>
      <c r="C50" s="517" t="s">
        <v>599</v>
      </c>
      <c r="D50" s="515">
        <v>18581</v>
      </c>
      <c r="E50" s="515"/>
      <c r="F50" s="515">
        <v>18581</v>
      </c>
      <c r="G50" s="518" t="s">
        <v>1027</v>
      </c>
    </row>
    <row r="51" spans="1:7" x14ac:dyDescent="0.25">
      <c r="A51" s="511">
        <v>12.7</v>
      </c>
      <c r="B51" s="506" t="s">
        <v>932</v>
      </c>
      <c r="C51" s="517" t="s">
        <v>599</v>
      </c>
      <c r="D51" s="515">
        <v>35980</v>
      </c>
      <c r="E51" s="515"/>
      <c r="F51" s="515">
        <v>35980</v>
      </c>
      <c r="G51" s="518" t="s">
        <v>1028</v>
      </c>
    </row>
    <row r="52" spans="1:7" s="502" customFormat="1" ht="150" x14ac:dyDescent="0.25">
      <c r="A52" s="541">
        <f>'PRESUPUESTO CALLE 58 SUR'!A82</f>
        <v>12.9</v>
      </c>
      <c r="B52" s="542" t="str">
        <f>'PRESUPUESTO CALLE 58 SUR'!B82</f>
        <v>Construcción de CAJA EMPALME FILTROS de 1.20X0.80 x altura hasta 0.80 m., (medidas externas), muros de espesor de 10 cm., Losa de Fondo de espesor 20 cm., en concreto de 21Mpa. con impermeabilizante integral tipo Sika o equivalente, con concrefibra el piso. Incluye suministro, transporte e instalación de los materiales, formaleta, vibrado y todos los elementos necesarios apara su correcta construcción y funcionamiento. Según diseño y especificaciones. La excavación, llenos, entresuelo y acero de refuerzo se pagarán en su ítem respectivo.</v>
      </c>
      <c r="C52" s="543" t="str">
        <f>'PRESUPUESTO CALLE 58 SUR'!C82</f>
        <v>un</v>
      </c>
      <c r="D52" s="544">
        <v>1595499</v>
      </c>
      <c r="E52" s="515">
        <v>996598</v>
      </c>
      <c r="F52" s="544">
        <f>APU!F2996</f>
        <v>1106322</v>
      </c>
      <c r="G52" s="545" t="s">
        <v>1030</v>
      </c>
    </row>
    <row r="53" spans="1:7" ht="45.75" thickBot="1" x14ac:dyDescent="0.3">
      <c r="A53" s="505">
        <v>12.1</v>
      </c>
      <c r="B53" s="516" t="s">
        <v>934</v>
      </c>
      <c r="C53" s="512" t="s">
        <v>117</v>
      </c>
      <c r="D53" s="509">
        <v>0</v>
      </c>
      <c r="E53" s="509"/>
      <c r="F53" s="509">
        <v>0</v>
      </c>
      <c r="G53" s="519" t="s">
        <v>1025</v>
      </c>
    </row>
    <row r="54" spans="1:7" x14ac:dyDescent="0.25">
      <c r="A54" s="503"/>
      <c r="B54" s="502"/>
      <c r="C54" s="503"/>
      <c r="D54" s="504"/>
      <c r="E54" s="503"/>
      <c r="F54" s="504"/>
      <c r="G54" s="502"/>
    </row>
    <row r="55" spans="1:7" x14ac:dyDescent="0.25">
      <c r="A55" s="503"/>
      <c r="B55" s="502"/>
      <c r="C55" s="503"/>
      <c r="D55" s="504"/>
      <c r="E55" s="503"/>
      <c r="F55" s="504"/>
      <c r="G55" s="502"/>
    </row>
    <row r="56" spans="1:7" x14ac:dyDescent="0.25">
      <c r="A56" s="503"/>
      <c r="B56" s="502"/>
      <c r="C56" s="503"/>
      <c r="D56" s="504"/>
      <c r="E56" s="503"/>
      <c r="F56" s="504"/>
      <c r="G56" s="502"/>
    </row>
    <row r="57" spans="1:7" x14ac:dyDescent="0.25">
      <c r="A57" s="503"/>
      <c r="B57" s="502"/>
      <c r="C57" s="503"/>
      <c r="D57" s="504"/>
      <c r="E57" s="503"/>
      <c r="F57" s="504"/>
      <c r="G57" s="502"/>
    </row>
    <row r="58" spans="1:7" x14ac:dyDescent="0.25">
      <c r="A58" s="503"/>
      <c r="B58" s="502"/>
      <c r="C58" s="503"/>
      <c r="D58" s="504"/>
      <c r="E58" s="503"/>
      <c r="F58" s="504"/>
      <c r="G58" s="502"/>
    </row>
    <row r="59" spans="1:7" x14ac:dyDescent="0.25">
      <c r="A59" s="503"/>
      <c r="B59" s="502"/>
      <c r="C59" s="503"/>
      <c r="D59" s="504"/>
      <c r="E59" s="503"/>
      <c r="F59" s="504"/>
    </row>
    <row r="60" spans="1:7" x14ac:dyDescent="0.25">
      <c r="A60" s="503"/>
      <c r="B60" s="502"/>
      <c r="C60" s="503"/>
      <c r="D60" s="504"/>
      <c r="E60" s="503"/>
      <c r="F60" s="504"/>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AU 4 meses</vt:lpstr>
      <vt:lpstr>PRESUPUESTO CALLE 58 SUR</vt:lpstr>
      <vt:lpstr>APU</vt:lpstr>
      <vt:lpstr>PMT</vt:lpstr>
      <vt:lpstr>CUADRILLAS</vt:lpstr>
      <vt:lpstr>INSUMOS</vt:lpstr>
      <vt:lpstr>SUBANALISIS</vt:lpstr>
      <vt:lpstr>CUADRO OFICIO</vt:lpstr>
      <vt:lpstr>'AU 4 meses'!Área_de_impresión</vt:lpstr>
      <vt:lpstr>'PRESUPUESTO CALLE 58 SUR'!Área_de_impresión</vt:lpstr>
      <vt:lpstr>'PRESUPUESTO CALLE 58 SUR'!Títulos_a_imprimir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Proyectos</dc:creator>
  <cp:lastModifiedBy>Isabel Cristina Diaz Correa</cp:lastModifiedBy>
  <cp:lastPrinted>2023-01-31T16:06:54Z</cp:lastPrinted>
  <dcterms:created xsi:type="dcterms:W3CDTF">2022-08-02T19:53:50Z</dcterms:created>
  <dcterms:modified xsi:type="dcterms:W3CDTF">2023-02-20T13:58:29Z</dcterms:modified>
</cp:coreProperties>
</file>