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defaultThemeVersion="124226"/>
  <mc:AlternateContent xmlns:mc="http://schemas.openxmlformats.org/markup-compatibility/2006">
    <mc:Choice Requires="x15">
      <x15ac:absPath xmlns:x15ac="http://schemas.microsoft.com/office/spreadsheetml/2010/11/ac" url="D:\"/>
    </mc:Choice>
  </mc:AlternateContent>
  <xr:revisionPtr revIDLastSave="0" documentId="8_{7EBF16CA-0CBA-4DD6-8FAE-5B762876DE9B}" xr6:coauthVersionLast="43" xr6:coauthVersionMax="43" xr10:uidLastSave="{00000000-0000-0000-0000-000000000000}"/>
  <bookViews>
    <workbookView xWindow="-120" yWindow="-120" windowWidth="20730" windowHeight="11160" tabRatio="547" activeTab="2" xr2:uid="{00000000-000D-0000-FFFF-FFFF00000000}"/>
  </bookViews>
  <sheets>
    <sheet name="VERIFICACIÓN ARITMÉTICA" sheetId="7" r:id="rId1"/>
    <sheet name="PROPUESTA ECONOMICA" sheetId="4" r:id="rId2"/>
    <sheet name="PUNTAJE" sheetId="5" r:id="rId3"/>
    <sheet name="PONDERABLES" sheetId="1" r:id="rId4"/>
  </sheets>
  <externalReferences>
    <externalReference r:id="rId5"/>
    <externalReference r:id="rId6"/>
  </externalReferences>
  <definedNames>
    <definedName name="_A1" hidden="1">{#N/A,#N/A,TRUE,"1842CWN0"}</definedName>
    <definedName name="_AAS1" hidden="1">{#N/A,#N/A,TRUE,"INGENIERIA";#N/A,#N/A,TRUE,"COMPRAS";#N/A,#N/A,TRUE,"DIRECCION";#N/A,#N/A,TRUE,"RESUMEN"}</definedName>
    <definedName name="_ABC1" hidden="1">{#N/A,#N/A,TRUE,"1842CWN0"}</definedName>
    <definedName name="_abc2" hidden="1">{#N/A,#N/A,TRUE,"1842CWN0"}</definedName>
    <definedName name="_Fill" hidden="1">#REF!</definedName>
    <definedName name="_Key1" hidden="1">#REF!</definedName>
    <definedName name="_Key2" hidden="1">#REF!</definedName>
    <definedName name="_Order1" hidden="1">255</definedName>
    <definedName name="_Order2" hidden="1">255</definedName>
    <definedName name="_Parse_Out" hidden="1">'[1]7422CW00'!#REF!</definedName>
    <definedName name="_Regression_Int" hidden="1">1</definedName>
    <definedName name="_Sort" hidden="1">#REF!</definedName>
    <definedName name="AA" hidden="1">{#N/A,#N/A,TRUE,"INGENIERIA";#N/A,#N/A,TRUE,"COMPRAS";#N/A,#N/A,TRUE,"DIRECCION";#N/A,#N/A,TRUE,"RESUMEN"}</definedName>
    <definedName name="AAS" hidden="1">{#N/A,#N/A,TRUE,"INGENIERIA";#N/A,#N/A,TRUE,"COMPRAS";#N/A,#N/A,TRUE,"DIRECCION";#N/A,#N/A,TRUE,"RESUMEN"}</definedName>
    <definedName name="ABCD" hidden="1">#REF!</definedName>
    <definedName name="ABCDE" hidden="1">#REF!</definedName>
    <definedName name="AccessDatabase" hidden="1">"C:\C-314\VOLUMENES\volfin4.mdb"</definedName>
    <definedName name="_xlnm.Print_Area" localSheetId="3">PONDERABLES!$A$1:$O$26</definedName>
    <definedName name="_xlnm.Print_Area" localSheetId="0">'VERIFICACIÓN ARITMÉTICA'!$B$2:$BP$171</definedName>
    <definedName name="civ" hidden="1">{#N/A,#N/A,TRUE,"1842CWN0"}</definedName>
    <definedName name="dd" hidden="1">{#N/A,#N/A,TRUE,"INGENIERIA";#N/A,#N/A,TRUE,"COMPRAS";#N/A,#N/A,TRUE,"DIRECCION";#N/A,#N/A,TRUE,"RESUMEN"}</definedName>
    <definedName name="DDE" hidden="1">{#N/A,#N/A,TRUE,"1842CWN0"}</definedName>
    <definedName name="DFDE" hidden="1">{#N/A,#N/A,TRUE,"1842CWN0"}</definedName>
    <definedName name="DFEET" hidden="1">{#N/A,#N/A,TRUE,"INGENIERIA";#N/A,#N/A,TRUE,"COMPRAS";#N/A,#N/A,TRUE,"DIRECCION";#N/A,#N/A,TRUE,"RESUMEN"}</definedName>
    <definedName name="DGFEE" hidden="1">{#N/A,#N/A,TRUE,"1842CWN0"}</definedName>
    <definedName name="DGFGGHF" hidden="1">{#N/A,#N/A,TRUE,"INGENIERIA";#N/A,#N/A,TRUE,"COMPRAS";#N/A,#N/A,TRUE,"DIRECCION";#N/A,#N/A,TRUE,"RESUMEN"}</definedName>
    <definedName name="DGFR" hidden="1">{#N/A,#N/A,TRUE,"1842CWN0"}</definedName>
    <definedName name="DGGGHHJT" hidden="1">{#N/A,#N/A,TRUE,"INGENIERIA";#N/A,#N/A,TRUE,"COMPRAS";#N/A,#N/A,TRUE,"DIRECCION";#N/A,#N/A,TRUE,"RESUMEN"}</definedName>
    <definedName name="DGRR" hidden="1">{#N/A,#N/A,TRUE,"INGENIERIA";#N/A,#N/A,TRUE,"COMPRAS";#N/A,#N/A,TRUE,"DIRECCION";#N/A,#N/A,TRUE,"RESUMEN"}</definedName>
    <definedName name="DWPRICE" hidden="1">#REF!</definedName>
    <definedName name="ESTRUCTURA" hidden="1">{#N/A,#N/A,TRUE,"INGENIERIA";#N/A,#N/A,TRUE,"COMPRAS";#N/A,#N/A,TRUE,"DIRECCION";#N/A,#N/A,TRUE,"RESUMEN"}</definedName>
    <definedName name="fhg" hidden="1">{#N/A,#N/A,TRUE,"1842CWN0"}</definedName>
    <definedName name="H427.">'VERIFICACIÓN ARITMÉTICA'!$F$17</definedName>
    <definedName name="KDL" hidden="1">{#N/A,#N/A,TRUE,"1842CWN0"}</definedName>
    <definedName name="met" hidden="1">{#N/A,#N/A,TRUE,"1842CWN0"}</definedName>
    <definedName name="metal" hidden="1">{#N/A,#N/A,TRUE,"1842CWN0"}</definedName>
    <definedName name="PROVISIONALES" hidden="1">#REF!</definedName>
    <definedName name="_xlnm.Print_Titles" localSheetId="0">'VERIFICACIÓN ARITMÉTICA'!$2:$13</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XSW" hidden="1">{#N/A,#N/A,TRUE,"1842CWN0"}</definedName>
    <definedName name="XXXX" hidden="1">#REF!</definedName>
    <definedName name="XZS" hidden="1">#REF!</definedName>
    <definedName name="ZAQ" hidden="1">{#N/A,#N/A,TRUE,"INGENIERIA";#N/A,#N/A,TRUE,"COMPRAS";#N/A,#N/A,TRUE,"DIRECCION";#N/A,#N/A,TRUE,"RESUMEN"}</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T112" i="7" l="1"/>
  <c r="J28" i="4"/>
  <c r="L28" i="4"/>
  <c r="L29" i="4"/>
  <c r="L30" i="4"/>
  <c r="L31" i="4"/>
  <c r="L32" i="4"/>
  <c r="AG11" i="7" l="1"/>
  <c r="AV144" i="7" l="1"/>
  <c r="AW38" i="7"/>
  <c r="Y36" i="7" l="1"/>
  <c r="BO139" i="7" l="1"/>
  <c r="BO138" i="7"/>
  <c r="BO137" i="7"/>
  <c r="BO136" i="7"/>
  <c r="BO135" i="7"/>
  <c r="BO134" i="7"/>
  <c r="BO132" i="7"/>
  <c r="BO128" i="7"/>
  <c r="BO127" i="7"/>
  <c r="BO126" i="7"/>
  <c r="BO125" i="7"/>
  <c r="BO124" i="7"/>
  <c r="BO122" i="7"/>
  <c r="BO119" i="7"/>
  <c r="BO117" i="7"/>
  <c r="BO116" i="7"/>
  <c r="BO113" i="7"/>
  <c r="BO112" i="7"/>
  <c r="BO111" i="7"/>
  <c r="BO110" i="7"/>
  <c r="BO107" i="7"/>
  <c r="BO104" i="7"/>
  <c r="BO103" i="7"/>
  <c r="BO101" i="7"/>
  <c r="BO100" i="7"/>
  <c r="BO99" i="7"/>
  <c r="BO98" i="7"/>
  <c r="BO97" i="7"/>
  <c r="BO96" i="7"/>
  <c r="BO94" i="7"/>
  <c r="BO92" i="7"/>
  <c r="BO91" i="7"/>
  <c r="BO90" i="7"/>
  <c r="BO89" i="7"/>
  <c r="BO88" i="7"/>
  <c r="BO85" i="7"/>
  <c r="BO84" i="7"/>
  <c r="BO83" i="7"/>
  <c r="BO81" i="7"/>
  <c r="BO79" i="7"/>
  <c r="BO78" i="7"/>
  <c r="BO76" i="7"/>
  <c r="BO73" i="7"/>
  <c r="BO72" i="7"/>
  <c r="BO71" i="7"/>
  <c r="BO70" i="7"/>
  <c r="BO69" i="7"/>
  <c r="BO68" i="7"/>
  <c r="BO64" i="7"/>
  <c r="BO63" i="7"/>
  <c r="BO62" i="7"/>
  <c r="BO61" i="7"/>
  <c r="BO60" i="7"/>
  <c r="BO59" i="7"/>
  <c r="BO57" i="7"/>
  <c r="BO56" i="7"/>
  <c r="BO55" i="7"/>
  <c r="BO54" i="7"/>
  <c r="BO53" i="7"/>
  <c r="BO52" i="7"/>
  <c r="BO51" i="7"/>
  <c r="BO50" i="7"/>
  <c r="BO49" i="7"/>
  <c r="BO48" i="7"/>
  <c r="BO47" i="7"/>
  <c r="BO46" i="7"/>
  <c r="BO45" i="7"/>
  <c r="BO44" i="7"/>
  <c r="BO43" i="7"/>
  <c r="BO42" i="7"/>
  <c r="BO39" i="7"/>
  <c r="BO38" i="7"/>
  <c r="BO37" i="7"/>
  <c r="BO36" i="7"/>
  <c r="BO35" i="7"/>
  <c r="BO34" i="7"/>
  <c r="BO32" i="7"/>
  <c r="BO31" i="7"/>
  <c r="BO30" i="7"/>
  <c r="BO29" i="7"/>
  <c r="BO28" i="7"/>
  <c r="BO27" i="7"/>
  <c r="BO26" i="7"/>
  <c r="BO25" i="7"/>
  <c r="BO24" i="7"/>
  <c r="BO23" i="7"/>
  <c r="BO22" i="7"/>
  <c r="BO21" i="7"/>
  <c r="BO20" i="7"/>
  <c r="BO19" i="7"/>
  <c r="BO18" i="7"/>
  <c r="BO17" i="7"/>
  <c r="BO16" i="7"/>
  <c r="BL139" i="7"/>
  <c r="BL138" i="7"/>
  <c r="BL137" i="7"/>
  <c r="BL136" i="7"/>
  <c r="BL135" i="7"/>
  <c r="BL134" i="7"/>
  <c r="BL132" i="7"/>
  <c r="BL128" i="7"/>
  <c r="BL127" i="7"/>
  <c r="BL126" i="7"/>
  <c r="BL125" i="7"/>
  <c r="BL124" i="7"/>
  <c r="BL122" i="7"/>
  <c r="BL119" i="7"/>
  <c r="BL117" i="7"/>
  <c r="BL116" i="7"/>
  <c r="BL113" i="7"/>
  <c r="BL112" i="7"/>
  <c r="BL111" i="7"/>
  <c r="BL110" i="7"/>
  <c r="BL107" i="7"/>
  <c r="BL104" i="7"/>
  <c r="BL103" i="7"/>
  <c r="BL101" i="7"/>
  <c r="BL100" i="7"/>
  <c r="BL99" i="7"/>
  <c r="BL98" i="7"/>
  <c r="BL97" i="7"/>
  <c r="BL96" i="7"/>
  <c r="BL94" i="7"/>
  <c r="BL92" i="7"/>
  <c r="BL91" i="7"/>
  <c r="BL90" i="7"/>
  <c r="BL89" i="7"/>
  <c r="BL88" i="7"/>
  <c r="BL85" i="7"/>
  <c r="BL84" i="7"/>
  <c r="BL83" i="7"/>
  <c r="BL81" i="7"/>
  <c r="BL79" i="7"/>
  <c r="BL78" i="7"/>
  <c r="BL76" i="7"/>
  <c r="BL73" i="7"/>
  <c r="BL72" i="7"/>
  <c r="BL71" i="7"/>
  <c r="BL70" i="7"/>
  <c r="BL69" i="7"/>
  <c r="BL68" i="7"/>
  <c r="BL64" i="7"/>
  <c r="BL63" i="7"/>
  <c r="BL62" i="7"/>
  <c r="BL61" i="7"/>
  <c r="BL60" i="7"/>
  <c r="BL59" i="7"/>
  <c r="BL57" i="7"/>
  <c r="BL56" i="7"/>
  <c r="BL55" i="7"/>
  <c r="BL54" i="7"/>
  <c r="BL53" i="7"/>
  <c r="BL52" i="7"/>
  <c r="BL51" i="7"/>
  <c r="BL50" i="7"/>
  <c r="BL49" i="7"/>
  <c r="BL48" i="7"/>
  <c r="BL47" i="7"/>
  <c r="BL46" i="7"/>
  <c r="BL45" i="7"/>
  <c r="BL44" i="7"/>
  <c r="BL43" i="7"/>
  <c r="BL42" i="7"/>
  <c r="BL39" i="7"/>
  <c r="BL38" i="7"/>
  <c r="BL37" i="7"/>
  <c r="BL36" i="7"/>
  <c r="BL35" i="7"/>
  <c r="BL34" i="7"/>
  <c r="BL32" i="7"/>
  <c r="BL31" i="7"/>
  <c r="BL30" i="7"/>
  <c r="BL29" i="7"/>
  <c r="BL28" i="7"/>
  <c r="BL27" i="7"/>
  <c r="BL26" i="7"/>
  <c r="BL25" i="7"/>
  <c r="BL24" i="7"/>
  <c r="BL23" i="7"/>
  <c r="BL22" i="7"/>
  <c r="BL21" i="7"/>
  <c r="BL20" i="7"/>
  <c r="BL19" i="7"/>
  <c r="BL18" i="7"/>
  <c r="BL17" i="7"/>
  <c r="BL16" i="7"/>
  <c r="BI139" i="7"/>
  <c r="BI138" i="7"/>
  <c r="BI137" i="7"/>
  <c r="BI136" i="7"/>
  <c r="BI135" i="7"/>
  <c r="BI134" i="7"/>
  <c r="BI132" i="7"/>
  <c r="BI128" i="7"/>
  <c r="BI127" i="7"/>
  <c r="BI126" i="7"/>
  <c r="BI125" i="7"/>
  <c r="BI124" i="7"/>
  <c r="BI122" i="7"/>
  <c r="BI119" i="7"/>
  <c r="BI117" i="7"/>
  <c r="BI116" i="7"/>
  <c r="BI113" i="7"/>
  <c r="BI112" i="7"/>
  <c r="BI111" i="7"/>
  <c r="BI110" i="7"/>
  <c r="BI107" i="7"/>
  <c r="BI104" i="7"/>
  <c r="BI103" i="7"/>
  <c r="BI101" i="7"/>
  <c r="BI100" i="7"/>
  <c r="BI99" i="7"/>
  <c r="BI98" i="7"/>
  <c r="BI97" i="7"/>
  <c r="BI96" i="7"/>
  <c r="BI94" i="7"/>
  <c r="BI92" i="7"/>
  <c r="BI91" i="7"/>
  <c r="BI90" i="7"/>
  <c r="BI89" i="7"/>
  <c r="BI88" i="7"/>
  <c r="BI85" i="7"/>
  <c r="BI84" i="7"/>
  <c r="BI83" i="7"/>
  <c r="BI81" i="7"/>
  <c r="BI79" i="7"/>
  <c r="BI78" i="7"/>
  <c r="BI76" i="7"/>
  <c r="BI73" i="7"/>
  <c r="BI72" i="7"/>
  <c r="BI71" i="7"/>
  <c r="BI70" i="7"/>
  <c r="BI69" i="7"/>
  <c r="BI68" i="7"/>
  <c r="BI64" i="7"/>
  <c r="BI63" i="7"/>
  <c r="BI62" i="7"/>
  <c r="BI61" i="7"/>
  <c r="BI60" i="7"/>
  <c r="BI59" i="7"/>
  <c r="BI57" i="7"/>
  <c r="BI56" i="7"/>
  <c r="BI55" i="7"/>
  <c r="BI54" i="7"/>
  <c r="BI53" i="7"/>
  <c r="BI52" i="7"/>
  <c r="BI51" i="7"/>
  <c r="BI50" i="7"/>
  <c r="BI49" i="7"/>
  <c r="BI48" i="7"/>
  <c r="BI47" i="7"/>
  <c r="BI46" i="7"/>
  <c r="BI45" i="7"/>
  <c r="BI44" i="7"/>
  <c r="BI43" i="7"/>
  <c r="BI42" i="7"/>
  <c r="BI39" i="7"/>
  <c r="BI38" i="7"/>
  <c r="BI37" i="7"/>
  <c r="BI36" i="7"/>
  <c r="BI35" i="7"/>
  <c r="BI34" i="7"/>
  <c r="BI32" i="7"/>
  <c r="BI31" i="7"/>
  <c r="BI30" i="7"/>
  <c r="BI29" i="7"/>
  <c r="BI28" i="7"/>
  <c r="BI27" i="7"/>
  <c r="BI26" i="7"/>
  <c r="BI25" i="7"/>
  <c r="BI24" i="7"/>
  <c r="BI23" i="7"/>
  <c r="BI22" i="7"/>
  <c r="BI21" i="7"/>
  <c r="BI20" i="7"/>
  <c r="BI19" i="7"/>
  <c r="BI18" i="7"/>
  <c r="BI17" i="7"/>
  <c r="BI16" i="7"/>
  <c r="BF139" i="7"/>
  <c r="BF138" i="7"/>
  <c r="BF137" i="7"/>
  <c r="BF136" i="7"/>
  <c r="BF135" i="7"/>
  <c r="BF134" i="7"/>
  <c r="BF132" i="7"/>
  <c r="BF128" i="7"/>
  <c r="BF127" i="7"/>
  <c r="BF126" i="7"/>
  <c r="BF125" i="7"/>
  <c r="BF124" i="7"/>
  <c r="BF122" i="7"/>
  <c r="BF119" i="7"/>
  <c r="BF117" i="7"/>
  <c r="BF116" i="7"/>
  <c r="BF113" i="7"/>
  <c r="BF112" i="7"/>
  <c r="BF111" i="7"/>
  <c r="BF110" i="7"/>
  <c r="BF107" i="7"/>
  <c r="BF104" i="7"/>
  <c r="BF103" i="7"/>
  <c r="BF101" i="7"/>
  <c r="BF100" i="7"/>
  <c r="BF99" i="7"/>
  <c r="BF98" i="7"/>
  <c r="BF97" i="7"/>
  <c r="BF96" i="7"/>
  <c r="BF94" i="7"/>
  <c r="BF92" i="7"/>
  <c r="BF91" i="7"/>
  <c r="BF90" i="7"/>
  <c r="BF89" i="7"/>
  <c r="BF88" i="7"/>
  <c r="BF85" i="7"/>
  <c r="BF84" i="7"/>
  <c r="BF83" i="7"/>
  <c r="BF81" i="7"/>
  <c r="BF79" i="7"/>
  <c r="BF78" i="7"/>
  <c r="BF76" i="7"/>
  <c r="BF73" i="7"/>
  <c r="BF72" i="7"/>
  <c r="BF71" i="7"/>
  <c r="BF70" i="7"/>
  <c r="BF69" i="7"/>
  <c r="BF68" i="7"/>
  <c r="BF64" i="7"/>
  <c r="BF63" i="7"/>
  <c r="BF62" i="7"/>
  <c r="BF61" i="7"/>
  <c r="BF60" i="7"/>
  <c r="BF59" i="7"/>
  <c r="BF57" i="7"/>
  <c r="BF56" i="7"/>
  <c r="BF55" i="7"/>
  <c r="BF54" i="7"/>
  <c r="BF53" i="7"/>
  <c r="BF52" i="7"/>
  <c r="BF51" i="7"/>
  <c r="BF50" i="7"/>
  <c r="BF49" i="7"/>
  <c r="BF48" i="7"/>
  <c r="BF47" i="7"/>
  <c r="BF46" i="7"/>
  <c r="BF45" i="7"/>
  <c r="BF44" i="7"/>
  <c r="BF43" i="7"/>
  <c r="BF42" i="7"/>
  <c r="BF39" i="7"/>
  <c r="BF38" i="7"/>
  <c r="BF37" i="7"/>
  <c r="BF36" i="7"/>
  <c r="BF35" i="7"/>
  <c r="BF34" i="7"/>
  <c r="BF32" i="7"/>
  <c r="BF31" i="7"/>
  <c r="BF30" i="7"/>
  <c r="BF29" i="7"/>
  <c r="BF28" i="7"/>
  <c r="BF27" i="7"/>
  <c r="BF26" i="7"/>
  <c r="BF25" i="7"/>
  <c r="BF24" i="7"/>
  <c r="BF23" i="7"/>
  <c r="BF22" i="7"/>
  <c r="BF21" i="7"/>
  <c r="BF20" i="7"/>
  <c r="BF19" i="7"/>
  <c r="BF18" i="7"/>
  <c r="BF17" i="7"/>
  <c r="BF16" i="7"/>
  <c r="BC139" i="7"/>
  <c r="BC138" i="7"/>
  <c r="BC137" i="7"/>
  <c r="BC136" i="7"/>
  <c r="BC135" i="7"/>
  <c r="BC134" i="7"/>
  <c r="BC132" i="7"/>
  <c r="BC128" i="7"/>
  <c r="BC127" i="7"/>
  <c r="BC126" i="7"/>
  <c r="BC125" i="7"/>
  <c r="BC124" i="7"/>
  <c r="BC122" i="7"/>
  <c r="BC119" i="7"/>
  <c r="BC117" i="7"/>
  <c r="BC116" i="7"/>
  <c r="BC113" i="7"/>
  <c r="BC112" i="7"/>
  <c r="BC111" i="7"/>
  <c r="BC110" i="7"/>
  <c r="BC107" i="7"/>
  <c r="BC104" i="7"/>
  <c r="BC103" i="7"/>
  <c r="BC101" i="7"/>
  <c r="BC100" i="7"/>
  <c r="BC99" i="7"/>
  <c r="BC98" i="7"/>
  <c r="BC97" i="7"/>
  <c r="BC96" i="7"/>
  <c r="BC94" i="7"/>
  <c r="BC92" i="7"/>
  <c r="BC91" i="7"/>
  <c r="BC90" i="7"/>
  <c r="BC89" i="7"/>
  <c r="BC88" i="7"/>
  <c r="BC85" i="7"/>
  <c r="BC84" i="7"/>
  <c r="BC83" i="7"/>
  <c r="BC81" i="7"/>
  <c r="BC79" i="7"/>
  <c r="BC78" i="7"/>
  <c r="BC76" i="7"/>
  <c r="BC73" i="7"/>
  <c r="BC72" i="7"/>
  <c r="BC71" i="7"/>
  <c r="BC70" i="7"/>
  <c r="BC69" i="7"/>
  <c r="BC68" i="7"/>
  <c r="BC64" i="7"/>
  <c r="BC63" i="7"/>
  <c r="BC62" i="7"/>
  <c r="BC61" i="7"/>
  <c r="BC60" i="7"/>
  <c r="BC59" i="7"/>
  <c r="BC57" i="7"/>
  <c r="BC56" i="7"/>
  <c r="BC55" i="7"/>
  <c r="BC54" i="7"/>
  <c r="BC53" i="7"/>
  <c r="BC52" i="7"/>
  <c r="BC51" i="7"/>
  <c r="BC50" i="7"/>
  <c r="BC49" i="7"/>
  <c r="BC48" i="7"/>
  <c r="BC47" i="7"/>
  <c r="BC46" i="7"/>
  <c r="BC45" i="7"/>
  <c r="BC44" i="7"/>
  <c r="BC43" i="7"/>
  <c r="BC42" i="7"/>
  <c r="BC39" i="7"/>
  <c r="BC38" i="7"/>
  <c r="BC37" i="7"/>
  <c r="BC36" i="7"/>
  <c r="BC35" i="7"/>
  <c r="BC34" i="7"/>
  <c r="BC32" i="7"/>
  <c r="BC31" i="7"/>
  <c r="BC30" i="7"/>
  <c r="BC29" i="7"/>
  <c r="BC28" i="7"/>
  <c r="BC27" i="7"/>
  <c r="BC26" i="7"/>
  <c r="BC25" i="7"/>
  <c r="BC24" i="7"/>
  <c r="BC23" i="7"/>
  <c r="BC22" i="7"/>
  <c r="BC21" i="7"/>
  <c r="BC20" i="7"/>
  <c r="BC19" i="7"/>
  <c r="BC18" i="7"/>
  <c r="BC17" i="7"/>
  <c r="BC16" i="7"/>
  <c r="AZ139" i="7"/>
  <c r="AZ138" i="7"/>
  <c r="AZ137" i="7"/>
  <c r="AZ136" i="7"/>
  <c r="AZ135" i="7"/>
  <c r="AZ134" i="7"/>
  <c r="AZ132" i="7"/>
  <c r="AZ128" i="7"/>
  <c r="AZ127" i="7"/>
  <c r="AZ126" i="7"/>
  <c r="AZ125" i="7"/>
  <c r="AZ124" i="7"/>
  <c r="AZ122" i="7"/>
  <c r="AZ119" i="7"/>
  <c r="AZ117" i="7"/>
  <c r="AZ116" i="7"/>
  <c r="AZ113" i="7"/>
  <c r="AZ112" i="7"/>
  <c r="AZ111" i="7"/>
  <c r="AZ110" i="7"/>
  <c r="AZ107" i="7"/>
  <c r="AZ104" i="7"/>
  <c r="AZ103" i="7"/>
  <c r="AZ101" i="7"/>
  <c r="AZ100" i="7"/>
  <c r="AZ99" i="7"/>
  <c r="AZ98" i="7"/>
  <c r="AZ97" i="7"/>
  <c r="AZ96" i="7"/>
  <c r="AZ94" i="7"/>
  <c r="AZ92" i="7"/>
  <c r="AZ91" i="7"/>
  <c r="AZ90" i="7"/>
  <c r="AZ89" i="7"/>
  <c r="AZ88" i="7"/>
  <c r="AZ85" i="7"/>
  <c r="AZ84" i="7"/>
  <c r="AZ83" i="7"/>
  <c r="AZ81" i="7"/>
  <c r="AZ79" i="7"/>
  <c r="AZ78" i="7"/>
  <c r="AZ76" i="7"/>
  <c r="AZ73" i="7"/>
  <c r="AZ72" i="7"/>
  <c r="AZ71" i="7"/>
  <c r="AZ70" i="7"/>
  <c r="AZ69" i="7"/>
  <c r="AZ68" i="7"/>
  <c r="AZ64" i="7"/>
  <c r="AZ63" i="7"/>
  <c r="AZ62" i="7"/>
  <c r="AZ61" i="7"/>
  <c r="AZ60" i="7"/>
  <c r="AZ59" i="7"/>
  <c r="AZ57" i="7"/>
  <c r="AZ56" i="7"/>
  <c r="AZ55" i="7"/>
  <c r="AZ54" i="7"/>
  <c r="AZ53" i="7"/>
  <c r="AZ52" i="7"/>
  <c r="AZ51" i="7"/>
  <c r="AZ50" i="7"/>
  <c r="AZ49" i="7"/>
  <c r="AZ48" i="7"/>
  <c r="AZ47" i="7"/>
  <c r="AZ46" i="7"/>
  <c r="AZ45" i="7"/>
  <c r="AZ44" i="7"/>
  <c r="AZ43" i="7"/>
  <c r="AZ42" i="7"/>
  <c r="AZ39" i="7"/>
  <c r="AZ38" i="7"/>
  <c r="AZ37" i="7"/>
  <c r="AZ36" i="7"/>
  <c r="AZ35" i="7"/>
  <c r="AZ34" i="7"/>
  <c r="AZ32" i="7"/>
  <c r="AZ31" i="7"/>
  <c r="AZ30" i="7"/>
  <c r="AZ29" i="7"/>
  <c r="AZ28" i="7"/>
  <c r="AZ27" i="7"/>
  <c r="AZ26" i="7"/>
  <c r="AZ25" i="7"/>
  <c r="AZ24" i="7"/>
  <c r="AZ23" i="7"/>
  <c r="AZ22" i="7"/>
  <c r="AZ21" i="7"/>
  <c r="AZ20" i="7"/>
  <c r="AZ19" i="7"/>
  <c r="AZ18" i="7"/>
  <c r="AZ17" i="7"/>
  <c r="AZ16" i="7"/>
  <c r="AW139" i="7"/>
  <c r="AW138" i="7"/>
  <c r="AW137" i="7"/>
  <c r="AW136" i="7"/>
  <c r="AW135" i="7"/>
  <c r="AW134" i="7"/>
  <c r="AW132" i="7"/>
  <c r="AW128" i="7"/>
  <c r="AW127" i="7"/>
  <c r="AW126" i="7"/>
  <c r="AW125" i="7"/>
  <c r="AW124" i="7"/>
  <c r="AW122" i="7"/>
  <c r="AW119" i="7"/>
  <c r="AW117" i="7"/>
  <c r="AW116" i="7"/>
  <c r="AW113" i="7"/>
  <c r="AW112" i="7"/>
  <c r="AW111" i="7"/>
  <c r="AW110" i="7"/>
  <c r="AW107" i="7"/>
  <c r="AW104" i="7"/>
  <c r="AW103" i="7"/>
  <c r="AW101" i="7"/>
  <c r="AW100" i="7"/>
  <c r="AW99" i="7"/>
  <c r="AW98" i="7"/>
  <c r="AW97" i="7"/>
  <c r="AW96" i="7"/>
  <c r="AW94" i="7"/>
  <c r="AW92" i="7"/>
  <c r="AW91" i="7"/>
  <c r="AW90" i="7"/>
  <c r="AW89" i="7"/>
  <c r="AW88" i="7"/>
  <c r="AW85" i="7"/>
  <c r="AW84" i="7"/>
  <c r="AW83" i="7"/>
  <c r="AW81" i="7"/>
  <c r="AW79" i="7"/>
  <c r="AW78" i="7"/>
  <c r="AW76" i="7"/>
  <c r="AW73" i="7"/>
  <c r="AW72" i="7"/>
  <c r="AW71" i="7"/>
  <c r="AW70" i="7"/>
  <c r="AW69" i="7"/>
  <c r="AW68" i="7"/>
  <c r="AW64" i="7"/>
  <c r="AW63" i="7"/>
  <c r="AW62" i="7"/>
  <c r="AW61" i="7"/>
  <c r="AW60" i="7"/>
  <c r="AW59" i="7"/>
  <c r="AW57" i="7"/>
  <c r="AW56" i="7"/>
  <c r="AW55" i="7"/>
  <c r="AW54" i="7"/>
  <c r="AW53" i="7"/>
  <c r="AW52" i="7"/>
  <c r="AW51" i="7"/>
  <c r="AW50" i="7"/>
  <c r="AW49" i="7"/>
  <c r="AW48" i="7"/>
  <c r="AW47" i="7"/>
  <c r="AW46" i="7"/>
  <c r="AW45" i="7"/>
  <c r="AW44" i="7"/>
  <c r="AW43" i="7"/>
  <c r="AW42" i="7"/>
  <c r="AW39" i="7"/>
  <c r="AW37" i="7"/>
  <c r="AW36" i="7"/>
  <c r="AW35" i="7"/>
  <c r="AW34" i="7"/>
  <c r="AW32" i="7"/>
  <c r="AW31" i="7"/>
  <c r="AW30" i="7"/>
  <c r="AW29" i="7"/>
  <c r="AW28" i="7"/>
  <c r="AW27" i="7"/>
  <c r="AW26" i="7"/>
  <c r="AW25" i="7"/>
  <c r="AW24" i="7"/>
  <c r="AW23" i="7"/>
  <c r="AW22" i="7"/>
  <c r="AW21" i="7"/>
  <c r="AW20" i="7"/>
  <c r="AW19" i="7"/>
  <c r="AW18" i="7"/>
  <c r="AW17" i="7"/>
  <c r="AW16" i="7"/>
  <c r="AT139" i="7"/>
  <c r="AT138" i="7"/>
  <c r="AT137" i="7"/>
  <c r="AT136" i="7"/>
  <c r="AT135" i="7"/>
  <c r="AT134" i="7"/>
  <c r="AT132" i="7"/>
  <c r="AT128" i="7"/>
  <c r="AT127" i="7"/>
  <c r="AT126" i="7"/>
  <c r="AT125" i="7"/>
  <c r="AT124" i="7"/>
  <c r="AT122" i="7"/>
  <c r="AT119" i="7"/>
  <c r="AT117" i="7"/>
  <c r="AT116" i="7"/>
  <c r="AT113" i="7"/>
  <c r="AT111" i="7"/>
  <c r="AT110" i="7"/>
  <c r="AT107" i="7"/>
  <c r="AT104" i="7"/>
  <c r="AT103" i="7"/>
  <c r="AT101" i="7"/>
  <c r="AT100" i="7"/>
  <c r="AT99" i="7"/>
  <c r="AT98" i="7"/>
  <c r="AT97" i="7"/>
  <c r="AT96" i="7"/>
  <c r="AT94" i="7"/>
  <c r="AT92" i="7"/>
  <c r="AT91" i="7"/>
  <c r="AT90" i="7"/>
  <c r="AT89" i="7"/>
  <c r="AT88" i="7"/>
  <c r="AT85" i="7"/>
  <c r="AT84" i="7"/>
  <c r="AT83" i="7"/>
  <c r="AT81" i="7"/>
  <c r="AT79" i="7"/>
  <c r="AT78" i="7"/>
  <c r="AT76" i="7"/>
  <c r="AT73" i="7"/>
  <c r="AT72" i="7"/>
  <c r="AT71" i="7"/>
  <c r="AT70" i="7"/>
  <c r="AT69" i="7"/>
  <c r="AT68" i="7"/>
  <c r="AT64" i="7"/>
  <c r="AT63" i="7"/>
  <c r="AT62" i="7"/>
  <c r="AT61" i="7"/>
  <c r="AT60" i="7"/>
  <c r="AT59" i="7"/>
  <c r="AT57" i="7"/>
  <c r="AT56" i="7"/>
  <c r="AT55" i="7"/>
  <c r="AT54" i="7"/>
  <c r="AT53" i="7"/>
  <c r="AT52" i="7"/>
  <c r="AT51" i="7"/>
  <c r="AT50" i="7"/>
  <c r="AT49" i="7"/>
  <c r="AT48" i="7"/>
  <c r="AT47" i="7"/>
  <c r="AT46" i="7"/>
  <c r="AT45" i="7"/>
  <c r="AT44" i="7"/>
  <c r="AT43" i="7"/>
  <c r="AT42" i="7"/>
  <c r="AT39" i="7"/>
  <c r="AT38" i="7"/>
  <c r="AT37" i="7"/>
  <c r="AT36" i="7"/>
  <c r="AT35" i="7"/>
  <c r="AT34" i="7"/>
  <c r="AT32" i="7"/>
  <c r="AT31" i="7"/>
  <c r="AT30" i="7"/>
  <c r="AT29" i="7"/>
  <c r="AT28" i="7"/>
  <c r="AT27" i="7"/>
  <c r="AT26" i="7"/>
  <c r="AT25" i="7"/>
  <c r="AT24" i="7"/>
  <c r="AT23" i="7"/>
  <c r="AT22" i="7"/>
  <c r="AT21" i="7"/>
  <c r="AT20" i="7"/>
  <c r="AT19" i="7"/>
  <c r="AT18" i="7"/>
  <c r="AT17" i="7"/>
  <c r="AT16" i="7"/>
  <c r="AQ139" i="7"/>
  <c r="AQ138" i="7"/>
  <c r="AQ137" i="7"/>
  <c r="AQ136" i="7"/>
  <c r="AQ135" i="7"/>
  <c r="AQ134" i="7"/>
  <c r="AQ132" i="7"/>
  <c r="AQ128" i="7"/>
  <c r="AQ127" i="7"/>
  <c r="AQ126" i="7"/>
  <c r="AQ125" i="7"/>
  <c r="AQ124" i="7"/>
  <c r="AQ122" i="7"/>
  <c r="AQ119" i="7"/>
  <c r="AQ117" i="7"/>
  <c r="AQ116" i="7"/>
  <c r="AQ113" i="7"/>
  <c r="AQ112" i="7"/>
  <c r="AQ111" i="7"/>
  <c r="AQ110" i="7"/>
  <c r="AQ107" i="7"/>
  <c r="AQ104" i="7"/>
  <c r="AQ103" i="7"/>
  <c r="AQ101" i="7"/>
  <c r="AQ100" i="7"/>
  <c r="AQ99" i="7"/>
  <c r="AQ98" i="7"/>
  <c r="AQ97" i="7"/>
  <c r="AQ96" i="7"/>
  <c r="AQ94" i="7"/>
  <c r="AQ92" i="7"/>
  <c r="AQ91" i="7"/>
  <c r="AQ90" i="7"/>
  <c r="AQ89" i="7"/>
  <c r="AQ88" i="7"/>
  <c r="AQ85" i="7"/>
  <c r="AQ84" i="7"/>
  <c r="AQ83" i="7"/>
  <c r="AQ81" i="7"/>
  <c r="AQ79" i="7"/>
  <c r="AQ78" i="7"/>
  <c r="AQ76" i="7"/>
  <c r="AQ73" i="7"/>
  <c r="AQ72" i="7"/>
  <c r="AQ71" i="7"/>
  <c r="AQ70" i="7"/>
  <c r="AQ69" i="7"/>
  <c r="AQ68" i="7"/>
  <c r="AQ64" i="7"/>
  <c r="AQ63" i="7"/>
  <c r="AQ62" i="7"/>
  <c r="AQ61" i="7"/>
  <c r="AQ60" i="7"/>
  <c r="AQ59" i="7"/>
  <c r="AQ57" i="7"/>
  <c r="AQ56" i="7"/>
  <c r="AQ55" i="7"/>
  <c r="AQ54" i="7"/>
  <c r="AQ53" i="7"/>
  <c r="AQ52" i="7"/>
  <c r="AQ51" i="7"/>
  <c r="AQ50" i="7"/>
  <c r="AQ49" i="7"/>
  <c r="AQ48" i="7"/>
  <c r="AQ47" i="7"/>
  <c r="AQ46" i="7"/>
  <c r="AQ45" i="7"/>
  <c r="AQ44" i="7"/>
  <c r="AQ43" i="7"/>
  <c r="AQ42" i="7"/>
  <c r="AQ39" i="7"/>
  <c r="AQ38" i="7"/>
  <c r="AQ37" i="7"/>
  <c r="AQ36" i="7"/>
  <c r="AQ35" i="7"/>
  <c r="AQ34" i="7"/>
  <c r="AQ32" i="7"/>
  <c r="AQ31" i="7"/>
  <c r="AQ30" i="7"/>
  <c r="AQ29" i="7"/>
  <c r="AQ28" i="7"/>
  <c r="AQ27" i="7"/>
  <c r="AQ26" i="7"/>
  <c r="AQ25" i="7"/>
  <c r="AQ24" i="7"/>
  <c r="AQ23" i="7"/>
  <c r="AQ22" i="7"/>
  <c r="AQ21" i="7"/>
  <c r="AQ20" i="7"/>
  <c r="AQ19" i="7"/>
  <c r="AQ18" i="7"/>
  <c r="AQ17" i="7"/>
  <c r="AQ16" i="7"/>
  <c r="AN139" i="7"/>
  <c r="AN138" i="7"/>
  <c r="AN137" i="7"/>
  <c r="AN136" i="7"/>
  <c r="AN135" i="7"/>
  <c r="AN134" i="7"/>
  <c r="AN132" i="7"/>
  <c r="AN128" i="7"/>
  <c r="AN127" i="7"/>
  <c r="AN126" i="7"/>
  <c r="AN125" i="7"/>
  <c r="AN124" i="7"/>
  <c r="AN122" i="7"/>
  <c r="AN119" i="7"/>
  <c r="AN117" i="7"/>
  <c r="AN116" i="7"/>
  <c r="AN113" i="7"/>
  <c r="AN112" i="7"/>
  <c r="AN111" i="7"/>
  <c r="AN110" i="7"/>
  <c r="AN107" i="7"/>
  <c r="AN104" i="7"/>
  <c r="AN103" i="7"/>
  <c r="AN101" i="7"/>
  <c r="AN100" i="7"/>
  <c r="AN99" i="7"/>
  <c r="AN98" i="7"/>
  <c r="AN97" i="7"/>
  <c r="AN96" i="7"/>
  <c r="AN94" i="7"/>
  <c r="AN92" i="7"/>
  <c r="AN91" i="7"/>
  <c r="AN90" i="7"/>
  <c r="AN89" i="7"/>
  <c r="AN88" i="7"/>
  <c r="AN85" i="7"/>
  <c r="AN84" i="7"/>
  <c r="AN83" i="7"/>
  <c r="AN81" i="7"/>
  <c r="AN79" i="7"/>
  <c r="AN78" i="7"/>
  <c r="AN76" i="7"/>
  <c r="AN73" i="7"/>
  <c r="AN72" i="7"/>
  <c r="AN71" i="7"/>
  <c r="AN70" i="7"/>
  <c r="AN69" i="7"/>
  <c r="AN68" i="7"/>
  <c r="AN64" i="7"/>
  <c r="AN63" i="7"/>
  <c r="AN62" i="7"/>
  <c r="AN61" i="7"/>
  <c r="AN60" i="7"/>
  <c r="AN59" i="7"/>
  <c r="AN57" i="7"/>
  <c r="AN56" i="7"/>
  <c r="AN55" i="7"/>
  <c r="AN54" i="7"/>
  <c r="AN53" i="7"/>
  <c r="AN52" i="7"/>
  <c r="AN51" i="7"/>
  <c r="AN50" i="7"/>
  <c r="AN49" i="7"/>
  <c r="AN48" i="7"/>
  <c r="AN47" i="7"/>
  <c r="AN46" i="7"/>
  <c r="AN45" i="7"/>
  <c r="AN44" i="7"/>
  <c r="AN43" i="7"/>
  <c r="AN42" i="7"/>
  <c r="AN39" i="7"/>
  <c r="AN38" i="7"/>
  <c r="AN37" i="7"/>
  <c r="AN36" i="7"/>
  <c r="AN35" i="7"/>
  <c r="AN34" i="7"/>
  <c r="AN32" i="7"/>
  <c r="AN31" i="7"/>
  <c r="AN30" i="7"/>
  <c r="AN29" i="7"/>
  <c r="AN28" i="7"/>
  <c r="AN27" i="7"/>
  <c r="AN26" i="7"/>
  <c r="AN25" i="7"/>
  <c r="AN24" i="7"/>
  <c r="AN23" i="7"/>
  <c r="AN22" i="7"/>
  <c r="AN21" i="7"/>
  <c r="AN20" i="7"/>
  <c r="AN19" i="7"/>
  <c r="AN18" i="7"/>
  <c r="AN17" i="7"/>
  <c r="AN16" i="7"/>
  <c r="AK139" i="7"/>
  <c r="AK138" i="7"/>
  <c r="AK137" i="7"/>
  <c r="AK136" i="7"/>
  <c r="AK135" i="7"/>
  <c r="AK134" i="7"/>
  <c r="AK132" i="7"/>
  <c r="AK128" i="7"/>
  <c r="AK127" i="7"/>
  <c r="AK126" i="7"/>
  <c r="AK125" i="7"/>
  <c r="AK124" i="7"/>
  <c r="AK122" i="7"/>
  <c r="AK119" i="7"/>
  <c r="AK117" i="7"/>
  <c r="AK116" i="7"/>
  <c r="AK113" i="7"/>
  <c r="AK112" i="7"/>
  <c r="AK111" i="7"/>
  <c r="AK110" i="7"/>
  <c r="AK107" i="7"/>
  <c r="AK104" i="7"/>
  <c r="AK103" i="7"/>
  <c r="AK101" i="7"/>
  <c r="AK100" i="7"/>
  <c r="AK99" i="7"/>
  <c r="AK98" i="7"/>
  <c r="AK97" i="7"/>
  <c r="AK96" i="7"/>
  <c r="AK94" i="7"/>
  <c r="AK92" i="7"/>
  <c r="AK91" i="7"/>
  <c r="AK90" i="7"/>
  <c r="AK89" i="7"/>
  <c r="AK88" i="7"/>
  <c r="AK85" i="7"/>
  <c r="AK84" i="7"/>
  <c r="AK83" i="7"/>
  <c r="AK81" i="7"/>
  <c r="AK79" i="7"/>
  <c r="AK78" i="7"/>
  <c r="AK76" i="7"/>
  <c r="AK73" i="7"/>
  <c r="AK72" i="7"/>
  <c r="AK71" i="7"/>
  <c r="AK70" i="7"/>
  <c r="AK69" i="7"/>
  <c r="AK68" i="7"/>
  <c r="AK64" i="7"/>
  <c r="AK63" i="7"/>
  <c r="AK62" i="7"/>
  <c r="AK61" i="7"/>
  <c r="AK60" i="7"/>
  <c r="AK59" i="7"/>
  <c r="AK57" i="7"/>
  <c r="AK56" i="7"/>
  <c r="AK55" i="7"/>
  <c r="AK54" i="7"/>
  <c r="AK53" i="7"/>
  <c r="AK52" i="7"/>
  <c r="AK51" i="7"/>
  <c r="AK50" i="7"/>
  <c r="AK49" i="7"/>
  <c r="AK48" i="7"/>
  <c r="AK47" i="7"/>
  <c r="AK46" i="7"/>
  <c r="AK45" i="7"/>
  <c r="AK44" i="7"/>
  <c r="AK43" i="7"/>
  <c r="AK42" i="7"/>
  <c r="AK39" i="7"/>
  <c r="AK38" i="7"/>
  <c r="AK37" i="7"/>
  <c r="AK36" i="7"/>
  <c r="AK35" i="7"/>
  <c r="AK34" i="7"/>
  <c r="AK32" i="7"/>
  <c r="AK31" i="7"/>
  <c r="AK30" i="7"/>
  <c r="AK29" i="7"/>
  <c r="AK28" i="7"/>
  <c r="AK27" i="7"/>
  <c r="AK26" i="7"/>
  <c r="AK25" i="7"/>
  <c r="AK24" i="7"/>
  <c r="AK23" i="7"/>
  <c r="AK22" i="7"/>
  <c r="AK21" i="7"/>
  <c r="AK20" i="7"/>
  <c r="AK19" i="7"/>
  <c r="AK18" i="7"/>
  <c r="AK17" i="7"/>
  <c r="AK16" i="7"/>
  <c r="AH139" i="7"/>
  <c r="AH138" i="7"/>
  <c r="AH137" i="7"/>
  <c r="AH136" i="7"/>
  <c r="AH135" i="7"/>
  <c r="AH134" i="7"/>
  <c r="AH132" i="7"/>
  <c r="AH128" i="7"/>
  <c r="AH127" i="7"/>
  <c r="AH126" i="7"/>
  <c r="AH125" i="7"/>
  <c r="AH124" i="7"/>
  <c r="AH122" i="7"/>
  <c r="AH119" i="7"/>
  <c r="AH117" i="7"/>
  <c r="AH116" i="7"/>
  <c r="AH113" i="7"/>
  <c r="AH112" i="7"/>
  <c r="AH111" i="7"/>
  <c r="AH110" i="7"/>
  <c r="AH107" i="7"/>
  <c r="AH104" i="7"/>
  <c r="AH103" i="7"/>
  <c r="AH101" i="7"/>
  <c r="AH100" i="7"/>
  <c r="AH99" i="7"/>
  <c r="AH98" i="7"/>
  <c r="AH97" i="7"/>
  <c r="AH96" i="7"/>
  <c r="AH94" i="7"/>
  <c r="AH92" i="7"/>
  <c r="AH91" i="7"/>
  <c r="AH90" i="7"/>
  <c r="AH89" i="7"/>
  <c r="AH88" i="7"/>
  <c r="AH85" i="7"/>
  <c r="AH84" i="7"/>
  <c r="AH83" i="7"/>
  <c r="AH81" i="7"/>
  <c r="AH79" i="7"/>
  <c r="AH78" i="7"/>
  <c r="AH76" i="7"/>
  <c r="AH73" i="7"/>
  <c r="AH72" i="7"/>
  <c r="AH71" i="7"/>
  <c r="AH70" i="7"/>
  <c r="AH69" i="7"/>
  <c r="AH68" i="7"/>
  <c r="AH64" i="7"/>
  <c r="AH63" i="7"/>
  <c r="AH62" i="7"/>
  <c r="AH61" i="7"/>
  <c r="AH60" i="7"/>
  <c r="AH59" i="7"/>
  <c r="AH57" i="7"/>
  <c r="AH56" i="7"/>
  <c r="AH55" i="7"/>
  <c r="AH54" i="7"/>
  <c r="AH53" i="7"/>
  <c r="AH52" i="7"/>
  <c r="AH51" i="7"/>
  <c r="AH50" i="7"/>
  <c r="AH49" i="7"/>
  <c r="AH48" i="7"/>
  <c r="AH47" i="7"/>
  <c r="AH46" i="7"/>
  <c r="AH45" i="7"/>
  <c r="AH44" i="7"/>
  <c r="AH43" i="7"/>
  <c r="AH42" i="7"/>
  <c r="AH39" i="7"/>
  <c r="AH38" i="7"/>
  <c r="AH37" i="7"/>
  <c r="AH36" i="7"/>
  <c r="AH35" i="7"/>
  <c r="AH34" i="7"/>
  <c r="AH32" i="7"/>
  <c r="AH31" i="7"/>
  <c r="AH30" i="7"/>
  <c r="AH29" i="7"/>
  <c r="AH28" i="7"/>
  <c r="AH27" i="7"/>
  <c r="AH26" i="7"/>
  <c r="AH25" i="7"/>
  <c r="AH24" i="7"/>
  <c r="AH23" i="7"/>
  <c r="AH22" i="7"/>
  <c r="AH21" i="7"/>
  <c r="AH20" i="7"/>
  <c r="AH19" i="7"/>
  <c r="AH18" i="7"/>
  <c r="AH17" i="7"/>
  <c r="AH16" i="7"/>
  <c r="AE139" i="7"/>
  <c r="AE138" i="7"/>
  <c r="AE137" i="7"/>
  <c r="AE136" i="7"/>
  <c r="AE135" i="7"/>
  <c r="AE134" i="7"/>
  <c r="AE132" i="7"/>
  <c r="AE128" i="7"/>
  <c r="AE127" i="7"/>
  <c r="AE126" i="7"/>
  <c r="AE125" i="7"/>
  <c r="AE124" i="7"/>
  <c r="AE122" i="7"/>
  <c r="AE119" i="7"/>
  <c r="AE117" i="7"/>
  <c r="AE116" i="7"/>
  <c r="AE113" i="7"/>
  <c r="AE112" i="7"/>
  <c r="AE111" i="7"/>
  <c r="AE110" i="7"/>
  <c r="AE107" i="7"/>
  <c r="AE104" i="7"/>
  <c r="AE103" i="7"/>
  <c r="AE101" i="7"/>
  <c r="AE100" i="7"/>
  <c r="AE99" i="7"/>
  <c r="AE98" i="7"/>
  <c r="AE97" i="7"/>
  <c r="AE96" i="7"/>
  <c r="AE94" i="7"/>
  <c r="AE92" i="7"/>
  <c r="AE91" i="7"/>
  <c r="AE90" i="7"/>
  <c r="AE89" i="7"/>
  <c r="AE88" i="7"/>
  <c r="AE85" i="7"/>
  <c r="AE84" i="7"/>
  <c r="AE83" i="7"/>
  <c r="AE81" i="7"/>
  <c r="AE79" i="7"/>
  <c r="AE78" i="7"/>
  <c r="AE76" i="7"/>
  <c r="AE73" i="7"/>
  <c r="AE72" i="7"/>
  <c r="AE71" i="7"/>
  <c r="AE70" i="7"/>
  <c r="AE69" i="7"/>
  <c r="AE68" i="7"/>
  <c r="AE64" i="7"/>
  <c r="AE63" i="7"/>
  <c r="AE62" i="7"/>
  <c r="AE61" i="7"/>
  <c r="AE60" i="7"/>
  <c r="AE59" i="7"/>
  <c r="AE57" i="7"/>
  <c r="AE56" i="7"/>
  <c r="AE55" i="7"/>
  <c r="AE54" i="7"/>
  <c r="AE53" i="7"/>
  <c r="AE52" i="7"/>
  <c r="AE51" i="7"/>
  <c r="AE50" i="7"/>
  <c r="AE49" i="7"/>
  <c r="AE48" i="7"/>
  <c r="AE47" i="7"/>
  <c r="AE46" i="7"/>
  <c r="AE45" i="7"/>
  <c r="AE44" i="7"/>
  <c r="AE43" i="7"/>
  <c r="AE42" i="7"/>
  <c r="AE39" i="7"/>
  <c r="AE38" i="7"/>
  <c r="AE37" i="7"/>
  <c r="AE36" i="7"/>
  <c r="AE35" i="7"/>
  <c r="AE34" i="7"/>
  <c r="AE32" i="7"/>
  <c r="AE31" i="7"/>
  <c r="AE30" i="7"/>
  <c r="AE29" i="7"/>
  <c r="AE28" i="7"/>
  <c r="AE27" i="7"/>
  <c r="AE26" i="7"/>
  <c r="AE25" i="7"/>
  <c r="AE24" i="7"/>
  <c r="AE23" i="7"/>
  <c r="AE22" i="7"/>
  <c r="AE21" i="7"/>
  <c r="AE20" i="7"/>
  <c r="AE19" i="7"/>
  <c r="AE18" i="7"/>
  <c r="AE17" i="7"/>
  <c r="AE16" i="7"/>
  <c r="AB139" i="7"/>
  <c r="AB138" i="7"/>
  <c r="AB137" i="7"/>
  <c r="AB136" i="7"/>
  <c r="AB135" i="7"/>
  <c r="AB134" i="7"/>
  <c r="AB132" i="7"/>
  <c r="AB128" i="7"/>
  <c r="AB127" i="7"/>
  <c r="AB126" i="7"/>
  <c r="AB125" i="7"/>
  <c r="AB124" i="7"/>
  <c r="AB122" i="7"/>
  <c r="AB119" i="7"/>
  <c r="AB117" i="7"/>
  <c r="AB116" i="7"/>
  <c r="AB113" i="7"/>
  <c r="AB112" i="7"/>
  <c r="AB111" i="7"/>
  <c r="AB110" i="7"/>
  <c r="AB107" i="7"/>
  <c r="AB104" i="7"/>
  <c r="AB103" i="7"/>
  <c r="AB101" i="7"/>
  <c r="AB100" i="7"/>
  <c r="AB99" i="7"/>
  <c r="AB98" i="7"/>
  <c r="AB97" i="7"/>
  <c r="AB96" i="7"/>
  <c r="AB94" i="7"/>
  <c r="AB92" i="7"/>
  <c r="AB91" i="7"/>
  <c r="AB90" i="7"/>
  <c r="AB89" i="7"/>
  <c r="AB88" i="7"/>
  <c r="AB85" i="7"/>
  <c r="AB84" i="7"/>
  <c r="AB83" i="7"/>
  <c r="AB81" i="7"/>
  <c r="AB79" i="7"/>
  <c r="AB78" i="7"/>
  <c r="AB76" i="7"/>
  <c r="AB73" i="7"/>
  <c r="AB72" i="7"/>
  <c r="AB71" i="7"/>
  <c r="AB70" i="7"/>
  <c r="AB69" i="7"/>
  <c r="AB68" i="7"/>
  <c r="AB64" i="7"/>
  <c r="AB63" i="7"/>
  <c r="AB62" i="7"/>
  <c r="AB61" i="7"/>
  <c r="AB60" i="7"/>
  <c r="AB59" i="7"/>
  <c r="AB57" i="7"/>
  <c r="AB56" i="7"/>
  <c r="AB55" i="7"/>
  <c r="AB54" i="7"/>
  <c r="AB53" i="7"/>
  <c r="AB52" i="7"/>
  <c r="AB51" i="7"/>
  <c r="AB50" i="7"/>
  <c r="AB49" i="7"/>
  <c r="AB48" i="7"/>
  <c r="AB47" i="7"/>
  <c r="AB46" i="7"/>
  <c r="AB45" i="7"/>
  <c r="AB44" i="7"/>
  <c r="AB43" i="7"/>
  <c r="AB42" i="7"/>
  <c r="AB39" i="7"/>
  <c r="AB38" i="7"/>
  <c r="AB37" i="7"/>
  <c r="AB36" i="7"/>
  <c r="AB35" i="7"/>
  <c r="AB34" i="7"/>
  <c r="AB32" i="7"/>
  <c r="AB31" i="7"/>
  <c r="AB30" i="7"/>
  <c r="AB29" i="7"/>
  <c r="AB28" i="7"/>
  <c r="AB27" i="7"/>
  <c r="AB26" i="7"/>
  <c r="AB25" i="7"/>
  <c r="AB24" i="7"/>
  <c r="AB23" i="7"/>
  <c r="AB22" i="7"/>
  <c r="AB21" i="7"/>
  <c r="AB20" i="7"/>
  <c r="AB19" i="7"/>
  <c r="AB18" i="7"/>
  <c r="AB17" i="7"/>
  <c r="AB16" i="7"/>
  <c r="Y139" i="7"/>
  <c r="Y138" i="7"/>
  <c r="Y137" i="7"/>
  <c r="Y136" i="7"/>
  <c r="Y135" i="7"/>
  <c r="Y134" i="7"/>
  <c r="Y132" i="7"/>
  <c r="Y128" i="7"/>
  <c r="Y127" i="7"/>
  <c r="Y126" i="7"/>
  <c r="Y125" i="7"/>
  <c r="Y124" i="7"/>
  <c r="Y122" i="7"/>
  <c r="Y119" i="7"/>
  <c r="Y117" i="7"/>
  <c r="Y116" i="7"/>
  <c r="Y113" i="7"/>
  <c r="Y112" i="7"/>
  <c r="Y111" i="7"/>
  <c r="Y110" i="7"/>
  <c r="Y107" i="7"/>
  <c r="Y104" i="7"/>
  <c r="Y103" i="7"/>
  <c r="Y101" i="7"/>
  <c r="Y100" i="7"/>
  <c r="Y99" i="7"/>
  <c r="Y98" i="7"/>
  <c r="Y97" i="7"/>
  <c r="Y96" i="7"/>
  <c r="Y94" i="7"/>
  <c r="Y92" i="7"/>
  <c r="Y91" i="7"/>
  <c r="Y90" i="7"/>
  <c r="Y89" i="7"/>
  <c r="Y88" i="7"/>
  <c r="Y85" i="7"/>
  <c r="Y84" i="7"/>
  <c r="Y83" i="7"/>
  <c r="Y81" i="7"/>
  <c r="Y79" i="7"/>
  <c r="Y78" i="7"/>
  <c r="Y76" i="7"/>
  <c r="Y73" i="7"/>
  <c r="Y72" i="7"/>
  <c r="Y71" i="7"/>
  <c r="Y70" i="7"/>
  <c r="Y69" i="7"/>
  <c r="Y68" i="7"/>
  <c r="Y64" i="7"/>
  <c r="Y63" i="7"/>
  <c r="Y62" i="7"/>
  <c r="Y61" i="7"/>
  <c r="Y60" i="7"/>
  <c r="Y59" i="7"/>
  <c r="Y57" i="7"/>
  <c r="Y56" i="7"/>
  <c r="Y55" i="7"/>
  <c r="Y54" i="7"/>
  <c r="Y53" i="7"/>
  <c r="Y52" i="7"/>
  <c r="Y51" i="7"/>
  <c r="Y50" i="7"/>
  <c r="Y49" i="7"/>
  <c r="Y48" i="7"/>
  <c r="Y47" i="7"/>
  <c r="Y46" i="7"/>
  <c r="Y45" i="7"/>
  <c r="Y44" i="7"/>
  <c r="Y43" i="7"/>
  <c r="Y42" i="7"/>
  <c r="Y39" i="7"/>
  <c r="Y38" i="7"/>
  <c r="Y37" i="7"/>
  <c r="Y35" i="7"/>
  <c r="Y34" i="7"/>
  <c r="Y32" i="7"/>
  <c r="Y31" i="7"/>
  <c r="Y30" i="7"/>
  <c r="Y29" i="7"/>
  <c r="Y28" i="7"/>
  <c r="Y27" i="7"/>
  <c r="Y26" i="7"/>
  <c r="Y25" i="7"/>
  <c r="Y24" i="7"/>
  <c r="Y23" i="7"/>
  <c r="Y22" i="7"/>
  <c r="Y21" i="7"/>
  <c r="Y20" i="7"/>
  <c r="Y19" i="7"/>
  <c r="Y18" i="7"/>
  <c r="Y17" i="7"/>
  <c r="Y16" i="7"/>
  <c r="V139" i="7"/>
  <c r="V138" i="7"/>
  <c r="V137" i="7"/>
  <c r="V136" i="7"/>
  <c r="V135" i="7"/>
  <c r="V134" i="7"/>
  <c r="V132" i="7"/>
  <c r="V128" i="7"/>
  <c r="V127" i="7"/>
  <c r="V126" i="7"/>
  <c r="V125" i="7"/>
  <c r="V124" i="7"/>
  <c r="V122" i="7"/>
  <c r="V119" i="7"/>
  <c r="V117" i="7"/>
  <c r="V116" i="7"/>
  <c r="V113" i="7"/>
  <c r="V112" i="7"/>
  <c r="V111" i="7"/>
  <c r="V110" i="7"/>
  <c r="V107" i="7"/>
  <c r="V104" i="7"/>
  <c r="V103" i="7"/>
  <c r="V101" i="7"/>
  <c r="V100" i="7"/>
  <c r="V99" i="7"/>
  <c r="V98" i="7"/>
  <c r="V97" i="7"/>
  <c r="V96" i="7"/>
  <c r="V94" i="7"/>
  <c r="V92" i="7"/>
  <c r="V91" i="7"/>
  <c r="V90" i="7"/>
  <c r="V89" i="7"/>
  <c r="V88" i="7"/>
  <c r="V85" i="7"/>
  <c r="V84" i="7"/>
  <c r="V83" i="7"/>
  <c r="V81" i="7"/>
  <c r="V79" i="7"/>
  <c r="V78" i="7"/>
  <c r="V76" i="7"/>
  <c r="V73" i="7"/>
  <c r="V72" i="7"/>
  <c r="V71" i="7"/>
  <c r="V70" i="7"/>
  <c r="V69" i="7"/>
  <c r="V68" i="7"/>
  <c r="V64" i="7"/>
  <c r="V63" i="7"/>
  <c r="V62" i="7"/>
  <c r="V61" i="7"/>
  <c r="V60" i="7"/>
  <c r="V59" i="7"/>
  <c r="V57" i="7"/>
  <c r="V56" i="7"/>
  <c r="V55" i="7"/>
  <c r="V54" i="7"/>
  <c r="V53" i="7"/>
  <c r="V52" i="7"/>
  <c r="V51" i="7"/>
  <c r="V50" i="7"/>
  <c r="V49" i="7"/>
  <c r="V48" i="7"/>
  <c r="V47" i="7"/>
  <c r="V46" i="7"/>
  <c r="V45" i="7"/>
  <c r="V44" i="7"/>
  <c r="V43" i="7"/>
  <c r="V42" i="7"/>
  <c r="V39" i="7"/>
  <c r="V38" i="7"/>
  <c r="V37" i="7"/>
  <c r="V36" i="7"/>
  <c r="V35" i="7"/>
  <c r="V34" i="7"/>
  <c r="V32" i="7"/>
  <c r="V31" i="7"/>
  <c r="V30" i="7"/>
  <c r="V29" i="7"/>
  <c r="V28" i="7"/>
  <c r="V27" i="7"/>
  <c r="V26" i="7"/>
  <c r="V25" i="7"/>
  <c r="V24" i="7"/>
  <c r="V23" i="7"/>
  <c r="V22" i="7"/>
  <c r="V21" i="7"/>
  <c r="V20" i="7"/>
  <c r="V19" i="7"/>
  <c r="V18" i="7"/>
  <c r="V17" i="7"/>
  <c r="V16" i="7"/>
  <c r="AB14" i="7" l="1"/>
  <c r="AH14" i="7"/>
  <c r="AQ58" i="7"/>
  <c r="AN33" i="7"/>
  <c r="BI14" i="7"/>
  <c r="AH33" i="7"/>
  <c r="AH130" i="7"/>
  <c r="AH40" i="7"/>
  <c r="AH58" i="7"/>
  <c r="AN14" i="7"/>
  <c r="AT58" i="7"/>
  <c r="BO58" i="7"/>
  <c r="BL33" i="7"/>
  <c r="BI33" i="7"/>
  <c r="BI58" i="7"/>
  <c r="BF33" i="7"/>
  <c r="BF130" i="7"/>
  <c r="BC33" i="7"/>
  <c r="AZ33" i="7"/>
  <c r="BO33" i="7"/>
  <c r="BO40" i="7"/>
  <c r="BO130" i="7"/>
  <c r="BO14" i="7"/>
  <c r="BL40" i="7"/>
  <c r="BL130" i="7"/>
  <c r="BL14" i="7"/>
  <c r="BL58" i="7"/>
  <c r="BI40" i="7"/>
  <c r="BI130" i="7"/>
  <c r="BF14" i="7"/>
  <c r="BF40" i="7"/>
  <c r="BF58" i="7"/>
  <c r="BC14" i="7"/>
  <c r="BC130" i="7"/>
  <c r="BC40" i="7"/>
  <c r="BC58" i="7"/>
  <c r="AZ14" i="7"/>
  <c r="AZ130" i="7"/>
  <c r="AZ40" i="7"/>
  <c r="AZ58" i="7"/>
  <c r="AW58" i="7"/>
  <c r="AT14" i="7"/>
  <c r="AT40" i="7"/>
  <c r="AW33" i="7"/>
  <c r="AW130" i="7"/>
  <c r="AW40" i="7"/>
  <c r="AW14" i="7"/>
  <c r="AT130" i="7"/>
  <c r="AQ33" i="7"/>
  <c r="AQ40" i="7"/>
  <c r="AQ130" i="7"/>
  <c r="AQ14" i="7"/>
  <c r="AN40" i="7"/>
  <c r="AN58" i="7"/>
  <c r="AN130" i="7"/>
  <c r="AK130" i="7"/>
  <c r="AK40" i="7"/>
  <c r="AK14" i="7"/>
  <c r="AE58" i="7"/>
  <c r="AE33" i="7"/>
  <c r="AE130" i="7"/>
  <c r="AE40" i="7"/>
  <c r="AB33" i="7"/>
  <c r="AB40" i="7"/>
  <c r="AB58" i="7"/>
  <c r="AB130" i="7"/>
  <c r="Y40" i="7"/>
  <c r="V33" i="7"/>
  <c r="BL141" i="7"/>
  <c r="AT33" i="7"/>
  <c r="AK33" i="7"/>
  <c r="AK58" i="7"/>
  <c r="AH141" i="7"/>
  <c r="AE14" i="7"/>
  <c r="Y14" i="7"/>
  <c r="Y58" i="7"/>
  <c r="Y33" i="7"/>
  <c r="Y130" i="7"/>
  <c r="V130" i="7"/>
  <c r="V58" i="7"/>
  <c r="V14" i="7"/>
  <c r="V40" i="7"/>
  <c r="S16" i="7"/>
  <c r="S139" i="7"/>
  <c r="S138" i="7"/>
  <c r="S137" i="7"/>
  <c r="S136" i="7"/>
  <c r="S135" i="7"/>
  <c r="S134" i="7"/>
  <c r="S132" i="7"/>
  <c r="S128" i="7"/>
  <c r="S127" i="7"/>
  <c r="S126" i="7"/>
  <c r="S125" i="7"/>
  <c r="S124" i="7"/>
  <c r="S122" i="7"/>
  <c r="S119" i="7"/>
  <c r="S117" i="7"/>
  <c r="S116" i="7"/>
  <c r="S113" i="7"/>
  <c r="S112" i="7"/>
  <c r="S111" i="7"/>
  <c r="S110" i="7"/>
  <c r="S107" i="7"/>
  <c r="S104" i="7"/>
  <c r="S103" i="7"/>
  <c r="S101" i="7"/>
  <c r="S100" i="7"/>
  <c r="S99" i="7"/>
  <c r="S98" i="7"/>
  <c r="S97" i="7"/>
  <c r="S96" i="7"/>
  <c r="S94" i="7"/>
  <c r="S92" i="7"/>
  <c r="S91" i="7"/>
  <c r="S90" i="7"/>
  <c r="S89" i="7"/>
  <c r="S88" i="7"/>
  <c r="S85" i="7"/>
  <c r="S84" i="7"/>
  <c r="S83" i="7"/>
  <c r="S81" i="7"/>
  <c r="S79" i="7"/>
  <c r="S78" i="7"/>
  <c r="S76" i="7"/>
  <c r="S73" i="7"/>
  <c r="S72" i="7"/>
  <c r="S71" i="7"/>
  <c r="S70" i="7"/>
  <c r="S69" i="7"/>
  <c r="S68" i="7"/>
  <c r="S64" i="7"/>
  <c r="S63" i="7"/>
  <c r="S62" i="7"/>
  <c r="S61" i="7"/>
  <c r="S60" i="7"/>
  <c r="S59" i="7"/>
  <c r="S57" i="7"/>
  <c r="S56" i="7"/>
  <c r="S55" i="7"/>
  <c r="S54" i="7"/>
  <c r="S53" i="7"/>
  <c r="S52" i="7"/>
  <c r="S51" i="7"/>
  <c r="S50" i="7"/>
  <c r="S49" i="7"/>
  <c r="S48" i="7"/>
  <c r="S47" i="7"/>
  <c r="S46" i="7"/>
  <c r="S45" i="7"/>
  <c r="S44" i="7"/>
  <c r="S43" i="7"/>
  <c r="S42" i="7"/>
  <c r="S39" i="7"/>
  <c r="S38" i="7"/>
  <c r="S37" i="7"/>
  <c r="S36" i="7"/>
  <c r="S35" i="7"/>
  <c r="S34" i="7"/>
  <c r="S32" i="7"/>
  <c r="S31" i="7"/>
  <c r="S30" i="7"/>
  <c r="S29" i="7"/>
  <c r="S28" i="7"/>
  <c r="S27" i="7"/>
  <c r="S26" i="7"/>
  <c r="S25" i="7"/>
  <c r="S24" i="7"/>
  <c r="S23" i="7"/>
  <c r="S22" i="7"/>
  <c r="S21" i="7"/>
  <c r="S20" i="7"/>
  <c r="S19" i="7"/>
  <c r="S18" i="7"/>
  <c r="S17" i="7"/>
  <c r="P16" i="7"/>
  <c r="P139" i="7"/>
  <c r="P138" i="7"/>
  <c r="P137" i="7"/>
  <c r="P136" i="7"/>
  <c r="P135" i="7"/>
  <c r="P134" i="7"/>
  <c r="P132" i="7"/>
  <c r="P128" i="7"/>
  <c r="P127" i="7"/>
  <c r="P126" i="7"/>
  <c r="P125" i="7"/>
  <c r="P124" i="7"/>
  <c r="P122" i="7"/>
  <c r="P119" i="7"/>
  <c r="P117" i="7"/>
  <c r="P116" i="7"/>
  <c r="P113" i="7"/>
  <c r="P112" i="7"/>
  <c r="P111" i="7"/>
  <c r="P110" i="7"/>
  <c r="P107" i="7"/>
  <c r="P104" i="7"/>
  <c r="P103" i="7"/>
  <c r="P101" i="7"/>
  <c r="P100" i="7"/>
  <c r="P99" i="7"/>
  <c r="P98" i="7"/>
  <c r="P97" i="7"/>
  <c r="P96" i="7"/>
  <c r="P94" i="7"/>
  <c r="P92" i="7"/>
  <c r="P91" i="7"/>
  <c r="P90" i="7"/>
  <c r="P89" i="7"/>
  <c r="P88" i="7"/>
  <c r="P85" i="7"/>
  <c r="P84" i="7"/>
  <c r="P83" i="7"/>
  <c r="P81" i="7"/>
  <c r="P79" i="7"/>
  <c r="P78" i="7"/>
  <c r="P76" i="7"/>
  <c r="P73" i="7"/>
  <c r="P72" i="7"/>
  <c r="P71" i="7"/>
  <c r="P70" i="7"/>
  <c r="P69" i="7"/>
  <c r="P68" i="7"/>
  <c r="P64" i="7"/>
  <c r="P63" i="7"/>
  <c r="P62" i="7"/>
  <c r="P61" i="7"/>
  <c r="P60" i="7"/>
  <c r="P59" i="7"/>
  <c r="P57" i="7"/>
  <c r="P56" i="7"/>
  <c r="P55" i="7"/>
  <c r="P54" i="7"/>
  <c r="P53" i="7"/>
  <c r="P52" i="7"/>
  <c r="P51" i="7"/>
  <c r="P50" i="7"/>
  <c r="P49" i="7"/>
  <c r="P48" i="7"/>
  <c r="P47" i="7"/>
  <c r="P46" i="7"/>
  <c r="P45" i="7"/>
  <c r="P44" i="7"/>
  <c r="P43" i="7"/>
  <c r="P42" i="7"/>
  <c r="P39" i="7"/>
  <c r="P38" i="7"/>
  <c r="P37" i="7"/>
  <c r="P36" i="7"/>
  <c r="P35" i="7"/>
  <c r="P34" i="7"/>
  <c r="P32" i="7"/>
  <c r="P31" i="7"/>
  <c r="P30" i="7"/>
  <c r="P29" i="7"/>
  <c r="P28" i="7"/>
  <c r="P27" i="7"/>
  <c r="P26" i="7"/>
  <c r="P25" i="7"/>
  <c r="P24" i="7"/>
  <c r="P23" i="7"/>
  <c r="P22" i="7"/>
  <c r="P21" i="7"/>
  <c r="P20" i="7"/>
  <c r="P19" i="7"/>
  <c r="P18" i="7"/>
  <c r="P17" i="7"/>
  <c r="M139" i="7"/>
  <c r="M138" i="7"/>
  <c r="M137" i="7"/>
  <c r="M136" i="7"/>
  <c r="M135" i="7"/>
  <c r="M134" i="7"/>
  <c r="M132" i="7"/>
  <c r="M128" i="7"/>
  <c r="M127" i="7"/>
  <c r="M126" i="7"/>
  <c r="M125" i="7"/>
  <c r="M124" i="7"/>
  <c r="M122" i="7"/>
  <c r="M119" i="7"/>
  <c r="M117" i="7"/>
  <c r="M116" i="7"/>
  <c r="M113" i="7"/>
  <c r="M112" i="7"/>
  <c r="M111" i="7"/>
  <c r="M110" i="7"/>
  <c r="M107" i="7"/>
  <c r="M104" i="7"/>
  <c r="M103" i="7"/>
  <c r="M101" i="7"/>
  <c r="M100" i="7"/>
  <c r="M99" i="7"/>
  <c r="M98" i="7"/>
  <c r="M97" i="7"/>
  <c r="M96" i="7"/>
  <c r="M94" i="7"/>
  <c r="M92" i="7"/>
  <c r="M91" i="7"/>
  <c r="M90" i="7"/>
  <c r="M89" i="7"/>
  <c r="M88" i="7"/>
  <c r="M85" i="7"/>
  <c r="M84" i="7"/>
  <c r="M83" i="7"/>
  <c r="M81" i="7"/>
  <c r="M79" i="7"/>
  <c r="M78" i="7"/>
  <c r="M76" i="7"/>
  <c r="S58" i="7" l="1"/>
  <c r="AB141" i="7"/>
  <c r="AK141" i="7"/>
  <c r="BO141" i="7"/>
  <c r="BI141" i="7"/>
  <c r="BF141" i="7"/>
  <c r="BC141" i="7"/>
  <c r="AZ141" i="7"/>
  <c r="AW141" i="7"/>
  <c r="AT141" i="7"/>
  <c r="AQ141" i="7"/>
  <c r="AN141" i="7"/>
  <c r="AE141" i="7"/>
  <c r="Y141" i="7"/>
  <c r="V141" i="7"/>
  <c r="S33" i="7"/>
  <c r="S14" i="7"/>
  <c r="S40" i="7"/>
  <c r="S130" i="7"/>
  <c r="P58" i="7"/>
  <c r="P130" i="7"/>
  <c r="P40" i="7"/>
  <c r="P33" i="7"/>
  <c r="P14" i="7"/>
  <c r="M16" i="7"/>
  <c r="M73" i="7"/>
  <c r="M72" i="7"/>
  <c r="M71" i="7"/>
  <c r="M70" i="7"/>
  <c r="M69" i="7"/>
  <c r="M68" i="7"/>
  <c r="M64" i="7"/>
  <c r="M63" i="7"/>
  <c r="M62" i="7"/>
  <c r="M61" i="7"/>
  <c r="M60" i="7"/>
  <c r="M59" i="7"/>
  <c r="M57" i="7"/>
  <c r="M56" i="7"/>
  <c r="M55" i="7"/>
  <c r="M54" i="7"/>
  <c r="M53" i="7"/>
  <c r="M52" i="7"/>
  <c r="M51" i="7"/>
  <c r="M50" i="7"/>
  <c r="M49" i="7"/>
  <c r="M48" i="7"/>
  <c r="M47" i="7"/>
  <c r="M46" i="7"/>
  <c r="M45" i="7"/>
  <c r="M44" i="7"/>
  <c r="M43" i="7"/>
  <c r="M42" i="7"/>
  <c r="M39" i="7"/>
  <c r="M38" i="7"/>
  <c r="M37" i="7"/>
  <c r="M36" i="7"/>
  <c r="M35" i="7"/>
  <c r="M34" i="7"/>
  <c r="M32" i="7"/>
  <c r="M31" i="7"/>
  <c r="M30" i="7"/>
  <c r="M29" i="7"/>
  <c r="M28" i="7"/>
  <c r="M27" i="7"/>
  <c r="M26" i="7"/>
  <c r="M25" i="7"/>
  <c r="M24" i="7"/>
  <c r="M23" i="7"/>
  <c r="M22" i="7"/>
  <c r="M21" i="7"/>
  <c r="M20" i="7"/>
  <c r="M19" i="7"/>
  <c r="M18" i="7"/>
  <c r="M17" i="7"/>
  <c r="H148" i="7"/>
  <c r="J73" i="7"/>
  <c r="J72" i="7"/>
  <c r="J71" i="7"/>
  <c r="J70" i="7"/>
  <c r="J69" i="7"/>
  <c r="J68" i="7"/>
  <c r="J64" i="7"/>
  <c r="J63" i="7"/>
  <c r="J62" i="7"/>
  <c r="J61" i="7"/>
  <c r="J60" i="7"/>
  <c r="J59" i="7"/>
  <c r="J57" i="7"/>
  <c r="J56" i="7"/>
  <c r="J55" i="7"/>
  <c r="J54" i="7"/>
  <c r="J53" i="7"/>
  <c r="J52" i="7"/>
  <c r="J51" i="7"/>
  <c r="J50" i="7"/>
  <c r="J49" i="7"/>
  <c r="J48" i="7"/>
  <c r="J47" i="7"/>
  <c r="J46" i="7"/>
  <c r="J45" i="7"/>
  <c r="J44" i="7"/>
  <c r="J43" i="7"/>
  <c r="J42" i="7"/>
  <c r="J39" i="7"/>
  <c r="J38" i="7"/>
  <c r="J37" i="7"/>
  <c r="J36" i="7"/>
  <c r="J35" i="7"/>
  <c r="J34" i="7"/>
  <c r="J32" i="7"/>
  <c r="J31" i="7"/>
  <c r="J30" i="7"/>
  <c r="J29" i="7"/>
  <c r="J28" i="7"/>
  <c r="J27" i="7"/>
  <c r="J26" i="7"/>
  <c r="J25" i="7"/>
  <c r="J24" i="7"/>
  <c r="J23" i="7"/>
  <c r="J22" i="7"/>
  <c r="J21" i="7"/>
  <c r="J20" i="7"/>
  <c r="J19" i="7"/>
  <c r="J18" i="7"/>
  <c r="J17" i="7"/>
  <c r="J16" i="7"/>
  <c r="J139" i="7"/>
  <c r="J138" i="7"/>
  <c r="J137" i="7"/>
  <c r="J136" i="7"/>
  <c r="J135" i="7"/>
  <c r="J134" i="7"/>
  <c r="J132" i="7"/>
  <c r="J128" i="7"/>
  <c r="J127" i="7"/>
  <c r="J126" i="7"/>
  <c r="J125" i="7"/>
  <c r="J124" i="7"/>
  <c r="J122" i="7"/>
  <c r="J119" i="7"/>
  <c r="J117" i="7"/>
  <c r="J116" i="7"/>
  <c r="J113" i="7"/>
  <c r="J112" i="7"/>
  <c r="J111" i="7"/>
  <c r="J110" i="7"/>
  <c r="J107" i="7"/>
  <c r="J104" i="7"/>
  <c r="J103" i="7"/>
  <c r="J101" i="7"/>
  <c r="J100" i="7"/>
  <c r="J99" i="7"/>
  <c r="J98" i="7"/>
  <c r="J97" i="7"/>
  <c r="J96" i="7"/>
  <c r="J94" i="7"/>
  <c r="J92" i="7"/>
  <c r="J91" i="7"/>
  <c r="J90" i="7"/>
  <c r="J89" i="7"/>
  <c r="J88" i="7"/>
  <c r="J85" i="7"/>
  <c r="J84" i="7"/>
  <c r="J83" i="7"/>
  <c r="J81" i="7"/>
  <c r="J79" i="7"/>
  <c r="J78" i="7"/>
  <c r="J76" i="7"/>
  <c r="C16" i="7"/>
  <c r="F171" i="7"/>
  <c r="D171" i="7"/>
  <c r="F170" i="7"/>
  <c r="D170" i="7"/>
  <c r="F163" i="7"/>
  <c r="F162" i="7"/>
  <c r="H157" i="7"/>
  <c r="H154" i="7"/>
  <c r="H150" i="7"/>
  <c r="H149" i="7"/>
  <c r="F144" i="7"/>
  <c r="G139" i="7"/>
  <c r="H139" i="7" s="1"/>
  <c r="E139" i="7"/>
  <c r="D139" i="7"/>
  <c r="G138" i="7"/>
  <c r="H138" i="7" s="1"/>
  <c r="E138" i="7"/>
  <c r="D138" i="7"/>
  <c r="G137" i="7"/>
  <c r="H137" i="7" s="1"/>
  <c r="Q137" i="7" s="1"/>
  <c r="E137" i="7"/>
  <c r="D137" i="7"/>
  <c r="G136" i="7"/>
  <c r="H136" i="7" s="1"/>
  <c r="N136" i="7" s="1"/>
  <c r="E136" i="7"/>
  <c r="D136" i="7"/>
  <c r="G135" i="7"/>
  <c r="H135" i="7" s="1"/>
  <c r="E135" i="7"/>
  <c r="D135" i="7"/>
  <c r="G134" i="7"/>
  <c r="H134" i="7" s="1"/>
  <c r="N134" i="7" s="1"/>
  <c r="E134" i="7"/>
  <c r="D134" i="7"/>
  <c r="G132" i="7"/>
  <c r="H132" i="7" s="1"/>
  <c r="Q132" i="7" s="1"/>
  <c r="E132" i="7"/>
  <c r="D132" i="7"/>
  <c r="H128" i="7"/>
  <c r="T128" i="7" s="1"/>
  <c r="E128" i="7"/>
  <c r="H127" i="7"/>
  <c r="Q127" i="7" s="1"/>
  <c r="G126" i="7"/>
  <c r="H126" i="7" s="1"/>
  <c r="E126" i="7"/>
  <c r="D126" i="7"/>
  <c r="G125" i="7"/>
  <c r="H125" i="7" s="1"/>
  <c r="T125" i="7" s="1"/>
  <c r="E125" i="7"/>
  <c r="D125" i="7"/>
  <c r="H124" i="7"/>
  <c r="Q124" i="7" s="1"/>
  <c r="G124" i="7"/>
  <c r="E124" i="7"/>
  <c r="D124" i="7"/>
  <c r="H123" i="7"/>
  <c r="F123" i="7"/>
  <c r="E123" i="7"/>
  <c r="H122" i="7"/>
  <c r="T122" i="7" s="1"/>
  <c r="H121" i="7"/>
  <c r="F121" i="7"/>
  <c r="E121" i="7"/>
  <c r="H119" i="7"/>
  <c r="N119" i="7" s="1"/>
  <c r="G118" i="7"/>
  <c r="F118" i="7"/>
  <c r="E118" i="7"/>
  <c r="D118" i="7"/>
  <c r="H117" i="7"/>
  <c r="T117" i="7" s="1"/>
  <c r="H116" i="7"/>
  <c r="T116" i="7" s="1"/>
  <c r="G113" i="7"/>
  <c r="H113" i="7" s="1"/>
  <c r="E113" i="7"/>
  <c r="D113" i="7"/>
  <c r="H112" i="7"/>
  <c r="H111" i="7"/>
  <c r="G110" i="7"/>
  <c r="H110" i="7" s="1"/>
  <c r="N110" i="7" s="1"/>
  <c r="E110" i="7"/>
  <c r="D110" i="7"/>
  <c r="F108" i="7"/>
  <c r="H107" i="7"/>
  <c r="N107" i="7" s="1"/>
  <c r="G106" i="7"/>
  <c r="F106" i="7"/>
  <c r="E106" i="7"/>
  <c r="D106" i="7"/>
  <c r="G104" i="7"/>
  <c r="H104" i="7" s="1"/>
  <c r="N104" i="7" s="1"/>
  <c r="E104" i="7"/>
  <c r="D104" i="7"/>
  <c r="C104" i="7"/>
  <c r="G103" i="7"/>
  <c r="H103" i="7" s="1"/>
  <c r="Q103" i="7" s="1"/>
  <c r="E103" i="7"/>
  <c r="D103" i="7"/>
  <c r="H101" i="7"/>
  <c r="T101" i="7" s="1"/>
  <c r="H100" i="7"/>
  <c r="T100" i="7" s="1"/>
  <c r="H99" i="7"/>
  <c r="H98" i="7"/>
  <c r="H97" i="7"/>
  <c r="Q97" i="7" s="1"/>
  <c r="H96" i="7"/>
  <c r="H94" i="7"/>
  <c r="G92" i="7"/>
  <c r="H92" i="7" s="1"/>
  <c r="E92" i="7"/>
  <c r="D92" i="7"/>
  <c r="G91" i="7"/>
  <c r="H91" i="7" s="1"/>
  <c r="T91" i="7" s="1"/>
  <c r="E91" i="7"/>
  <c r="D91" i="7"/>
  <c r="G90" i="7"/>
  <c r="H90" i="7" s="1"/>
  <c r="Q90" i="7" s="1"/>
  <c r="E90" i="7"/>
  <c r="D90" i="7"/>
  <c r="G89" i="7"/>
  <c r="H89" i="7" s="1"/>
  <c r="Q89" i="7" s="1"/>
  <c r="E89" i="7"/>
  <c r="D89" i="7"/>
  <c r="G88" i="7"/>
  <c r="H88" i="7" s="1"/>
  <c r="E88" i="7"/>
  <c r="D88" i="7"/>
  <c r="G85" i="7"/>
  <c r="H85" i="7" s="1"/>
  <c r="E85" i="7"/>
  <c r="D85" i="7"/>
  <c r="G84" i="7"/>
  <c r="H84" i="7" s="1"/>
  <c r="N84" i="7" s="1"/>
  <c r="E84" i="7"/>
  <c r="D84" i="7"/>
  <c r="G83" i="7"/>
  <c r="H83" i="7" s="1"/>
  <c r="Q83" i="7" s="1"/>
  <c r="E83" i="7"/>
  <c r="D83" i="7"/>
  <c r="H81" i="7"/>
  <c r="E81" i="7"/>
  <c r="G79" i="7"/>
  <c r="H79" i="7" s="1"/>
  <c r="E79" i="7"/>
  <c r="D79" i="7"/>
  <c r="G78" i="7"/>
  <c r="H78" i="7" s="1"/>
  <c r="E78" i="7"/>
  <c r="D78" i="7"/>
  <c r="G76" i="7"/>
  <c r="H76" i="7" s="1"/>
  <c r="T76" i="7" s="1"/>
  <c r="E76" i="7"/>
  <c r="D76" i="7"/>
  <c r="G73" i="7"/>
  <c r="H73" i="7" s="1"/>
  <c r="Q73" i="7" s="1"/>
  <c r="E73" i="7"/>
  <c r="D73" i="7"/>
  <c r="G72" i="7"/>
  <c r="H72" i="7" s="1"/>
  <c r="E72" i="7"/>
  <c r="D72" i="7"/>
  <c r="G71" i="7"/>
  <c r="H71" i="7" s="1"/>
  <c r="T71" i="7" s="1"/>
  <c r="E71" i="7"/>
  <c r="D71" i="7"/>
  <c r="G70" i="7"/>
  <c r="H70" i="7" s="1"/>
  <c r="E70" i="7"/>
  <c r="D70" i="7"/>
  <c r="G69" i="7"/>
  <c r="H69" i="7" s="1"/>
  <c r="T69" i="7" s="1"/>
  <c r="E69" i="7"/>
  <c r="D69" i="7"/>
  <c r="G68" i="7"/>
  <c r="H68" i="7" s="1"/>
  <c r="E68" i="7"/>
  <c r="D68" i="7"/>
  <c r="F66" i="7"/>
  <c r="G64" i="7"/>
  <c r="H64" i="7" s="1"/>
  <c r="E64" i="7"/>
  <c r="D64" i="7"/>
  <c r="H63" i="7"/>
  <c r="T63" i="7" s="1"/>
  <c r="G62" i="7"/>
  <c r="H62" i="7" s="1"/>
  <c r="E62" i="7"/>
  <c r="H61" i="7"/>
  <c r="T61" i="7" s="1"/>
  <c r="E61" i="7"/>
  <c r="H60" i="7"/>
  <c r="E60" i="7"/>
  <c r="H59" i="7"/>
  <c r="Q59" i="7" s="1"/>
  <c r="E59" i="7"/>
  <c r="H57" i="7"/>
  <c r="H56" i="7"/>
  <c r="T56" i="7" s="1"/>
  <c r="H55" i="7"/>
  <c r="T55" i="7" s="1"/>
  <c r="E55" i="7"/>
  <c r="G54" i="7"/>
  <c r="H54" i="7" s="1"/>
  <c r="E54" i="7"/>
  <c r="D54" i="7"/>
  <c r="G53" i="7"/>
  <c r="H53" i="7" s="1"/>
  <c r="Q53" i="7" s="1"/>
  <c r="E53" i="7"/>
  <c r="D53" i="7"/>
  <c r="G52" i="7"/>
  <c r="H52" i="7" s="1"/>
  <c r="Q52" i="7" s="1"/>
  <c r="E52" i="7"/>
  <c r="D52" i="7"/>
  <c r="G51" i="7"/>
  <c r="H51" i="7" s="1"/>
  <c r="T51" i="7" s="1"/>
  <c r="E51" i="7"/>
  <c r="D51" i="7"/>
  <c r="G50" i="7"/>
  <c r="H50" i="7" s="1"/>
  <c r="E50" i="7"/>
  <c r="D50" i="7"/>
  <c r="G49" i="7"/>
  <c r="H49" i="7" s="1"/>
  <c r="T49" i="7" s="1"/>
  <c r="E49" i="7"/>
  <c r="D49" i="7"/>
  <c r="H48" i="7"/>
  <c r="T48" i="7" s="1"/>
  <c r="G47" i="7"/>
  <c r="H47" i="7" s="1"/>
  <c r="Q47" i="7" s="1"/>
  <c r="E47" i="7"/>
  <c r="D47" i="7"/>
  <c r="H46" i="7"/>
  <c r="Q46" i="7" s="1"/>
  <c r="H45" i="7"/>
  <c r="Q45" i="7" s="1"/>
  <c r="G44" i="7"/>
  <c r="H44" i="7" s="1"/>
  <c r="E44" i="7"/>
  <c r="D44" i="7"/>
  <c r="G43" i="7"/>
  <c r="H43" i="7" s="1"/>
  <c r="T43" i="7" s="1"/>
  <c r="E43" i="7"/>
  <c r="D43" i="7"/>
  <c r="G42" i="7"/>
  <c r="H42" i="7" s="1"/>
  <c r="E42" i="7"/>
  <c r="D42" i="7"/>
  <c r="C40" i="7"/>
  <c r="C58" i="7" s="1"/>
  <c r="G39" i="7"/>
  <c r="H39" i="7" s="1"/>
  <c r="Q39" i="7" s="1"/>
  <c r="E39" i="7"/>
  <c r="D39" i="7"/>
  <c r="H38" i="7"/>
  <c r="T38" i="7" s="1"/>
  <c r="G37" i="7"/>
  <c r="H37" i="7" s="1"/>
  <c r="Q37" i="7" s="1"/>
  <c r="E37" i="7"/>
  <c r="D37" i="7"/>
  <c r="G36" i="7"/>
  <c r="H36" i="7" s="1"/>
  <c r="Q36" i="7" s="1"/>
  <c r="E36" i="7"/>
  <c r="D36" i="7"/>
  <c r="H35" i="7"/>
  <c r="Q35" i="7" s="1"/>
  <c r="G34" i="7"/>
  <c r="H34" i="7" s="1"/>
  <c r="Q34" i="7" s="1"/>
  <c r="E34" i="7"/>
  <c r="D34" i="7"/>
  <c r="G32" i="7"/>
  <c r="H32" i="7" s="1"/>
  <c r="T32" i="7" s="1"/>
  <c r="E32" i="7"/>
  <c r="D32" i="7"/>
  <c r="G31" i="7"/>
  <c r="H31" i="7" s="1"/>
  <c r="T31" i="7" s="1"/>
  <c r="E31" i="7"/>
  <c r="D31" i="7"/>
  <c r="H30" i="7"/>
  <c r="T30" i="7" s="1"/>
  <c r="H29" i="7"/>
  <c r="Q29" i="7" s="1"/>
  <c r="G28" i="7"/>
  <c r="H28" i="7" s="1"/>
  <c r="E28" i="7"/>
  <c r="D28" i="7"/>
  <c r="G27" i="7"/>
  <c r="H27" i="7" s="1"/>
  <c r="Q27" i="7" s="1"/>
  <c r="E27" i="7"/>
  <c r="D27" i="7"/>
  <c r="G26" i="7"/>
  <c r="H26" i="7" s="1"/>
  <c r="T26" i="7" s="1"/>
  <c r="E26" i="7"/>
  <c r="D26" i="7"/>
  <c r="H25" i="7"/>
  <c r="T25" i="7" s="1"/>
  <c r="H24" i="7"/>
  <c r="T24" i="7" s="1"/>
  <c r="G23" i="7"/>
  <c r="H23" i="7" s="1"/>
  <c r="T23" i="7" s="1"/>
  <c r="E23" i="7"/>
  <c r="D23" i="7"/>
  <c r="G22" i="7"/>
  <c r="H22" i="7" s="1"/>
  <c r="Q22" i="7" s="1"/>
  <c r="E22" i="7"/>
  <c r="D22" i="7"/>
  <c r="H21" i="7"/>
  <c r="T21" i="7" s="1"/>
  <c r="H20" i="7"/>
  <c r="T20" i="7" s="1"/>
  <c r="G19" i="7"/>
  <c r="H19" i="7" s="1"/>
  <c r="T19" i="7" s="1"/>
  <c r="E19" i="7"/>
  <c r="D19" i="7"/>
  <c r="G18" i="7"/>
  <c r="H18" i="7" s="1"/>
  <c r="Q18" i="7" s="1"/>
  <c r="E18" i="7"/>
  <c r="D18" i="7"/>
  <c r="G17" i="7"/>
  <c r="H17" i="7" s="1"/>
  <c r="Q17" i="7" s="1"/>
  <c r="E17" i="7"/>
  <c r="D17" i="7"/>
  <c r="G16" i="7"/>
  <c r="H16" i="7" s="1"/>
  <c r="E16" i="7"/>
  <c r="D16" i="7"/>
  <c r="C17" i="7"/>
  <c r="C18" i="7" s="1"/>
  <c r="C19" i="7" s="1"/>
  <c r="C20" i="7" s="1"/>
  <c r="C21" i="7" s="1"/>
  <c r="C22" i="7" s="1"/>
  <c r="C23" i="7" s="1"/>
  <c r="C24" i="7" s="1"/>
  <c r="C25" i="7" s="1"/>
  <c r="C26" i="7" s="1"/>
  <c r="C27" i="7" s="1"/>
  <c r="C28" i="7" s="1"/>
  <c r="C29" i="7" s="1"/>
  <c r="C30" i="7" s="1"/>
  <c r="C31" i="7" s="1"/>
  <c r="C32" i="7" s="1"/>
  <c r="C34" i="7" s="1"/>
  <c r="H12" i="7"/>
  <c r="D10" i="7"/>
  <c r="B10" i="7"/>
  <c r="B9" i="7"/>
  <c r="B8" i="7"/>
  <c r="B7" i="7"/>
  <c r="B6" i="7"/>
  <c r="AF79" i="7" l="1"/>
  <c r="W79" i="7"/>
  <c r="AC79" i="7"/>
  <c r="AO79" i="7"/>
  <c r="AR79" i="7"/>
  <c r="Z79" i="7"/>
  <c r="AL79" i="7"/>
  <c r="AI79" i="7"/>
  <c r="BM79" i="7"/>
  <c r="BD79" i="7"/>
  <c r="AU79" i="7"/>
  <c r="BA79" i="7"/>
  <c r="BG79" i="7"/>
  <c r="BJ79" i="7"/>
  <c r="BP79" i="7"/>
  <c r="AX79" i="7"/>
  <c r="N79" i="7"/>
  <c r="T79" i="7"/>
  <c r="Q79" i="7"/>
  <c r="AI78" i="7"/>
  <c r="AC78" i="7"/>
  <c r="AU78" i="7"/>
  <c r="Z78" i="7"/>
  <c r="AO78" i="7"/>
  <c r="W78" i="7"/>
  <c r="AF78" i="7"/>
  <c r="AR78" i="7"/>
  <c r="BG78" i="7"/>
  <c r="BJ78" i="7"/>
  <c r="AL78" i="7"/>
  <c r="BP78" i="7"/>
  <c r="AX78" i="7"/>
  <c r="BA78" i="7"/>
  <c r="BD78" i="7"/>
  <c r="BM78" i="7"/>
  <c r="Q78" i="7"/>
  <c r="T78" i="7"/>
  <c r="N78" i="7"/>
  <c r="W16" i="7"/>
  <c r="AO16" i="7"/>
  <c r="Z16" i="7"/>
  <c r="AF16" i="7"/>
  <c r="AR16" i="7"/>
  <c r="AX16" i="7"/>
  <c r="AI16" i="7"/>
  <c r="AC16" i="7"/>
  <c r="AU16" i="7"/>
  <c r="BD16" i="7"/>
  <c r="BG16" i="7"/>
  <c r="BA16" i="7"/>
  <c r="BM16" i="7"/>
  <c r="AL16" i="7"/>
  <c r="BP16" i="7"/>
  <c r="BJ16" i="7"/>
  <c r="Z28" i="7"/>
  <c r="W28" i="7"/>
  <c r="AF28" i="7"/>
  <c r="AR28" i="7"/>
  <c r="AX28" i="7"/>
  <c r="AI28" i="7"/>
  <c r="AC28" i="7"/>
  <c r="AU28" i="7"/>
  <c r="BD28" i="7"/>
  <c r="AO28" i="7"/>
  <c r="AL28" i="7"/>
  <c r="BP28" i="7"/>
  <c r="BG28" i="7"/>
  <c r="BA28" i="7"/>
  <c r="BM28" i="7"/>
  <c r="BJ28" i="7"/>
  <c r="Z44" i="7"/>
  <c r="AX44" i="7"/>
  <c r="W44" i="7"/>
  <c r="AC44" i="7"/>
  <c r="AO44" i="7"/>
  <c r="AF44" i="7"/>
  <c r="AR44" i="7"/>
  <c r="BA44" i="7"/>
  <c r="AL44" i="7"/>
  <c r="AI44" i="7"/>
  <c r="BM44" i="7"/>
  <c r="BD44" i="7"/>
  <c r="AU44" i="7"/>
  <c r="BG44" i="7"/>
  <c r="BJ44" i="7"/>
  <c r="BP44" i="7"/>
  <c r="AI50" i="7"/>
  <c r="W50" i="7"/>
  <c r="AU50" i="7"/>
  <c r="AL50" i="7"/>
  <c r="Z50" i="7"/>
  <c r="AF50" i="7"/>
  <c r="AC50" i="7"/>
  <c r="BG50" i="7"/>
  <c r="AX50" i="7"/>
  <c r="AR50" i="7"/>
  <c r="AO50" i="7"/>
  <c r="BA50" i="7"/>
  <c r="BD50" i="7"/>
  <c r="BP50" i="7"/>
  <c r="BJ50" i="7"/>
  <c r="BM50" i="7"/>
  <c r="W54" i="7"/>
  <c r="AR54" i="7"/>
  <c r="AI54" i="7"/>
  <c r="AU54" i="7"/>
  <c r="AL54" i="7"/>
  <c r="Z54" i="7"/>
  <c r="AF54" i="7"/>
  <c r="AC54" i="7"/>
  <c r="BG54" i="7"/>
  <c r="AX54" i="7"/>
  <c r="BA54" i="7"/>
  <c r="BD54" i="7"/>
  <c r="BP54" i="7"/>
  <c r="AO54" i="7"/>
  <c r="BJ54" i="7"/>
  <c r="BM54" i="7"/>
  <c r="AL57" i="7"/>
  <c r="AC57" i="7"/>
  <c r="Z57" i="7"/>
  <c r="AU57" i="7"/>
  <c r="AO57" i="7"/>
  <c r="AX57" i="7"/>
  <c r="W57" i="7"/>
  <c r="AI57" i="7"/>
  <c r="AF57" i="7"/>
  <c r="BJ57" i="7"/>
  <c r="BA57" i="7"/>
  <c r="BD57" i="7"/>
  <c r="BG57" i="7"/>
  <c r="AR57" i="7"/>
  <c r="BM57" i="7"/>
  <c r="BP57" i="7"/>
  <c r="AF60" i="7"/>
  <c r="AR60" i="7"/>
  <c r="W60" i="7"/>
  <c r="AI60" i="7"/>
  <c r="AC60" i="7"/>
  <c r="AU60" i="7"/>
  <c r="Z60" i="7"/>
  <c r="AO60" i="7"/>
  <c r="AL60" i="7"/>
  <c r="BP60" i="7"/>
  <c r="BG60" i="7"/>
  <c r="BM60" i="7"/>
  <c r="BJ60" i="7"/>
  <c r="BD60" i="7"/>
  <c r="AX60" i="7"/>
  <c r="BA60" i="7"/>
  <c r="W62" i="7"/>
  <c r="AI62" i="7"/>
  <c r="AL62" i="7"/>
  <c r="AC62" i="7"/>
  <c r="Z62" i="7"/>
  <c r="AU62" i="7"/>
  <c r="AO62" i="7"/>
  <c r="AX62" i="7"/>
  <c r="AR62" i="7"/>
  <c r="BM62" i="7"/>
  <c r="BP62" i="7"/>
  <c r="AF62" i="7"/>
  <c r="BJ62" i="7"/>
  <c r="BD62" i="7"/>
  <c r="BG62" i="7"/>
  <c r="BA62" i="7"/>
  <c r="W64" i="7"/>
  <c r="AF64" i="7"/>
  <c r="AR64" i="7"/>
  <c r="AI64" i="7"/>
  <c r="AC64" i="7"/>
  <c r="AU64" i="7"/>
  <c r="BD64" i="7"/>
  <c r="Z64" i="7"/>
  <c r="AO64" i="7"/>
  <c r="AL64" i="7"/>
  <c r="BP64" i="7"/>
  <c r="BG64" i="7"/>
  <c r="AX64" i="7"/>
  <c r="BA64" i="7"/>
  <c r="BM64" i="7"/>
  <c r="BJ64" i="7"/>
  <c r="AL68" i="7"/>
  <c r="W68" i="7"/>
  <c r="AC68" i="7"/>
  <c r="AO68" i="7"/>
  <c r="AF68" i="7"/>
  <c r="AR68" i="7"/>
  <c r="Z68" i="7"/>
  <c r="BA68" i="7"/>
  <c r="AU68" i="7"/>
  <c r="BP68" i="7"/>
  <c r="AI68" i="7"/>
  <c r="BM68" i="7"/>
  <c r="AX68" i="7"/>
  <c r="BG68" i="7"/>
  <c r="BJ68" i="7"/>
  <c r="BD68" i="7"/>
  <c r="AF72" i="7"/>
  <c r="AR72" i="7"/>
  <c r="Z72" i="7"/>
  <c r="AL72" i="7"/>
  <c r="AU72" i="7"/>
  <c r="W72" i="7"/>
  <c r="AC72" i="7"/>
  <c r="AO72" i="7"/>
  <c r="BD72" i="7"/>
  <c r="BP72" i="7"/>
  <c r="AI72" i="7"/>
  <c r="BM72" i="7"/>
  <c r="AX72" i="7"/>
  <c r="BA72" i="7"/>
  <c r="BG72" i="7"/>
  <c r="BJ72" i="7"/>
  <c r="AL81" i="7"/>
  <c r="Z81" i="7"/>
  <c r="AU81" i="7"/>
  <c r="AC81" i="7"/>
  <c r="AO81" i="7"/>
  <c r="AX81" i="7"/>
  <c r="W81" i="7"/>
  <c r="AI81" i="7"/>
  <c r="AF81" i="7"/>
  <c r="BJ81" i="7"/>
  <c r="BA81" i="7"/>
  <c r="AR81" i="7"/>
  <c r="BD81" i="7"/>
  <c r="BG81" i="7"/>
  <c r="BM81" i="7"/>
  <c r="BP81" i="7"/>
  <c r="W88" i="7"/>
  <c r="AI88" i="7"/>
  <c r="AL88" i="7"/>
  <c r="Z88" i="7"/>
  <c r="AU88" i="7"/>
  <c r="AC88" i="7"/>
  <c r="AO88" i="7"/>
  <c r="AX88" i="7"/>
  <c r="BM88" i="7"/>
  <c r="BP88" i="7"/>
  <c r="BA88" i="7"/>
  <c r="AR88" i="7"/>
  <c r="BD88" i="7"/>
  <c r="BG88" i="7"/>
  <c r="AF88" i="7"/>
  <c r="BJ88" i="7"/>
  <c r="AO92" i="7"/>
  <c r="W92" i="7"/>
  <c r="AI92" i="7"/>
  <c r="AC92" i="7"/>
  <c r="AL92" i="7"/>
  <c r="AR92" i="7"/>
  <c r="Z92" i="7"/>
  <c r="AU92" i="7"/>
  <c r="AF92" i="7"/>
  <c r="BJ92" i="7"/>
  <c r="AX92" i="7"/>
  <c r="BM92" i="7"/>
  <c r="BP92" i="7"/>
  <c r="BA92" i="7"/>
  <c r="BD92" i="7"/>
  <c r="BG92" i="7"/>
  <c r="Z98" i="7"/>
  <c r="AC98" i="7"/>
  <c r="AO98" i="7"/>
  <c r="W98" i="7"/>
  <c r="AI98" i="7"/>
  <c r="AF98" i="7"/>
  <c r="BJ98" i="7"/>
  <c r="BA98" i="7"/>
  <c r="AL98" i="7"/>
  <c r="AR98" i="7"/>
  <c r="BD98" i="7"/>
  <c r="BG98" i="7"/>
  <c r="AX98" i="7"/>
  <c r="BM98" i="7"/>
  <c r="BP98" i="7"/>
  <c r="AU98" i="7"/>
  <c r="AC111" i="7"/>
  <c r="W111" i="7"/>
  <c r="AI111" i="7"/>
  <c r="AL111" i="7"/>
  <c r="Z111" i="7"/>
  <c r="AU111" i="7"/>
  <c r="AO111" i="7"/>
  <c r="AX111" i="7"/>
  <c r="AR111" i="7"/>
  <c r="BM111" i="7"/>
  <c r="BP111" i="7"/>
  <c r="AF111" i="7"/>
  <c r="BJ111" i="7"/>
  <c r="BD111" i="7"/>
  <c r="BG111" i="7"/>
  <c r="BA111" i="7"/>
  <c r="AU113" i="7"/>
  <c r="AF113" i="7"/>
  <c r="AR113" i="7"/>
  <c r="W113" i="7"/>
  <c r="Z113" i="7"/>
  <c r="AI113" i="7"/>
  <c r="AC113" i="7"/>
  <c r="BD113" i="7"/>
  <c r="AO113" i="7"/>
  <c r="AL113" i="7"/>
  <c r="BP113" i="7"/>
  <c r="AX113" i="7"/>
  <c r="BA113" i="7"/>
  <c r="BM113" i="7"/>
  <c r="BG113" i="7"/>
  <c r="BJ113" i="7"/>
  <c r="AI126" i="7"/>
  <c r="AR126" i="7"/>
  <c r="Z126" i="7"/>
  <c r="AL126" i="7"/>
  <c r="W126" i="7"/>
  <c r="AF126" i="7"/>
  <c r="AC126" i="7"/>
  <c r="BG126" i="7"/>
  <c r="AX126" i="7"/>
  <c r="AO126" i="7"/>
  <c r="AU126" i="7"/>
  <c r="BA126" i="7"/>
  <c r="BD126" i="7"/>
  <c r="BP126" i="7"/>
  <c r="BJ126" i="7"/>
  <c r="BM126" i="7"/>
  <c r="W135" i="7"/>
  <c r="AF135" i="7"/>
  <c r="AR135" i="7"/>
  <c r="AI135" i="7"/>
  <c r="Z135" i="7"/>
  <c r="AC135" i="7"/>
  <c r="AO135" i="7"/>
  <c r="AL135" i="7"/>
  <c r="BP135" i="7"/>
  <c r="AU135" i="7"/>
  <c r="BD135" i="7"/>
  <c r="BM135" i="7"/>
  <c r="BG135" i="7"/>
  <c r="BJ135" i="7"/>
  <c r="AX135" i="7"/>
  <c r="BA135" i="7"/>
  <c r="AU139" i="7"/>
  <c r="W139" i="7"/>
  <c r="AF139" i="7"/>
  <c r="AR139" i="7"/>
  <c r="AI139" i="7"/>
  <c r="Z139" i="7"/>
  <c r="AC139" i="7"/>
  <c r="BD139" i="7"/>
  <c r="AO139" i="7"/>
  <c r="AL139" i="7"/>
  <c r="BP139" i="7"/>
  <c r="AX139" i="7"/>
  <c r="BA139" i="7"/>
  <c r="BM139" i="7"/>
  <c r="BG139" i="7"/>
  <c r="BJ139" i="7"/>
  <c r="M154" i="7"/>
  <c r="AU154" i="7"/>
  <c r="BP154" i="7"/>
  <c r="BM154" i="7"/>
  <c r="BJ154" i="7"/>
  <c r="BD154" i="7"/>
  <c r="BA154" i="7"/>
  <c r="BG154" i="7"/>
  <c r="AL154" i="7"/>
  <c r="AC154" i="7"/>
  <c r="Z154" i="7"/>
  <c r="W154" i="7"/>
  <c r="T154" i="7"/>
  <c r="Q154" i="7"/>
  <c r="K81" i="7"/>
  <c r="K88" i="7"/>
  <c r="K92" i="7"/>
  <c r="K98" i="7"/>
  <c r="K103" i="7"/>
  <c r="K111" i="7"/>
  <c r="K117" i="7"/>
  <c r="K125" i="7"/>
  <c r="K132" i="7"/>
  <c r="K137" i="7"/>
  <c r="K17" i="7"/>
  <c r="K21" i="7"/>
  <c r="K25" i="7"/>
  <c r="K29" i="7"/>
  <c r="K34" i="7"/>
  <c r="K38" i="7"/>
  <c r="K44" i="7"/>
  <c r="K48" i="7"/>
  <c r="K52" i="7"/>
  <c r="K56" i="7"/>
  <c r="K61" i="7"/>
  <c r="K68" i="7"/>
  <c r="K72" i="7"/>
  <c r="N18" i="7"/>
  <c r="N22" i="7"/>
  <c r="N26" i="7"/>
  <c r="N30" i="7"/>
  <c r="N35" i="7"/>
  <c r="N39" i="7"/>
  <c r="N45" i="7"/>
  <c r="N49" i="7"/>
  <c r="N53" i="7"/>
  <c r="N57" i="7"/>
  <c r="N62" i="7"/>
  <c r="N69" i="7"/>
  <c r="N73" i="7"/>
  <c r="T119" i="7"/>
  <c r="Q113" i="7"/>
  <c r="N122" i="7"/>
  <c r="T98" i="7"/>
  <c r="T73" i="7"/>
  <c r="T53" i="7"/>
  <c r="T35" i="7"/>
  <c r="T18" i="7"/>
  <c r="Q104" i="7"/>
  <c r="Q31" i="7"/>
  <c r="T16" i="7"/>
  <c r="T68" i="7"/>
  <c r="T29" i="7"/>
  <c r="Q111" i="7"/>
  <c r="Q88" i="7"/>
  <c r="Q62" i="7"/>
  <c r="Q26" i="7"/>
  <c r="N132" i="7"/>
  <c r="N103" i="7"/>
  <c r="N81" i="7"/>
  <c r="T89" i="7"/>
  <c r="T46" i="7"/>
  <c r="Q64" i="7"/>
  <c r="N139" i="7"/>
  <c r="T135" i="7"/>
  <c r="T107" i="7"/>
  <c r="T84" i="7"/>
  <c r="T60" i="7"/>
  <c r="Q128" i="7"/>
  <c r="Q101" i="7"/>
  <c r="Q56" i="7"/>
  <c r="Q38" i="7"/>
  <c r="Q21" i="7"/>
  <c r="N124" i="7"/>
  <c r="N97" i="7"/>
  <c r="Q100" i="7"/>
  <c r="Q51" i="7"/>
  <c r="N135" i="7"/>
  <c r="Q119" i="7"/>
  <c r="Q50" i="7"/>
  <c r="N126" i="7"/>
  <c r="W85" i="7"/>
  <c r="AC85" i="7"/>
  <c r="AF85" i="7"/>
  <c r="AO85" i="7"/>
  <c r="AR85" i="7"/>
  <c r="Z85" i="7"/>
  <c r="BA85" i="7"/>
  <c r="AL85" i="7"/>
  <c r="AI85" i="7"/>
  <c r="BM85" i="7"/>
  <c r="BD85" i="7"/>
  <c r="AX85" i="7"/>
  <c r="AU85" i="7"/>
  <c r="BG85" i="7"/>
  <c r="BJ85" i="7"/>
  <c r="BP85" i="7"/>
  <c r="AL91" i="7"/>
  <c r="W91" i="7"/>
  <c r="AC91" i="7"/>
  <c r="AF91" i="7"/>
  <c r="AO91" i="7"/>
  <c r="AR91" i="7"/>
  <c r="Z91" i="7"/>
  <c r="BA91" i="7"/>
  <c r="BP91" i="7"/>
  <c r="BD91" i="7"/>
  <c r="AX91" i="7"/>
  <c r="AU91" i="7"/>
  <c r="BG91" i="7"/>
  <c r="BJ91" i="7"/>
  <c r="AI91" i="7"/>
  <c r="BM91" i="7"/>
  <c r="AR94" i="7"/>
  <c r="AI94" i="7"/>
  <c r="AU94" i="7"/>
  <c r="AL94" i="7"/>
  <c r="AF94" i="7"/>
  <c r="AC94" i="7"/>
  <c r="BG94" i="7"/>
  <c r="AX94" i="7"/>
  <c r="Z94" i="7"/>
  <c r="W94" i="7"/>
  <c r="AO94" i="7"/>
  <c r="BA94" i="7"/>
  <c r="BD94" i="7"/>
  <c r="BP94" i="7"/>
  <c r="BJ94" i="7"/>
  <c r="BM94" i="7"/>
  <c r="Z99" i="7"/>
  <c r="AR99" i="7"/>
  <c r="AI99" i="7"/>
  <c r="W99" i="7"/>
  <c r="AU99" i="7"/>
  <c r="AL99" i="7"/>
  <c r="AF99" i="7"/>
  <c r="AC99" i="7"/>
  <c r="BG99" i="7"/>
  <c r="AX99" i="7"/>
  <c r="BA99" i="7"/>
  <c r="BD99" i="7"/>
  <c r="BP99" i="7"/>
  <c r="AO99" i="7"/>
  <c r="BJ99" i="7"/>
  <c r="BM99" i="7"/>
  <c r="AU112" i="7"/>
  <c r="W112" i="7"/>
  <c r="AI112" i="7"/>
  <c r="AL112" i="7"/>
  <c r="AF112" i="7"/>
  <c r="Z112" i="7"/>
  <c r="AO112" i="7"/>
  <c r="AR112" i="7"/>
  <c r="AX112" i="7"/>
  <c r="BP112" i="7"/>
  <c r="BJ112" i="7"/>
  <c r="BM112" i="7"/>
  <c r="AC112" i="7"/>
  <c r="BG112" i="7"/>
  <c r="BA112" i="7"/>
  <c r="BD112" i="7"/>
  <c r="AL116" i="7"/>
  <c r="W116" i="7"/>
  <c r="AC116" i="7"/>
  <c r="AF116" i="7"/>
  <c r="AO116" i="7"/>
  <c r="AU116" i="7"/>
  <c r="AR116" i="7"/>
  <c r="Z116" i="7"/>
  <c r="BA116" i="7"/>
  <c r="BP116" i="7"/>
  <c r="AI116" i="7"/>
  <c r="BM116" i="7"/>
  <c r="AX116" i="7"/>
  <c r="BG116" i="7"/>
  <c r="BJ116" i="7"/>
  <c r="BD116" i="7"/>
  <c r="Z125" i="7"/>
  <c r="AO125" i="7"/>
  <c r="W125" i="7"/>
  <c r="AC125" i="7"/>
  <c r="AI125" i="7"/>
  <c r="AF125" i="7"/>
  <c r="AU125" i="7"/>
  <c r="BJ125" i="7"/>
  <c r="BA125" i="7"/>
  <c r="AL125" i="7"/>
  <c r="AR125" i="7"/>
  <c r="AX125" i="7"/>
  <c r="BD125" i="7"/>
  <c r="BG125" i="7"/>
  <c r="BM125" i="7"/>
  <c r="BP125" i="7"/>
  <c r="Z127" i="7"/>
  <c r="AC127" i="7"/>
  <c r="AO127" i="7"/>
  <c r="AU127" i="7"/>
  <c r="W127" i="7"/>
  <c r="AF127" i="7"/>
  <c r="AR127" i="7"/>
  <c r="AI127" i="7"/>
  <c r="BG127" i="7"/>
  <c r="BJ127" i="7"/>
  <c r="AL127" i="7"/>
  <c r="BP127" i="7"/>
  <c r="AX127" i="7"/>
  <c r="BA127" i="7"/>
  <c r="BD127" i="7"/>
  <c r="BM127" i="7"/>
  <c r="AF134" i="7"/>
  <c r="W134" i="7"/>
  <c r="AI134" i="7"/>
  <c r="Z134" i="7"/>
  <c r="AR134" i="7"/>
  <c r="AL134" i="7"/>
  <c r="BJ134" i="7"/>
  <c r="BM134" i="7"/>
  <c r="AX134" i="7"/>
  <c r="AO134" i="7"/>
  <c r="AU134" i="7"/>
  <c r="BA134" i="7"/>
  <c r="BD134" i="7"/>
  <c r="AC134" i="7"/>
  <c r="BG134" i="7"/>
  <c r="BP134" i="7"/>
  <c r="AL138" i="7"/>
  <c r="W138" i="7"/>
  <c r="AF138" i="7"/>
  <c r="AI138" i="7"/>
  <c r="AO138" i="7"/>
  <c r="AU138" i="7"/>
  <c r="Z138" i="7"/>
  <c r="AR138" i="7"/>
  <c r="AC138" i="7"/>
  <c r="BG138" i="7"/>
  <c r="BP138" i="7"/>
  <c r="BJ138" i="7"/>
  <c r="BM138" i="7"/>
  <c r="AX138" i="7"/>
  <c r="BA138" i="7"/>
  <c r="BD138" i="7"/>
  <c r="K76" i="7"/>
  <c r="K83" i="7"/>
  <c r="K89" i="7"/>
  <c r="K94" i="7"/>
  <c r="K99" i="7"/>
  <c r="K104" i="7"/>
  <c r="K112" i="7"/>
  <c r="K119" i="7"/>
  <c r="K126" i="7"/>
  <c r="K134" i="7"/>
  <c r="K138" i="7"/>
  <c r="K18" i="7"/>
  <c r="K22" i="7"/>
  <c r="K26" i="7"/>
  <c r="K30" i="7"/>
  <c r="K35" i="7"/>
  <c r="K39" i="7"/>
  <c r="K45" i="7"/>
  <c r="K49" i="7"/>
  <c r="K53" i="7"/>
  <c r="K57" i="7"/>
  <c r="K62" i="7"/>
  <c r="K69" i="7"/>
  <c r="K73" i="7"/>
  <c r="N19" i="7"/>
  <c r="N23" i="7"/>
  <c r="N27" i="7"/>
  <c r="N31" i="7"/>
  <c r="N36" i="7"/>
  <c r="N42" i="7"/>
  <c r="N46" i="7"/>
  <c r="N50" i="7"/>
  <c r="N54" i="7"/>
  <c r="N59" i="7"/>
  <c r="N63" i="7"/>
  <c r="N70" i="7"/>
  <c r="N16" i="7"/>
  <c r="T99" i="7"/>
  <c r="Q71" i="7"/>
  <c r="T92" i="7"/>
  <c r="Q138" i="7"/>
  <c r="Q99" i="7"/>
  <c r="Q19" i="7"/>
  <c r="T136" i="7"/>
  <c r="T110" i="7"/>
  <c r="T85" i="7"/>
  <c r="T44" i="7"/>
  <c r="Q81" i="7"/>
  <c r="Q57" i="7"/>
  <c r="N125" i="7"/>
  <c r="N98" i="7"/>
  <c r="T83" i="7"/>
  <c r="T36" i="7"/>
  <c r="Q107" i="7"/>
  <c r="Q55" i="7"/>
  <c r="N127" i="7"/>
  <c r="Q112" i="7"/>
  <c r="T127" i="7"/>
  <c r="T37" i="7"/>
  <c r="Q72" i="7"/>
  <c r="N116" i="7"/>
  <c r="N91" i="7"/>
  <c r="T134" i="7"/>
  <c r="N113" i="7"/>
  <c r="Z31" i="7"/>
  <c r="W31" i="7"/>
  <c r="AX31" i="7"/>
  <c r="AI31" i="7"/>
  <c r="AU31" i="7"/>
  <c r="AL31" i="7"/>
  <c r="AF31" i="7"/>
  <c r="AC31" i="7"/>
  <c r="BG31" i="7"/>
  <c r="AR31" i="7"/>
  <c r="AO31" i="7"/>
  <c r="BA31" i="7"/>
  <c r="BD31" i="7"/>
  <c r="BP31" i="7"/>
  <c r="BJ31" i="7"/>
  <c r="BM31" i="7"/>
  <c r="AF43" i="7"/>
  <c r="AR43" i="7"/>
  <c r="AI43" i="7"/>
  <c r="AC43" i="7"/>
  <c r="AU43" i="7"/>
  <c r="Z43" i="7"/>
  <c r="AO43" i="7"/>
  <c r="AX43" i="7"/>
  <c r="AL43" i="7"/>
  <c r="BP43" i="7"/>
  <c r="BG43" i="7"/>
  <c r="W43" i="7"/>
  <c r="BD43" i="7"/>
  <c r="BM43" i="7"/>
  <c r="BJ43" i="7"/>
  <c r="BA43" i="7"/>
  <c r="AC45" i="7"/>
  <c r="W45" i="7"/>
  <c r="AI45" i="7"/>
  <c r="AL45" i="7"/>
  <c r="AU45" i="7"/>
  <c r="Z45" i="7"/>
  <c r="AO45" i="7"/>
  <c r="AX45" i="7"/>
  <c r="BM45" i="7"/>
  <c r="BP45" i="7"/>
  <c r="BA45" i="7"/>
  <c r="AR45" i="7"/>
  <c r="BD45" i="7"/>
  <c r="BG45" i="7"/>
  <c r="AF45" i="7"/>
  <c r="BJ45" i="7"/>
  <c r="Z49" i="7"/>
  <c r="AO49" i="7"/>
  <c r="AC49" i="7"/>
  <c r="W49" i="7"/>
  <c r="AI49" i="7"/>
  <c r="AL49" i="7"/>
  <c r="AR49" i="7"/>
  <c r="AU49" i="7"/>
  <c r="AF49" i="7"/>
  <c r="BJ49" i="7"/>
  <c r="AX49" i="7"/>
  <c r="BM49" i="7"/>
  <c r="BP49" i="7"/>
  <c r="BA49" i="7"/>
  <c r="BD49" i="7"/>
  <c r="BG49" i="7"/>
  <c r="AI63" i="7"/>
  <c r="AU63" i="7"/>
  <c r="AL63" i="7"/>
  <c r="W63" i="7"/>
  <c r="AF63" i="7"/>
  <c r="AO63" i="7"/>
  <c r="Z63" i="7"/>
  <c r="AR63" i="7"/>
  <c r="AX63" i="7"/>
  <c r="BP63" i="7"/>
  <c r="BJ63" i="7"/>
  <c r="BM63" i="7"/>
  <c r="AC63" i="7"/>
  <c r="BG63" i="7"/>
  <c r="BA63" i="7"/>
  <c r="BD63" i="7"/>
  <c r="Z22" i="7"/>
  <c r="AL22" i="7"/>
  <c r="AU22" i="7"/>
  <c r="AO22" i="7"/>
  <c r="W22" i="7"/>
  <c r="AC22" i="7"/>
  <c r="AI22" i="7"/>
  <c r="AF22" i="7"/>
  <c r="BJ22" i="7"/>
  <c r="BA22" i="7"/>
  <c r="BD22" i="7"/>
  <c r="BG22" i="7"/>
  <c r="AR22" i="7"/>
  <c r="AX22" i="7"/>
  <c r="BM22" i="7"/>
  <c r="BP22" i="7"/>
  <c r="Z24" i="7"/>
  <c r="AF24" i="7"/>
  <c r="AR24" i="7"/>
  <c r="AX24" i="7"/>
  <c r="W24" i="7"/>
  <c r="AI24" i="7"/>
  <c r="AC24" i="7"/>
  <c r="AU24" i="7"/>
  <c r="AO24" i="7"/>
  <c r="AL24" i="7"/>
  <c r="BP24" i="7"/>
  <c r="BG24" i="7"/>
  <c r="BM24" i="7"/>
  <c r="BJ24" i="7"/>
  <c r="BD24" i="7"/>
  <c r="BA24" i="7"/>
  <c r="AC30" i="7"/>
  <c r="AO30" i="7"/>
  <c r="Z30" i="7"/>
  <c r="W30" i="7"/>
  <c r="AI30" i="7"/>
  <c r="AL30" i="7"/>
  <c r="AR30" i="7"/>
  <c r="AX30" i="7"/>
  <c r="AU30" i="7"/>
  <c r="BA30" i="7"/>
  <c r="BM30" i="7"/>
  <c r="BP30" i="7"/>
  <c r="AF30" i="7"/>
  <c r="BJ30" i="7"/>
  <c r="BD30" i="7"/>
  <c r="BG30" i="7"/>
  <c r="AI37" i="7"/>
  <c r="AC37" i="7"/>
  <c r="AU37" i="7"/>
  <c r="Z37" i="7"/>
  <c r="AO37" i="7"/>
  <c r="W37" i="7"/>
  <c r="AF37" i="7"/>
  <c r="AR37" i="7"/>
  <c r="AX37" i="7"/>
  <c r="BG37" i="7"/>
  <c r="BJ37" i="7"/>
  <c r="AL37" i="7"/>
  <c r="BP37" i="7"/>
  <c r="BA37" i="7"/>
  <c r="BD37" i="7"/>
  <c r="BM37" i="7"/>
  <c r="AC39" i="7"/>
  <c r="AL39" i="7"/>
  <c r="AU39" i="7"/>
  <c r="Z39" i="7"/>
  <c r="AO39" i="7"/>
  <c r="AX39" i="7"/>
  <c r="W39" i="7"/>
  <c r="AI39" i="7"/>
  <c r="AF39" i="7"/>
  <c r="BJ39" i="7"/>
  <c r="BA39" i="7"/>
  <c r="AR39" i="7"/>
  <c r="BD39" i="7"/>
  <c r="BG39" i="7"/>
  <c r="BM39" i="7"/>
  <c r="BP39" i="7"/>
  <c r="AF42" i="7"/>
  <c r="W42" i="7"/>
  <c r="Z42" i="7"/>
  <c r="AR42" i="7"/>
  <c r="AI42" i="7"/>
  <c r="AU42" i="7"/>
  <c r="AL42" i="7"/>
  <c r="BJ42" i="7"/>
  <c r="BM42" i="7"/>
  <c r="AX42" i="7"/>
  <c r="AO42" i="7"/>
  <c r="BA42" i="7"/>
  <c r="BD42" i="7"/>
  <c r="AC42" i="7"/>
  <c r="BG42" i="7"/>
  <c r="BP42" i="7"/>
  <c r="W46" i="7"/>
  <c r="AI46" i="7"/>
  <c r="AU46" i="7"/>
  <c r="AL46" i="7"/>
  <c r="AF46" i="7"/>
  <c r="AR46" i="7"/>
  <c r="AO46" i="7"/>
  <c r="Z46" i="7"/>
  <c r="AC46" i="7"/>
  <c r="BG46" i="7"/>
  <c r="BP46" i="7"/>
  <c r="BJ46" i="7"/>
  <c r="BM46" i="7"/>
  <c r="AX46" i="7"/>
  <c r="BA46" i="7"/>
  <c r="BD46" i="7"/>
  <c r="AL48" i="7"/>
  <c r="Z48" i="7"/>
  <c r="AF48" i="7"/>
  <c r="W48" i="7"/>
  <c r="AC48" i="7"/>
  <c r="AO48" i="7"/>
  <c r="AR48" i="7"/>
  <c r="BA48" i="7"/>
  <c r="BP48" i="7"/>
  <c r="BD48" i="7"/>
  <c r="AX48" i="7"/>
  <c r="AU48" i="7"/>
  <c r="BG48" i="7"/>
  <c r="BJ48" i="7"/>
  <c r="AI48" i="7"/>
  <c r="BM48" i="7"/>
  <c r="AR52" i="7"/>
  <c r="AL52" i="7"/>
  <c r="Z52" i="7"/>
  <c r="AF52" i="7"/>
  <c r="AU52" i="7"/>
  <c r="W52" i="7"/>
  <c r="AC52" i="7"/>
  <c r="AO52" i="7"/>
  <c r="AI52" i="7"/>
  <c r="BM52" i="7"/>
  <c r="BA52" i="7"/>
  <c r="BP52" i="7"/>
  <c r="BD52" i="7"/>
  <c r="AX52" i="7"/>
  <c r="BG52" i="7"/>
  <c r="BJ52" i="7"/>
  <c r="AI55" i="7"/>
  <c r="AC55" i="7"/>
  <c r="AU55" i="7"/>
  <c r="Z55" i="7"/>
  <c r="AO55" i="7"/>
  <c r="W55" i="7"/>
  <c r="AF55" i="7"/>
  <c r="AR55" i="7"/>
  <c r="AL55" i="7"/>
  <c r="BP55" i="7"/>
  <c r="BJ55" i="7"/>
  <c r="BD55" i="7"/>
  <c r="BG55" i="7"/>
  <c r="AX55" i="7"/>
  <c r="BA55" i="7"/>
  <c r="BM55" i="7"/>
  <c r="AF59" i="7"/>
  <c r="W59" i="7"/>
  <c r="Z59" i="7"/>
  <c r="AR59" i="7"/>
  <c r="AI59" i="7"/>
  <c r="AU59" i="7"/>
  <c r="AL59" i="7"/>
  <c r="AO59" i="7"/>
  <c r="BJ59" i="7"/>
  <c r="BM59" i="7"/>
  <c r="AC59" i="7"/>
  <c r="BG59" i="7"/>
  <c r="BA59" i="7"/>
  <c r="BD59" i="7"/>
  <c r="AX59" i="7"/>
  <c r="BP59" i="7"/>
  <c r="W61" i="7"/>
  <c r="AC61" i="7"/>
  <c r="AO61" i="7"/>
  <c r="AR61" i="7"/>
  <c r="Z61" i="7"/>
  <c r="BA61" i="7"/>
  <c r="AF61" i="7"/>
  <c r="AL61" i="7"/>
  <c r="AI61" i="7"/>
  <c r="BM61" i="7"/>
  <c r="BD61" i="7"/>
  <c r="AX61" i="7"/>
  <c r="BG61" i="7"/>
  <c r="BJ61" i="7"/>
  <c r="AU61" i="7"/>
  <c r="BP61" i="7"/>
  <c r="Z70" i="7"/>
  <c r="AR70" i="7"/>
  <c r="AI70" i="7"/>
  <c r="AU70" i="7"/>
  <c r="AL70" i="7"/>
  <c r="W70" i="7"/>
  <c r="AF70" i="7"/>
  <c r="AC70" i="7"/>
  <c r="BG70" i="7"/>
  <c r="AX70" i="7"/>
  <c r="AO70" i="7"/>
  <c r="BA70" i="7"/>
  <c r="BD70" i="7"/>
  <c r="BP70" i="7"/>
  <c r="BJ70" i="7"/>
  <c r="BM70" i="7"/>
  <c r="Z76" i="7"/>
  <c r="W76" i="7"/>
  <c r="AR76" i="7"/>
  <c r="AI76" i="7"/>
  <c r="AU76" i="7"/>
  <c r="AL76" i="7"/>
  <c r="AF76" i="7"/>
  <c r="AC76" i="7"/>
  <c r="BG76" i="7"/>
  <c r="AX76" i="7"/>
  <c r="AO76" i="7"/>
  <c r="BA76" i="7"/>
  <c r="BD76" i="7"/>
  <c r="BP76" i="7"/>
  <c r="BJ76" i="7"/>
  <c r="BM76" i="7"/>
  <c r="AF84" i="7"/>
  <c r="AR84" i="7"/>
  <c r="W84" i="7"/>
  <c r="AI84" i="7"/>
  <c r="AC84" i="7"/>
  <c r="AU84" i="7"/>
  <c r="Z84" i="7"/>
  <c r="AO84" i="7"/>
  <c r="AL84" i="7"/>
  <c r="BP84" i="7"/>
  <c r="BD84" i="7"/>
  <c r="BM84" i="7"/>
  <c r="BG84" i="7"/>
  <c r="BJ84" i="7"/>
  <c r="AX84" i="7"/>
  <c r="BA84" i="7"/>
  <c r="AF90" i="7"/>
  <c r="AR90" i="7"/>
  <c r="AI90" i="7"/>
  <c r="AC90" i="7"/>
  <c r="AU90" i="7"/>
  <c r="BD90" i="7"/>
  <c r="W90" i="7"/>
  <c r="Z90" i="7"/>
  <c r="AO90" i="7"/>
  <c r="AL90" i="7"/>
  <c r="BP90" i="7"/>
  <c r="AX90" i="7"/>
  <c r="BA90" i="7"/>
  <c r="BM90" i="7"/>
  <c r="BG90" i="7"/>
  <c r="BJ90" i="7"/>
  <c r="Z96" i="7"/>
  <c r="AO96" i="7"/>
  <c r="W96" i="7"/>
  <c r="AF96" i="7"/>
  <c r="AR96" i="7"/>
  <c r="AI96" i="7"/>
  <c r="AC96" i="7"/>
  <c r="AU96" i="7"/>
  <c r="BD96" i="7"/>
  <c r="AX96" i="7"/>
  <c r="BA96" i="7"/>
  <c r="BM96" i="7"/>
  <c r="AL96" i="7"/>
  <c r="BP96" i="7"/>
  <c r="BG96" i="7"/>
  <c r="BJ96" i="7"/>
  <c r="W100" i="7"/>
  <c r="Z100" i="7"/>
  <c r="AI100" i="7"/>
  <c r="AC100" i="7"/>
  <c r="AU100" i="7"/>
  <c r="AO100" i="7"/>
  <c r="AF100" i="7"/>
  <c r="AR100" i="7"/>
  <c r="AL100" i="7"/>
  <c r="BP100" i="7"/>
  <c r="BG100" i="7"/>
  <c r="BJ100" i="7"/>
  <c r="BD100" i="7"/>
  <c r="AX100" i="7"/>
  <c r="BA100" i="7"/>
  <c r="BM100" i="7"/>
  <c r="AL103" i="7"/>
  <c r="Z103" i="7"/>
  <c r="AO103" i="7"/>
  <c r="AX103" i="7"/>
  <c r="W103" i="7"/>
  <c r="AC103" i="7"/>
  <c r="AI103" i="7"/>
  <c r="AF103" i="7"/>
  <c r="BJ103" i="7"/>
  <c r="BA103" i="7"/>
  <c r="AU103" i="7"/>
  <c r="BD103" i="7"/>
  <c r="BG103" i="7"/>
  <c r="AR103" i="7"/>
  <c r="BM103" i="7"/>
  <c r="BP103" i="7"/>
  <c r="W104" i="7"/>
  <c r="AF104" i="7"/>
  <c r="Z104" i="7"/>
  <c r="AR104" i="7"/>
  <c r="AI104" i="7"/>
  <c r="AU104" i="7"/>
  <c r="AL104" i="7"/>
  <c r="AO104" i="7"/>
  <c r="BJ104" i="7"/>
  <c r="BM104" i="7"/>
  <c r="AC104" i="7"/>
  <c r="BG104" i="7"/>
  <c r="BA104" i="7"/>
  <c r="BD104" i="7"/>
  <c r="AX104" i="7"/>
  <c r="BP104" i="7"/>
  <c r="AO117" i="7"/>
  <c r="W117" i="7"/>
  <c r="AI117" i="7"/>
  <c r="AL117" i="7"/>
  <c r="AR117" i="7"/>
  <c r="AC117" i="7"/>
  <c r="Z117" i="7"/>
  <c r="AU117" i="7"/>
  <c r="BA117" i="7"/>
  <c r="BM117" i="7"/>
  <c r="BP117" i="7"/>
  <c r="AF117" i="7"/>
  <c r="BJ117" i="7"/>
  <c r="AX117" i="7"/>
  <c r="BD117" i="7"/>
  <c r="BG117" i="7"/>
  <c r="AR124" i="7"/>
  <c r="Z124" i="7"/>
  <c r="AL124" i="7"/>
  <c r="W124" i="7"/>
  <c r="AC124" i="7"/>
  <c r="AF124" i="7"/>
  <c r="AO124" i="7"/>
  <c r="AU124" i="7"/>
  <c r="BD124" i="7"/>
  <c r="BP124" i="7"/>
  <c r="AI124" i="7"/>
  <c r="BM124" i="7"/>
  <c r="AX124" i="7"/>
  <c r="BA124" i="7"/>
  <c r="BG124" i="7"/>
  <c r="BJ124" i="7"/>
  <c r="AC132" i="7"/>
  <c r="AL132" i="7"/>
  <c r="Z132" i="7"/>
  <c r="AO132" i="7"/>
  <c r="AX132" i="7"/>
  <c r="W132" i="7"/>
  <c r="AI132" i="7"/>
  <c r="AF132" i="7"/>
  <c r="AU132" i="7"/>
  <c r="BJ132" i="7"/>
  <c r="BA132" i="7"/>
  <c r="AR132" i="7"/>
  <c r="BD132" i="7"/>
  <c r="BG132" i="7"/>
  <c r="BM132" i="7"/>
  <c r="BP132" i="7"/>
  <c r="W137" i="7"/>
  <c r="AI137" i="7"/>
  <c r="AC137" i="7"/>
  <c r="AL137" i="7"/>
  <c r="Z137" i="7"/>
  <c r="AO137" i="7"/>
  <c r="AX137" i="7"/>
  <c r="BM137" i="7"/>
  <c r="BP137" i="7"/>
  <c r="AU137" i="7"/>
  <c r="BA137" i="7"/>
  <c r="AR137" i="7"/>
  <c r="BD137" i="7"/>
  <c r="BG137" i="7"/>
  <c r="AF137" i="7"/>
  <c r="BJ137" i="7"/>
  <c r="J149" i="7"/>
  <c r="BP149" i="7"/>
  <c r="BM149" i="7"/>
  <c r="BJ149" i="7"/>
  <c r="BG149" i="7"/>
  <c r="BD149" i="7"/>
  <c r="BA149" i="7"/>
  <c r="AU149" i="7"/>
  <c r="AL149" i="7"/>
  <c r="AC149" i="7"/>
  <c r="Z149" i="7"/>
  <c r="W149" i="7"/>
  <c r="T149" i="7"/>
  <c r="Q149" i="7"/>
  <c r="K78" i="7"/>
  <c r="K84" i="7"/>
  <c r="K90" i="7"/>
  <c r="K96" i="7"/>
  <c r="K100" i="7"/>
  <c r="K107" i="7"/>
  <c r="K113" i="7"/>
  <c r="K122" i="7"/>
  <c r="K127" i="7"/>
  <c r="K135" i="7"/>
  <c r="K139" i="7"/>
  <c r="K19" i="7"/>
  <c r="K23" i="7"/>
  <c r="K27" i="7"/>
  <c r="K31" i="7"/>
  <c r="K36" i="7"/>
  <c r="K42" i="7"/>
  <c r="K46" i="7"/>
  <c r="K50" i="7"/>
  <c r="K54" i="7"/>
  <c r="K59" i="7"/>
  <c r="K63" i="7"/>
  <c r="K70" i="7"/>
  <c r="M148" i="7"/>
  <c r="BP148" i="7"/>
  <c r="BM148" i="7"/>
  <c r="BG148" i="7"/>
  <c r="T148" i="7"/>
  <c r="N20" i="7"/>
  <c r="N24" i="7"/>
  <c r="N28" i="7"/>
  <c r="N32" i="7"/>
  <c r="N37" i="7"/>
  <c r="N43" i="7"/>
  <c r="N47" i="7"/>
  <c r="N51" i="7"/>
  <c r="N55" i="7"/>
  <c r="N60" i="7"/>
  <c r="N64" i="7"/>
  <c r="N71" i="7"/>
  <c r="T59" i="7"/>
  <c r="T137" i="7"/>
  <c r="T111" i="7"/>
  <c r="T88" i="7"/>
  <c r="T62" i="7"/>
  <c r="T45" i="7"/>
  <c r="Q134" i="7"/>
  <c r="N112" i="7"/>
  <c r="Q125" i="7"/>
  <c r="Q98" i="7"/>
  <c r="N117" i="7"/>
  <c r="N92" i="7"/>
  <c r="T126" i="7"/>
  <c r="T70" i="7"/>
  <c r="Q96" i="7"/>
  <c r="Q43" i="7"/>
  <c r="Q94" i="7"/>
  <c r="Q42" i="7"/>
  <c r="N99" i="7"/>
  <c r="T96" i="7"/>
  <c r="Q16" i="7"/>
  <c r="Q116" i="7"/>
  <c r="Q91" i="7"/>
  <c r="Q68" i="7"/>
  <c r="Q48" i="7"/>
  <c r="N85" i="7"/>
  <c r="T104" i="7"/>
  <c r="T50" i="7"/>
  <c r="Q135" i="7"/>
  <c r="Q28" i="7"/>
  <c r="N100" i="7"/>
  <c r="Q76" i="7"/>
  <c r="N94" i="7"/>
  <c r="AO32" i="7"/>
  <c r="W32" i="7"/>
  <c r="Z32" i="7"/>
  <c r="AF32" i="7"/>
  <c r="AR32" i="7"/>
  <c r="AX32" i="7"/>
  <c r="AI32" i="7"/>
  <c r="AC32" i="7"/>
  <c r="AU32" i="7"/>
  <c r="BD32" i="7"/>
  <c r="AL32" i="7"/>
  <c r="BP32" i="7"/>
  <c r="BA32" i="7"/>
  <c r="BM32" i="7"/>
  <c r="BG32" i="7"/>
  <c r="BJ32" i="7"/>
  <c r="AU35" i="7"/>
  <c r="AO35" i="7"/>
  <c r="Z35" i="7"/>
  <c r="W35" i="7"/>
  <c r="AC35" i="7"/>
  <c r="AI35" i="7"/>
  <c r="AF35" i="7"/>
  <c r="BJ35" i="7"/>
  <c r="BA35" i="7"/>
  <c r="AL35" i="7"/>
  <c r="AR35" i="7"/>
  <c r="AX35" i="7"/>
  <c r="BD35" i="7"/>
  <c r="BG35" i="7"/>
  <c r="BM35" i="7"/>
  <c r="BP35" i="7"/>
  <c r="AR19" i="7"/>
  <c r="AX19" i="7"/>
  <c r="Z19" i="7"/>
  <c r="AI19" i="7"/>
  <c r="W19" i="7"/>
  <c r="AU19" i="7"/>
  <c r="AL19" i="7"/>
  <c r="AF19" i="7"/>
  <c r="AC19" i="7"/>
  <c r="BG19" i="7"/>
  <c r="BA19" i="7"/>
  <c r="BD19" i="7"/>
  <c r="BP19" i="7"/>
  <c r="AO19" i="7"/>
  <c r="BJ19" i="7"/>
  <c r="BM19" i="7"/>
  <c r="AF23" i="7"/>
  <c r="AR23" i="7"/>
  <c r="AX23" i="7"/>
  <c r="Z23" i="7"/>
  <c r="W23" i="7"/>
  <c r="AI23" i="7"/>
  <c r="AU23" i="7"/>
  <c r="AL23" i="7"/>
  <c r="AO23" i="7"/>
  <c r="BJ23" i="7"/>
  <c r="BM23" i="7"/>
  <c r="AC23" i="7"/>
  <c r="BG23" i="7"/>
  <c r="BA23" i="7"/>
  <c r="BD23" i="7"/>
  <c r="BP23" i="7"/>
  <c r="W27" i="7"/>
  <c r="AI27" i="7"/>
  <c r="AU27" i="7"/>
  <c r="AL27" i="7"/>
  <c r="AF27" i="7"/>
  <c r="AR27" i="7"/>
  <c r="AO27" i="7"/>
  <c r="Z27" i="7"/>
  <c r="AX27" i="7"/>
  <c r="BP27" i="7"/>
  <c r="BJ27" i="7"/>
  <c r="BM27" i="7"/>
  <c r="AC27" i="7"/>
  <c r="BG27" i="7"/>
  <c r="BA27" i="7"/>
  <c r="BD27" i="7"/>
  <c r="Z29" i="7"/>
  <c r="AL29" i="7"/>
  <c r="AF29" i="7"/>
  <c r="AO29" i="7"/>
  <c r="W29" i="7"/>
  <c r="AC29" i="7"/>
  <c r="AR29" i="7"/>
  <c r="BA29" i="7"/>
  <c r="AU29" i="7"/>
  <c r="BP29" i="7"/>
  <c r="AI29" i="7"/>
  <c r="BM29" i="7"/>
  <c r="BG29" i="7"/>
  <c r="BJ29" i="7"/>
  <c r="AX29" i="7"/>
  <c r="BD29" i="7"/>
  <c r="AF47" i="7"/>
  <c r="AR47" i="7"/>
  <c r="AI47" i="7"/>
  <c r="AC47" i="7"/>
  <c r="AU47" i="7"/>
  <c r="BD47" i="7"/>
  <c r="Z47" i="7"/>
  <c r="W47" i="7"/>
  <c r="AO47" i="7"/>
  <c r="AL47" i="7"/>
  <c r="BP47" i="7"/>
  <c r="BG47" i="7"/>
  <c r="AX47" i="7"/>
  <c r="BA47" i="7"/>
  <c r="BM47" i="7"/>
  <c r="BJ47" i="7"/>
  <c r="AU53" i="7"/>
  <c r="Z53" i="7"/>
  <c r="AO53" i="7"/>
  <c r="W53" i="7"/>
  <c r="AI53" i="7"/>
  <c r="AF53" i="7"/>
  <c r="BJ53" i="7"/>
  <c r="BA53" i="7"/>
  <c r="AC53" i="7"/>
  <c r="AL53" i="7"/>
  <c r="AR53" i="7"/>
  <c r="BD53" i="7"/>
  <c r="BG53" i="7"/>
  <c r="AX53" i="7"/>
  <c r="BM53" i="7"/>
  <c r="BP53" i="7"/>
  <c r="Z71" i="7"/>
  <c r="W71" i="7"/>
  <c r="AO71" i="7"/>
  <c r="AF71" i="7"/>
  <c r="AR71" i="7"/>
  <c r="AI71" i="7"/>
  <c r="AC71" i="7"/>
  <c r="AU71" i="7"/>
  <c r="BD71" i="7"/>
  <c r="AL71" i="7"/>
  <c r="BP71" i="7"/>
  <c r="AX71" i="7"/>
  <c r="BA71" i="7"/>
  <c r="BM71" i="7"/>
  <c r="BG71" i="7"/>
  <c r="BJ71" i="7"/>
  <c r="Z18" i="7"/>
  <c r="AU18" i="7"/>
  <c r="AC18" i="7"/>
  <c r="AO18" i="7"/>
  <c r="W18" i="7"/>
  <c r="AI18" i="7"/>
  <c r="AF18" i="7"/>
  <c r="BJ18" i="7"/>
  <c r="BA18" i="7"/>
  <c r="AL18" i="7"/>
  <c r="AR18" i="7"/>
  <c r="AX18" i="7"/>
  <c r="BD18" i="7"/>
  <c r="BG18" i="7"/>
  <c r="BM18" i="7"/>
  <c r="BP18" i="7"/>
  <c r="AI20" i="7"/>
  <c r="AC20" i="7"/>
  <c r="AU20" i="7"/>
  <c r="AO20" i="7"/>
  <c r="W20" i="7"/>
  <c r="Z20" i="7"/>
  <c r="AF20" i="7"/>
  <c r="AR20" i="7"/>
  <c r="AX20" i="7"/>
  <c r="AL20" i="7"/>
  <c r="BP20" i="7"/>
  <c r="BJ20" i="7"/>
  <c r="BD20" i="7"/>
  <c r="BG20" i="7"/>
  <c r="BA20" i="7"/>
  <c r="BM20" i="7"/>
  <c r="W26" i="7"/>
  <c r="AI26" i="7"/>
  <c r="AL26" i="7"/>
  <c r="Z26" i="7"/>
  <c r="AU26" i="7"/>
  <c r="AC26" i="7"/>
  <c r="AO26" i="7"/>
  <c r="AR26" i="7"/>
  <c r="AX26" i="7"/>
  <c r="BM26" i="7"/>
  <c r="BP26" i="7"/>
  <c r="AF26" i="7"/>
  <c r="BJ26" i="7"/>
  <c r="BD26" i="7"/>
  <c r="BG26" i="7"/>
  <c r="BA26" i="7"/>
  <c r="AF17" i="7"/>
  <c r="AR17" i="7"/>
  <c r="Z17" i="7"/>
  <c r="AL17" i="7"/>
  <c r="AC17" i="7"/>
  <c r="AO17" i="7"/>
  <c r="AU17" i="7"/>
  <c r="W17" i="7"/>
  <c r="AI17" i="7"/>
  <c r="BM17" i="7"/>
  <c r="BA17" i="7"/>
  <c r="BP17" i="7"/>
  <c r="AX17" i="7"/>
  <c r="BD17" i="7"/>
  <c r="BG17" i="7"/>
  <c r="BJ17" i="7"/>
  <c r="W21" i="7"/>
  <c r="AC21" i="7"/>
  <c r="AR21" i="7"/>
  <c r="Z21" i="7"/>
  <c r="AL21" i="7"/>
  <c r="AI21" i="7"/>
  <c r="AX21" i="7"/>
  <c r="BM21" i="7"/>
  <c r="BD21" i="7"/>
  <c r="AF21" i="7"/>
  <c r="AO21" i="7"/>
  <c r="AU21" i="7"/>
  <c r="BG21" i="7"/>
  <c r="BJ21" i="7"/>
  <c r="BA21" i="7"/>
  <c r="BP21" i="7"/>
  <c r="AO25" i="7"/>
  <c r="W25" i="7"/>
  <c r="AC25" i="7"/>
  <c r="AF25" i="7"/>
  <c r="AR25" i="7"/>
  <c r="BA25" i="7"/>
  <c r="Z25" i="7"/>
  <c r="AL25" i="7"/>
  <c r="AI25" i="7"/>
  <c r="AX25" i="7"/>
  <c r="BM25" i="7"/>
  <c r="BD25" i="7"/>
  <c r="BG25" i="7"/>
  <c r="BJ25" i="7"/>
  <c r="AU25" i="7"/>
  <c r="BP25" i="7"/>
  <c r="AR34" i="7"/>
  <c r="Z34" i="7"/>
  <c r="AL34" i="7"/>
  <c r="AU34" i="7"/>
  <c r="AF34" i="7"/>
  <c r="W34" i="7"/>
  <c r="AC34" i="7"/>
  <c r="AO34" i="7"/>
  <c r="AX34" i="7"/>
  <c r="BD34" i="7"/>
  <c r="BP34" i="7"/>
  <c r="AI34" i="7"/>
  <c r="BM34" i="7"/>
  <c r="BA34" i="7"/>
  <c r="BG34" i="7"/>
  <c r="BJ34" i="7"/>
  <c r="Z36" i="7"/>
  <c r="AR36" i="7"/>
  <c r="AX36" i="7"/>
  <c r="AI36" i="7"/>
  <c r="AU36" i="7"/>
  <c r="AL36" i="7"/>
  <c r="W36" i="7"/>
  <c r="AF36" i="7"/>
  <c r="AC36" i="7"/>
  <c r="BG36" i="7"/>
  <c r="AO36" i="7"/>
  <c r="BA36" i="7"/>
  <c r="BD36" i="7"/>
  <c r="BP36" i="7"/>
  <c r="BJ36" i="7"/>
  <c r="BM36" i="7"/>
  <c r="AX38" i="7"/>
  <c r="W38" i="7"/>
  <c r="AC38" i="7"/>
  <c r="AF38" i="7"/>
  <c r="AO38" i="7"/>
  <c r="AR38" i="7"/>
  <c r="AL38" i="7"/>
  <c r="AI38" i="7"/>
  <c r="BM38" i="7"/>
  <c r="BD38" i="7"/>
  <c r="Z38" i="7"/>
  <c r="AU38" i="7"/>
  <c r="BA38" i="7"/>
  <c r="BG38" i="7"/>
  <c r="BJ38" i="7"/>
  <c r="BP38" i="7"/>
  <c r="W51" i="7"/>
  <c r="Z51" i="7"/>
  <c r="AO51" i="7"/>
  <c r="AF51" i="7"/>
  <c r="AR51" i="7"/>
  <c r="AI51" i="7"/>
  <c r="AC51" i="7"/>
  <c r="AU51" i="7"/>
  <c r="BD51" i="7"/>
  <c r="BG51" i="7"/>
  <c r="AX51" i="7"/>
  <c r="BA51" i="7"/>
  <c r="BM51" i="7"/>
  <c r="AL51" i="7"/>
  <c r="BP51" i="7"/>
  <c r="BJ51" i="7"/>
  <c r="W56" i="7"/>
  <c r="AC56" i="7"/>
  <c r="AO56" i="7"/>
  <c r="AF56" i="7"/>
  <c r="AR56" i="7"/>
  <c r="Z56" i="7"/>
  <c r="AL56" i="7"/>
  <c r="AI56" i="7"/>
  <c r="BM56" i="7"/>
  <c r="BD56" i="7"/>
  <c r="AU56" i="7"/>
  <c r="BG56" i="7"/>
  <c r="BJ56" i="7"/>
  <c r="BA56" i="7"/>
  <c r="BP56" i="7"/>
  <c r="AX56" i="7"/>
  <c r="AO69" i="7"/>
  <c r="AC69" i="7"/>
  <c r="W69" i="7"/>
  <c r="AI69" i="7"/>
  <c r="AL69" i="7"/>
  <c r="AR69" i="7"/>
  <c r="Z69" i="7"/>
  <c r="AU69" i="7"/>
  <c r="BA69" i="7"/>
  <c r="BM69" i="7"/>
  <c r="BP69" i="7"/>
  <c r="AF69" i="7"/>
  <c r="BJ69" i="7"/>
  <c r="AX69" i="7"/>
  <c r="BD69" i="7"/>
  <c r="BG69" i="7"/>
  <c r="AC73" i="7"/>
  <c r="Z73" i="7"/>
  <c r="AU73" i="7"/>
  <c r="AO73" i="7"/>
  <c r="W73" i="7"/>
  <c r="AI73" i="7"/>
  <c r="AF73" i="7"/>
  <c r="BJ73" i="7"/>
  <c r="BA73" i="7"/>
  <c r="AL73" i="7"/>
  <c r="AR73" i="7"/>
  <c r="AX73" i="7"/>
  <c r="BD73" i="7"/>
  <c r="BG73" i="7"/>
  <c r="BM73" i="7"/>
  <c r="BP73" i="7"/>
  <c r="Z83" i="7"/>
  <c r="AF83" i="7"/>
  <c r="AR83" i="7"/>
  <c r="W83" i="7"/>
  <c r="AI83" i="7"/>
  <c r="AU83" i="7"/>
  <c r="AL83" i="7"/>
  <c r="BJ83" i="7"/>
  <c r="BM83" i="7"/>
  <c r="AX83" i="7"/>
  <c r="AO83" i="7"/>
  <c r="BA83" i="7"/>
  <c r="BD83" i="7"/>
  <c r="AC83" i="7"/>
  <c r="BG83" i="7"/>
  <c r="BP83" i="7"/>
  <c r="AI89" i="7"/>
  <c r="AU89" i="7"/>
  <c r="AL89" i="7"/>
  <c r="Z89" i="7"/>
  <c r="AF89" i="7"/>
  <c r="W89" i="7"/>
  <c r="AO89" i="7"/>
  <c r="AR89" i="7"/>
  <c r="AC89" i="7"/>
  <c r="BG89" i="7"/>
  <c r="BP89" i="7"/>
  <c r="BJ89" i="7"/>
  <c r="BM89" i="7"/>
  <c r="AX89" i="7"/>
  <c r="BA89" i="7"/>
  <c r="BD89" i="7"/>
  <c r="AR97" i="7"/>
  <c r="Z97" i="7"/>
  <c r="AL97" i="7"/>
  <c r="AU97" i="7"/>
  <c r="W97" i="7"/>
  <c r="AC97" i="7"/>
  <c r="AF97" i="7"/>
  <c r="AO97" i="7"/>
  <c r="AI97" i="7"/>
  <c r="BM97" i="7"/>
  <c r="BA97" i="7"/>
  <c r="BP97" i="7"/>
  <c r="BD97" i="7"/>
  <c r="AX97" i="7"/>
  <c r="BG97" i="7"/>
  <c r="BJ97" i="7"/>
  <c r="W101" i="7"/>
  <c r="AC101" i="7"/>
  <c r="AF101" i="7"/>
  <c r="AO101" i="7"/>
  <c r="AR101" i="7"/>
  <c r="Z101" i="7"/>
  <c r="AL101" i="7"/>
  <c r="AI101" i="7"/>
  <c r="BM101" i="7"/>
  <c r="BD101" i="7"/>
  <c r="AU101" i="7"/>
  <c r="BG101" i="7"/>
  <c r="BJ101" i="7"/>
  <c r="BA101" i="7"/>
  <c r="BP101" i="7"/>
  <c r="AX101" i="7"/>
  <c r="AF107" i="7"/>
  <c r="AR107" i="7"/>
  <c r="W107" i="7"/>
  <c r="Z107" i="7"/>
  <c r="AI107" i="7"/>
  <c r="AC107" i="7"/>
  <c r="AU107" i="7"/>
  <c r="AO107" i="7"/>
  <c r="AL107" i="7"/>
  <c r="BP107" i="7"/>
  <c r="BM107" i="7"/>
  <c r="BG107" i="7"/>
  <c r="BJ107" i="7"/>
  <c r="BD107" i="7"/>
  <c r="AX107" i="7"/>
  <c r="BA107" i="7"/>
  <c r="W110" i="7"/>
  <c r="AC110" i="7"/>
  <c r="AF110" i="7"/>
  <c r="AO110" i="7"/>
  <c r="AR110" i="7"/>
  <c r="Z110" i="7"/>
  <c r="BA110" i="7"/>
  <c r="AL110" i="7"/>
  <c r="AI110" i="7"/>
  <c r="BM110" i="7"/>
  <c r="BD110" i="7"/>
  <c r="AX110" i="7"/>
  <c r="BG110" i="7"/>
  <c r="BJ110" i="7"/>
  <c r="AU110" i="7"/>
  <c r="BP110" i="7"/>
  <c r="Z119" i="7"/>
  <c r="AR119" i="7"/>
  <c r="AI119" i="7"/>
  <c r="AL119" i="7"/>
  <c r="AF119" i="7"/>
  <c r="AC119" i="7"/>
  <c r="BG119" i="7"/>
  <c r="AX119" i="7"/>
  <c r="W119" i="7"/>
  <c r="AO119" i="7"/>
  <c r="AU119" i="7"/>
  <c r="BA119" i="7"/>
  <c r="BD119" i="7"/>
  <c r="BP119" i="7"/>
  <c r="BJ119" i="7"/>
  <c r="BM119" i="7"/>
  <c r="AO122" i="7"/>
  <c r="AU122" i="7"/>
  <c r="AF122" i="7"/>
  <c r="W122" i="7"/>
  <c r="AR122" i="7"/>
  <c r="Z122" i="7"/>
  <c r="AI122" i="7"/>
  <c r="AC122" i="7"/>
  <c r="BD122" i="7"/>
  <c r="AL122" i="7"/>
  <c r="BP122" i="7"/>
  <c r="AX122" i="7"/>
  <c r="BA122" i="7"/>
  <c r="BM122" i="7"/>
  <c r="BG122" i="7"/>
  <c r="BJ122" i="7"/>
  <c r="W128" i="7"/>
  <c r="AC128" i="7"/>
  <c r="AF128" i="7"/>
  <c r="AO128" i="7"/>
  <c r="AU128" i="7"/>
  <c r="AR128" i="7"/>
  <c r="AL128" i="7"/>
  <c r="AI128" i="7"/>
  <c r="BM128" i="7"/>
  <c r="BD128" i="7"/>
  <c r="Z128" i="7"/>
  <c r="BA128" i="7"/>
  <c r="BG128" i="7"/>
  <c r="BJ128" i="7"/>
  <c r="BP128" i="7"/>
  <c r="AX128" i="7"/>
  <c r="W136" i="7"/>
  <c r="AC136" i="7"/>
  <c r="AF136" i="7"/>
  <c r="AO136" i="7"/>
  <c r="AU136" i="7"/>
  <c r="AR136" i="7"/>
  <c r="Z136" i="7"/>
  <c r="BA136" i="7"/>
  <c r="AL136" i="7"/>
  <c r="AI136" i="7"/>
  <c r="BM136" i="7"/>
  <c r="BD136" i="7"/>
  <c r="AX136" i="7"/>
  <c r="BG136" i="7"/>
  <c r="BJ136" i="7"/>
  <c r="BP136" i="7"/>
  <c r="J150" i="7"/>
  <c r="BM150" i="7"/>
  <c r="BG150" i="7"/>
  <c r="BP150" i="7"/>
  <c r="BJ150" i="7"/>
  <c r="BD150" i="7"/>
  <c r="BA150" i="7"/>
  <c r="AU150" i="7"/>
  <c r="AL150" i="7"/>
  <c r="AC150" i="7"/>
  <c r="Z150" i="7"/>
  <c r="W150" i="7"/>
  <c r="T150" i="7"/>
  <c r="Q150" i="7"/>
  <c r="K79" i="7"/>
  <c r="K85" i="7"/>
  <c r="K91" i="7"/>
  <c r="K97" i="7"/>
  <c r="K101" i="7"/>
  <c r="K110" i="7"/>
  <c r="K116" i="7"/>
  <c r="K124" i="7"/>
  <c r="K128" i="7"/>
  <c r="K136" i="7"/>
  <c r="K16" i="7"/>
  <c r="K20" i="7"/>
  <c r="K24" i="7"/>
  <c r="K28" i="7"/>
  <c r="K32" i="7"/>
  <c r="K37" i="7"/>
  <c r="K43" i="7"/>
  <c r="K47" i="7"/>
  <c r="K51" i="7"/>
  <c r="K55" i="7"/>
  <c r="K60" i="7"/>
  <c r="K64" i="7"/>
  <c r="K71" i="7"/>
  <c r="N17" i="7"/>
  <c r="N21" i="7"/>
  <c r="N25" i="7"/>
  <c r="N29" i="7"/>
  <c r="N34" i="7"/>
  <c r="N38" i="7"/>
  <c r="N44" i="7"/>
  <c r="N48" i="7"/>
  <c r="N52" i="7"/>
  <c r="N56" i="7"/>
  <c r="N61" i="7"/>
  <c r="N68" i="7"/>
  <c r="N72" i="7"/>
  <c r="T138" i="7"/>
  <c r="T27" i="7"/>
  <c r="Q24" i="7"/>
  <c r="T132" i="7"/>
  <c r="T103" i="7"/>
  <c r="T81" i="7"/>
  <c r="T57" i="7"/>
  <c r="T39" i="7"/>
  <c r="T22" i="7"/>
  <c r="Q126" i="7"/>
  <c r="Q54" i="7"/>
  <c r="N83" i="7"/>
  <c r="T124" i="7"/>
  <c r="T97" i="7"/>
  <c r="T72" i="7"/>
  <c r="T52" i="7"/>
  <c r="T34" i="7"/>
  <c r="T17" i="7"/>
  <c r="Q117" i="7"/>
  <c r="Q92" i="7"/>
  <c r="Q69" i="7"/>
  <c r="Q49" i="7"/>
  <c r="Q30" i="7"/>
  <c r="N137" i="7"/>
  <c r="N111" i="7"/>
  <c r="N88" i="7"/>
  <c r="T112" i="7"/>
  <c r="T54" i="7"/>
  <c r="Q139" i="7"/>
  <c r="Q84" i="7"/>
  <c r="Q32" i="7"/>
  <c r="N96" i="7"/>
  <c r="Q70" i="7"/>
  <c r="Q23" i="7"/>
  <c r="N89" i="7"/>
  <c r="T139" i="7"/>
  <c r="T113" i="7"/>
  <c r="T90" i="7"/>
  <c r="T64" i="7"/>
  <c r="T47" i="7"/>
  <c r="T28" i="7"/>
  <c r="Q136" i="7"/>
  <c r="Q110" i="7"/>
  <c r="Q85" i="7"/>
  <c r="Q61" i="7"/>
  <c r="Q44" i="7"/>
  <c r="Q25" i="7"/>
  <c r="N128" i="7"/>
  <c r="N101" i="7"/>
  <c r="T94" i="7"/>
  <c r="T42" i="7"/>
  <c r="Q122" i="7"/>
  <c r="Q60" i="7"/>
  <c r="Q20" i="7"/>
  <c r="N90" i="7"/>
  <c r="Q63" i="7"/>
  <c r="N138" i="7"/>
  <c r="N76" i="7"/>
  <c r="H108" i="7"/>
  <c r="BL108" i="7"/>
  <c r="BM108" i="7" s="1"/>
  <c r="BO108" i="7"/>
  <c r="BP108" i="7" s="1"/>
  <c r="BI108" i="7"/>
  <c r="BJ108" i="7" s="1"/>
  <c r="BF108" i="7"/>
  <c r="BG108" i="7" s="1"/>
  <c r="BC108" i="7"/>
  <c r="BD108" i="7" s="1"/>
  <c r="AZ108" i="7"/>
  <c r="BA108" i="7" s="1"/>
  <c r="AW108" i="7"/>
  <c r="AX108" i="7" s="1"/>
  <c r="AT108" i="7"/>
  <c r="AU108" i="7" s="1"/>
  <c r="AN108" i="7"/>
  <c r="AO108" i="7" s="1"/>
  <c r="AQ108" i="7"/>
  <c r="AR108" i="7" s="1"/>
  <c r="AE108" i="7"/>
  <c r="AF108" i="7" s="1"/>
  <c r="AK108" i="7"/>
  <c r="AL108" i="7" s="1"/>
  <c r="AH108" i="7"/>
  <c r="AI108" i="7" s="1"/>
  <c r="AB108" i="7"/>
  <c r="AC108" i="7" s="1"/>
  <c r="Y108" i="7"/>
  <c r="Z108" i="7" s="1"/>
  <c r="V108" i="7"/>
  <c r="W108" i="7" s="1"/>
  <c r="M108" i="7"/>
  <c r="N108" i="7" s="1"/>
  <c r="P108" i="7"/>
  <c r="Q108" i="7" s="1"/>
  <c r="S108" i="7"/>
  <c r="T108" i="7" s="1"/>
  <c r="J148" i="7"/>
  <c r="S141" i="7"/>
  <c r="J66" i="7"/>
  <c r="BL66" i="7"/>
  <c r="BO66" i="7"/>
  <c r="BI66" i="7"/>
  <c r="BF66" i="7"/>
  <c r="BC66" i="7"/>
  <c r="AZ66" i="7"/>
  <c r="AQ66" i="7"/>
  <c r="AW66" i="7"/>
  <c r="AN66" i="7"/>
  <c r="AT66" i="7"/>
  <c r="AH66" i="7"/>
  <c r="AK66" i="7"/>
  <c r="AE66" i="7"/>
  <c r="AB66" i="7"/>
  <c r="Y66" i="7"/>
  <c r="V66" i="7"/>
  <c r="S66" i="7"/>
  <c r="P66" i="7"/>
  <c r="H106" i="7"/>
  <c r="BF106" i="7"/>
  <c r="BO106" i="7"/>
  <c r="BP106" i="7" s="1"/>
  <c r="BI106" i="7"/>
  <c r="BL106" i="7"/>
  <c r="BM106" i="7" s="1"/>
  <c r="AW106" i="7"/>
  <c r="BC106" i="7"/>
  <c r="BD106" i="7" s="1"/>
  <c r="AZ106" i="7"/>
  <c r="AQ106" i="7"/>
  <c r="AR106" i="7" s="1"/>
  <c r="AT106" i="7"/>
  <c r="AN106" i="7"/>
  <c r="AO106" i="7" s="1"/>
  <c r="AH106" i="7"/>
  <c r="AE106" i="7"/>
  <c r="AF106" i="7" s="1"/>
  <c r="AB106" i="7"/>
  <c r="AK106" i="7"/>
  <c r="AL106" i="7" s="1"/>
  <c r="Y106" i="7"/>
  <c r="V106" i="7"/>
  <c r="W106" i="7" s="1"/>
  <c r="S106" i="7"/>
  <c r="P106" i="7"/>
  <c r="Q106" i="7" s="1"/>
  <c r="M106" i="7"/>
  <c r="J118" i="7"/>
  <c r="BO118" i="7"/>
  <c r="BL118" i="7"/>
  <c r="BI118" i="7"/>
  <c r="BF118" i="7"/>
  <c r="BC118" i="7"/>
  <c r="AZ118" i="7"/>
  <c r="AW118" i="7"/>
  <c r="AT118" i="7"/>
  <c r="AQ118" i="7"/>
  <c r="AN118" i="7"/>
  <c r="AE118" i="7"/>
  <c r="AK118" i="7"/>
  <c r="AH118" i="7"/>
  <c r="AB118" i="7"/>
  <c r="Y118" i="7"/>
  <c r="V118" i="7"/>
  <c r="M118" i="7"/>
  <c r="P118" i="7"/>
  <c r="S118" i="7"/>
  <c r="BI121" i="7"/>
  <c r="BJ121" i="7" s="1"/>
  <c r="BF121" i="7"/>
  <c r="BG121" i="7" s="1"/>
  <c r="BO121" i="7"/>
  <c r="BP121" i="7" s="1"/>
  <c r="BL121" i="7"/>
  <c r="BM121" i="7" s="1"/>
  <c r="AW121" i="7"/>
  <c r="AX121" i="7" s="1"/>
  <c r="AZ121" i="7"/>
  <c r="BA121" i="7" s="1"/>
  <c r="BC121" i="7"/>
  <c r="BD121" i="7" s="1"/>
  <c r="AQ121" i="7"/>
  <c r="AR121" i="7" s="1"/>
  <c r="AN121" i="7"/>
  <c r="AO121" i="7" s="1"/>
  <c r="AT121" i="7"/>
  <c r="AU121" i="7" s="1"/>
  <c r="AK121" i="7"/>
  <c r="AL121" i="7" s="1"/>
  <c r="AB121" i="7"/>
  <c r="AC121" i="7" s="1"/>
  <c r="AH121" i="7"/>
  <c r="AI121" i="7" s="1"/>
  <c r="AE121" i="7"/>
  <c r="AF121" i="7" s="1"/>
  <c r="Y121" i="7"/>
  <c r="Z121" i="7" s="1"/>
  <c r="V121" i="7"/>
  <c r="W121" i="7" s="1"/>
  <c r="S121" i="7"/>
  <c r="T121" i="7" s="1"/>
  <c r="P121" i="7"/>
  <c r="Q121" i="7" s="1"/>
  <c r="M121" i="7"/>
  <c r="N121" i="7" s="1"/>
  <c r="J123" i="7"/>
  <c r="K123" i="7" s="1"/>
  <c r="BO123" i="7"/>
  <c r="BP123" i="7" s="1"/>
  <c r="BL123" i="7"/>
  <c r="BM123" i="7" s="1"/>
  <c r="BI123" i="7"/>
  <c r="BJ123" i="7" s="1"/>
  <c r="BF123" i="7"/>
  <c r="BG123" i="7" s="1"/>
  <c r="BC123" i="7"/>
  <c r="BD123" i="7" s="1"/>
  <c r="AZ123" i="7"/>
  <c r="BA123" i="7" s="1"/>
  <c r="AT123" i="7"/>
  <c r="AU123" i="7" s="1"/>
  <c r="AW123" i="7"/>
  <c r="AX123" i="7" s="1"/>
  <c r="AQ123" i="7"/>
  <c r="AR123" i="7" s="1"/>
  <c r="AN123" i="7"/>
  <c r="AO123" i="7" s="1"/>
  <c r="AH123" i="7"/>
  <c r="AI123" i="7" s="1"/>
  <c r="AE123" i="7"/>
  <c r="AF123" i="7" s="1"/>
  <c r="AK123" i="7"/>
  <c r="AL123" i="7" s="1"/>
  <c r="AB123" i="7"/>
  <c r="AC123" i="7" s="1"/>
  <c r="Y123" i="7"/>
  <c r="Z123" i="7" s="1"/>
  <c r="V123" i="7"/>
  <c r="W123" i="7" s="1"/>
  <c r="P123" i="7"/>
  <c r="Q123" i="7" s="1"/>
  <c r="M123" i="7"/>
  <c r="N123" i="7" s="1"/>
  <c r="S123" i="7"/>
  <c r="T123" i="7" s="1"/>
  <c r="J121" i="7"/>
  <c r="K121" i="7" s="1"/>
  <c r="J58" i="7"/>
  <c r="M66" i="7"/>
  <c r="H130" i="7"/>
  <c r="J33" i="7"/>
  <c r="K33" i="7" s="1"/>
  <c r="J154" i="7"/>
  <c r="H33" i="7"/>
  <c r="BI148" i="7"/>
  <c r="BJ148" i="7" s="1"/>
  <c r="AW148" i="7"/>
  <c r="AZ148" i="7"/>
  <c r="BA148" i="7" s="1"/>
  <c r="BC148" i="7"/>
  <c r="BD148" i="7" s="1"/>
  <c r="AT148" i="7"/>
  <c r="AU148" i="7" s="1"/>
  <c r="AQ148" i="7"/>
  <c r="AN148" i="7"/>
  <c r="AK148" i="7"/>
  <c r="AL148" i="7" s="1"/>
  <c r="AH148" i="7"/>
  <c r="AB148" i="7"/>
  <c r="AC148" i="7" s="1"/>
  <c r="AE148" i="7"/>
  <c r="Y148" i="7"/>
  <c r="Z148" i="7" s="1"/>
  <c r="V148" i="7"/>
  <c r="W148" i="7" s="1"/>
  <c r="P148" i="7"/>
  <c r="Q148" i="7" s="1"/>
  <c r="P141" i="7"/>
  <c r="M65" i="7"/>
  <c r="M33" i="7"/>
  <c r="N33" i="7" s="1"/>
  <c r="M86" i="7"/>
  <c r="M130" i="7"/>
  <c r="N130" i="7" s="1"/>
  <c r="M14" i="7"/>
  <c r="M40" i="7"/>
  <c r="M58" i="7"/>
  <c r="H86" i="7"/>
  <c r="H14" i="7"/>
  <c r="Q14" i="7" s="1"/>
  <c r="H40" i="7"/>
  <c r="H66" i="7"/>
  <c r="H65" i="7" s="1"/>
  <c r="H58" i="7"/>
  <c r="J106" i="7"/>
  <c r="K106" i="7" s="1"/>
  <c r="H118" i="7"/>
  <c r="J108" i="7"/>
  <c r="K108" i="7" s="1"/>
  <c r="J40" i="7"/>
  <c r="K40" i="7" s="1"/>
  <c r="J130" i="7"/>
  <c r="J114" i="7"/>
  <c r="J14" i="7"/>
  <c r="K14" i="7" s="1"/>
  <c r="C35" i="7"/>
  <c r="C36" i="7"/>
  <c r="C37" i="7" s="1"/>
  <c r="C39" i="7" s="1"/>
  <c r="C65" i="7"/>
  <c r="C59" i="7"/>
  <c r="C60" i="7" s="1"/>
  <c r="C61" i="7" s="1"/>
  <c r="C62" i="7" s="1"/>
  <c r="C42" i="7"/>
  <c r="C43" i="7" s="1"/>
  <c r="BD58" i="7" l="1"/>
  <c r="BJ58" i="7"/>
  <c r="W58" i="7"/>
  <c r="BG58" i="7"/>
  <c r="AF58" i="7"/>
  <c r="BM58" i="7"/>
  <c r="AU58" i="7"/>
  <c r="AO58" i="7"/>
  <c r="AX58" i="7"/>
  <c r="AI58" i="7"/>
  <c r="AR58" i="7"/>
  <c r="Z58" i="7"/>
  <c r="BP58" i="7"/>
  <c r="AL58" i="7"/>
  <c r="BA58" i="7"/>
  <c r="AC58" i="7"/>
  <c r="Q118" i="7"/>
  <c r="AC118" i="7"/>
  <c r="AO118" i="7"/>
  <c r="BA118" i="7"/>
  <c r="BM118" i="7"/>
  <c r="T66" i="7"/>
  <c r="AF66" i="7"/>
  <c r="AO66" i="7"/>
  <c r="BD66" i="7"/>
  <c r="BM66" i="7"/>
  <c r="BG40" i="7"/>
  <c r="AC40" i="7"/>
  <c r="AU40" i="7"/>
  <c r="AL40" i="7"/>
  <c r="BJ40" i="7"/>
  <c r="BA40" i="7"/>
  <c r="W40" i="7"/>
  <c r="AR40" i="7"/>
  <c r="AO40" i="7"/>
  <c r="BP40" i="7"/>
  <c r="BM40" i="7"/>
  <c r="AI40" i="7"/>
  <c r="Z40" i="7"/>
  <c r="BD40" i="7"/>
  <c r="AF40" i="7"/>
  <c r="AX40" i="7"/>
  <c r="N40" i="7"/>
  <c r="W130" i="7"/>
  <c r="AF130" i="7"/>
  <c r="AX130" i="7"/>
  <c r="BJ130" i="7"/>
  <c r="AU130" i="7"/>
  <c r="BA130" i="7"/>
  <c r="BP130" i="7"/>
  <c r="BM130" i="7"/>
  <c r="AO130" i="7"/>
  <c r="AI130" i="7"/>
  <c r="AC130" i="7"/>
  <c r="BD130" i="7"/>
  <c r="AL130" i="7"/>
  <c r="AR130" i="7"/>
  <c r="Z130" i="7"/>
  <c r="BG130" i="7"/>
  <c r="K130" i="7"/>
  <c r="AR14" i="7"/>
  <c r="AX14" i="7"/>
  <c r="AF14" i="7"/>
  <c r="AL14" i="7"/>
  <c r="AU14" i="7"/>
  <c r="BM14" i="7"/>
  <c r="AO14" i="7"/>
  <c r="AI14" i="7"/>
  <c r="Z14" i="7"/>
  <c r="W14" i="7"/>
  <c r="BP14" i="7"/>
  <c r="BA14" i="7"/>
  <c r="AC14" i="7"/>
  <c r="BJ14" i="7"/>
  <c r="BG14" i="7"/>
  <c r="BD14" i="7"/>
  <c r="N14" i="7"/>
  <c r="N65" i="7"/>
  <c r="W33" i="7"/>
  <c r="BP33" i="7"/>
  <c r="AC33" i="7"/>
  <c r="BM33" i="7"/>
  <c r="BG33" i="7"/>
  <c r="AU33" i="7"/>
  <c r="AI33" i="7"/>
  <c r="AF33" i="7"/>
  <c r="AX33" i="7"/>
  <c r="AL33" i="7"/>
  <c r="BD33" i="7"/>
  <c r="Z33" i="7"/>
  <c r="BA33" i="7"/>
  <c r="BJ33" i="7"/>
  <c r="AR33" i="7"/>
  <c r="AO33" i="7"/>
  <c r="N66" i="7"/>
  <c r="N118" i="7"/>
  <c r="AI118" i="7"/>
  <c r="AR118" i="7"/>
  <c r="BD118" i="7"/>
  <c r="BP118" i="7"/>
  <c r="T106" i="7"/>
  <c r="AC106" i="7"/>
  <c r="AU106" i="7"/>
  <c r="AX106" i="7"/>
  <c r="BG106" i="7"/>
  <c r="W66" i="7"/>
  <c r="AL66" i="7"/>
  <c r="AX66" i="7"/>
  <c r="BG66" i="7"/>
  <c r="J65" i="7"/>
  <c r="K65" i="7" s="1"/>
  <c r="K66" i="7"/>
  <c r="K58" i="7"/>
  <c r="W118" i="7"/>
  <c r="AL118" i="7"/>
  <c r="AU118" i="7"/>
  <c r="BG118" i="7"/>
  <c r="K118" i="7"/>
  <c r="Z66" i="7"/>
  <c r="AI66" i="7"/>
  <c r="AR66" i="7"/>
  <c r="BJ66" i="7"/>
  <c r="T130" i="7"/>
  <c r="T33" i="7"/>
  <c r="T58" i="7"/>
  <c r="T14" i="7"/>
  <c r="T40" i="7"/>
  <c r="N58" i="7"/>
  <c r="N86" i="7"/>
  <c r="T118" i="7"/>
  <c r="Z118" i="7"/>
  <c r="AF118" i="7"/>
  <c r="AX118" i="7"/>
  <c r="BJ118" i="7"/>
  <c r="N106" i="7"/>
  <c r="Z106" i="7"/>
  <c r="AI106" i="7"/>
  <c r="BA106" i="7"/>
  <c r="BJ106" i="7"/>
  <c r="Q66" i="7"/>
  <c r="AC66" i="7"/>
  <c r="AU66" i="7"/>
  <c r="BA66" i="7"/>
  <c r="BP66" i="7"/>
  <c r="Q33" i="7"/>
  <c r="Q58" i="7"/>
  <c r="Q130" i="7"/>
  <c r="Q40" i="7"/>
  <c r="M114" i="7"/>
  <c r="AH114" i="7"/>
  <c r="AQ114" i="7"/>
  <c r="AR114" i="7" s="1"/>
  <c r="BC114" i="7"/>
  <c r="BO114" i="7"/>
  <c r="S86" i="7"/>
  <c r="T86" i="7" s="1"/>
  <c r="AB86" i="7"/>
  <c r="AC86" i="7" s="1"/>
  <c r="AT86" i="7"/>
  <c r="AU86" i="7" s="1"/>
  <c r="AW86" i="7"/>
  <c r="AX86" i="7" s="1"/>
  <c r="BF86" i="7"/>
  <c r="BG86" i="7" s="1"/>
  <c r="S65" i="7"/>
  <c r="T65" i="7" s="1"/>
  <c r="AE65" i="7"/>
  <c r="AF65" i="7" s="1"/>
  <c r="AN65" i="7"/>
  <c r="AO65" i="7" s="1"/>
  <c r="BC65" i="7"/>
  <c r="BD65" i="7" s="1"/>
  <c r="BL65" i="7"/>
  <c r="BM65" i="7" s="1"/>
  <c r="V114" i="7"/>
  <c r="W114" i="7" s="1"/>
  <c r="AK114" i="7"/>
  <c r="AT114" i="7"/>
  <c r="BF114" i="7"/>
  <c r="BG114" i="7" s="1"/>
  <c r="V86" i="7"/>
  <c r="W86" i="7" s="1"/>
  <c r="AE86" i="7"/>
  <c r="AF86" i="7" s="1"/>
  <c r="AQ86" i="7"/>
  <c r="AR86" i="7" s="1"/>
  <c r="BL86" i="7"/>
  <c r="BM86" i="7" s="1"/>
  <c r="V65" i="7"/>
  <c r="W65" i="7" s="1"/>
  <c r="AK65" i="7"/>
  <c r="AL65" i="7" s="1"/>
  <c r="AW65" i="7"/>
  <c r="AX65" i="7" s="1"/>
  <c r="BF65" i="7"/>
  <c r="BG65" i="7" s="1"/>
  <c r="S114" i="7"/>
  <c r="T114" i="7" s="1"/>
  <c r="Y114" i="7"/>
  <c r="AE114" i="7"/>
  <c r="AW114" i="7"/>
  <c r="AX114" i="7" s="1"/>
  <c r="BI114" i="7"/>
  <c r="BJ114" i="7" s="1"/>
  <c r="Y86" i="7"/>
  <c r="Z86" i="7" s="1"/>
  <c r="AH86" i="7"/>
  <c r="AI86" i="7" s="1"/>
  <c r="AZ86" i="7"/>
  <c r="BA86" i="7" s="1"/>
  <c r="BI86" i="7"/>
  <c r="BJ86" i="7" s="1"/>
  <c r="Y65" i="7"/>
  <c r="Z65" i="7" s="1"/>
  <c r="AH65" i="7"/>
  <c r="AI65" i="7" s="1"/>
  <c r="AQ65" i="7"/>
  <c r="AR65" i="7" s="1"/>
  <c r="BI65" i="7"/>
  <c r="BJ65" i="7" s="1"/>
  <c r="H114" i="7"/>
  <c r="K114" i="7" s="1"/>
  <c r="P114" i="7"/>
  <c r="AB114" i="7"/>
  <c r="AC114" i="7" s="1"/>
  <c r="AN114" i="7"/>
  <c r="AO114" i="7" s="1"/>
  <c r="AZ114" i="7"/>
  <c r="BA114" i="7" s="1"/>
  <c r="BL114" i="7"/>
  <c r="P86" i="7"/>
  <c r="Q86" i="7" s="1"/>
  <c r="AK86" i="7"/>
  <c r="AL86" i="7" s="1"/>
  <c r="AN86" i="7"/>
  <c r="AO86" i="7" s="1"/>
  <c r="BC86" i="7"/>
  <c r="BD86" i="7" s="1"/>
  <c r="BO86" i="7"/>
  <c r="BP86" i="7" s="1"/>
  <c r="P65" i="7"/>
  <c r="Q65" i="7" s="1"/>
  <c r="AB65" i="7"/>
  <c r="AC65" i="7" s="1"/>
  <c r="AT65" i="7"/>
  <c r="AU65" i="7" s="1"/>
  <c r="AZ65" i="7"/>
  <c r="BA65" i="7" s="1"/>
  <c r="BO65" i="7"/>
  <c r="BP65" i="7" s="1"/>
  <c r="M142" i="7"/>
  <c r="M141" i="7"/>
  <c r="J86" i="7"/>
  <c r="K86" i="7" s="1"/>
  <c r="H141" i="7"/>
  <c r="C48" i="7"/>
  <c r="C49" i="7" s="1"/>
  <c r="C44" i="7"/>
  <c r="C45" i="7" s="1"/>
  <c r="C46" i="7" s="1"/>
  <c r="C47" i="7" s="1"/>
  <c r="C63" i="7"/>
  <c r="C64" i="7"/>
  <c r="C86" i="7"/>
  <c r="C66" i="7"/>
  <c r="C67" i="7" s="1"/>
  <c r="C68" i="7" s="1"/>
  <c r="C69" i="7" s="1"/>
  <c r="C70" i="7" s="1"/>
  <c r="C71" i="7" s="1"/>
  <c r="C72" i="7" s="1"/>
  <c r="C73" i="7" s="1"/>
  <c r="C76" i="7" s="1"/>
  <c r="C78" i="7" s="1"/>
  <c r="C79" i="7" s="1"/>
  <c r="C81" i="7" s="1"/>
  <c r="C83" i="7" s="1"/>
  <c r="H142" i="7"/>
  <c r="BM141" i="7" l="1"/>
  <c r="AI141" i="7"/>
  <c r="BG141" i="7"/>
  <c r="BJ141" i="7"/>
  <c r="BP141" i="7"/>
  <c r="BD141" i="7"/>
  <c r="AC141" i="7"/>
  <c r="AL141" i="7"/>
  <c r="Z141" i="7"/>
  <c r="AF141" i="7"/>
  <c r="AO141" i="7"/>
  <c r="W141" i="7"/>
  <c r="AU141" i="7"/>
  <c r="AX141" i="7"/>
  <c r="BA141" i="7"/>
  <c r="AR141" i="7"/>
  <c r="BD114" i="7"/>
  <c r="N141" i="7"/>
  <c r="BM114" i="7"/>
  <c r="Q114" i="7"/>
  <c r="AF114" i="7"/>
  <c r="AU114" i="7"/>
  <c r="AI114" i="7"/>
  <c r="Q141" i="7"/>
  <c r="N142" i="7"/>
  <c r="Z114" i="7"/>
  <c r="AL114" i="7"/>
  <c r="BP114" i="7"/>
  <c r="N114" i="7"/>
  <c r="T141" i="7"/>
  <c r="AZ142" i="7"/>
  <c r="BA142" i="7" s="1"/>
  <c r="AB142" i="7"/>
  <c r="AC142" i="7" s="1"/>
  <c r="AT142" i="7"/>
  <c r="AU142" i="7" s="1"/>
  <c r="V142" i="7"/>
  <c r="W142" i="7" s="1"/>
  <c r="BC142" i="7"/>
  <c r="BD142" i="7" s="1"/>
  <c r="AH142" i="7"/>
  <c r="AI142" i="7" s="1"/>
  <c r="BI142" i="7"/>
  <c r="BJ142" i="7" s="1"/>
  <c r="AE142" i="7"/>
  <c r="AF142" i="7" s="1"/>
  <c r="S142" i="7"/>
  <c r="T142" i="7" s="1"/>
  <c r="AN142" i="7"/>
  <c r="AO142" i="7" s="1"/>
  <c r="BF142" i="7"/>
  <c r="BG142" i="7" s="1"/>
  <c r="AK142" i="7"/>
  <c r="AL142" i="7" s="1"/>
  <c r="BO142" i="7"/>
  <c r="BP142" i="7" s="1"/>
  <c r="AQ142" i="7"/>
  <c r="AR142" i="7" s="1"/>
  <c r="BL142" i="7"/>
  <c r="BM142" i="7" s="1"/>
  <c r="P142" i="7"/>
  <c r="Q142" i="7" s="1"/>
  <c r="AW142" i="7"/>
  <c r="AX142" i="7" s="1"/>
  <c r="Y142" i="7"/>
  <c r="Z142" i="7" s="1"/>
  <c r="M143" i="7"/>
  <c r="H143" i="7"/>
  <c r="H144" i="7" s="1"/>
  <c r="J142" i="7"/>
  <c r="K142" i="7" s="1"/>
  <c r="C84" i="7"/>
  <c r="C85" i="7"/>
  <c r="C88" i="7"/>
  <c r="C89" i="7" s="1"/>
  <c r="C90" i="7" s="1"/>
  <c r="C91" i="7" s="1"/>
  <c r="C92" i="7" s="1"/>
  <c r="C94" i="7" s="1"/>
  <c r="C96" i="7" s="1"/>
  <c r="C98" i="7" s="1"/>
  <c r="C101" i="7" s="1"/>
  <c r="C103" i="7" s="1"/>
  <c r="C106" i="7" s="1"/>
  <c r="C108" i="7" s="1"/>
  <c r="C110" i="7" s="1"/>
  <c r="C114" i="7"/>
  <c r="C50" i="7"/>
  <c r="C51" i="7"/>
  <c r="C52" i="7" s="1"/>
  <c r="C53" i="7" s="1"/>
  <c r="C54" i="7" s="1"/>
  <c r="C27" i="4"/>
  <c r="BN12" i="7" s="1"/>
  <c r="M144" i="7" l="1"/>
  <c r="N143" i="7"/>
  <c r="BL143" i="7"/>
  <c r="BM143" i="7" s="1"/>
  <c r="AN143" i="7"/>
  <c r="AO143" i="7" s="1"/>
  <c r="AE143" i="7"/>
  <c r="AF143" i="7" s="1"/>
  <c r="BO143" i="7"/>
  <c r="BP143" i="7" s="1"/>
  <c r="BF143" i="7"/>
  <c r="BG143" i="7" s="1"/>
  <c r="AH143" i="7"/>
  <c r="AI143" i="7" s="1"/>
  <c r="V143" i="7"/>
  <c r="W143" i="7" s="1"/>
  <c r="Y143" i="7"/>
  <c r="Z143" i="7" s="1"/>
  <c r="P143" i="7"/>
  <c r="Q143" i="7" s="1"/>
  <c r="S143" i="7"/>
  <c r="T143" i="7" s="1"/>
  <c r="BI143" i="7"/>
  <c r="BJ143" i="7" s="1"/>
  <c r="AB143" i="7"/>
  <c r="AC143" i="7" s="1"/>
  <c r="AW143" i="7"/>
  <c r="AX143" i="7" s="1"/>
  <c r="AQ143" i="7"/>
  <c r="AR143" i="7" s="1"/>
  <c r="AK143" i="7"/>
  <c r="AL143" i="7" s="1"/>
  <c r="BC143" i="7"/>
  <c r="BD143" i="7" s="1"/>
  <c r="AZ143" i="7"/>
  <c r="BA143" i="7" s="1"/>
  <c r="AT143" i="7"/>
  <c r="AU143" i="7" s="1"/>
  <c r="M146" i="7"/>
  <c r="H146" i="7"/>
  <c r="H152" i="7" s="1"/>
  <c r="H156" i="7" s="1"/>
  <c r="C120" i="7"/>
  <c r="C121" i="7" s="1"/>
  <c r="C122" i="7" s="1"/>
  <c r="C130" i="7"/>
  <c r="C132" i="7" s="1"/>
  <c r="C134" i="7" s="1"/>
  <c r="C135" i="7" s="1"/>
  <c r="C136" i="7" s="1"/>
  <c r="C137" i="7" s="1"/>
  <c r="C138" i="7" s="1"/>
  <c r="C139" i="7" s="1"/>
  <c r="C116" i="7"/>
  <c r="C117" i="7" s="1"/>
  <c r="C118" i="7" s="1"/>
  <c r="C119" i="7" s="1"/>
  <c r="L3" i="1"/>
  <c r="I5" i="5"/>
  <c r="I6" i="5"/>
  <c r="I7" i="5"/>
  <c r="I8" i="5"/>
  <c r="I9" i="5"/>
  <c r="I10" i="5"/>
  <c r="I11" i="5"/>
  <c r="I12" i="5"/>
  <c r="I13" i="5"/>
  <c r="I14" i="5"/>
  <c r="I15" i="5"/>
  <c r="I16" i="5"/>
  <c r="I17" i="5"/>
  <c r="I18" i="5"/>
  <c r="I19" i="5"/>
  <c r="I20" i="5"/>
  <c r="I21" i="5"/>
  <c r="I22" i="5"/>
  <c r="I23" i="5"/>
  <c r="I24" i="5"/>
  <c r="I25" i="5"/>
  <c r="I26" i="5"/>
  <c r="I27" i="5"/>
  <c r="I28" i="5"/>
  <c r="I29" i="5"/>
  <c r="H2" i="5"/>
  <c r="K5" i="5"/>
  <c r="K6" i="5"/>
  <c r="K7" i="5"/>
  <c r="K8" i="5"/>
  <c r="K9" i="5"/>
  <c r="K10" i="5"/>
  <c r="K11" i="5"/>
  <c r="K12" i="5"/>
  <c r="K13" i="5"/>
  <c r="K14" i="5"/>
  <c r="K15" i="5"/>
  <c r="K16" i="5"/>
  <c r="K17" i="5"/>
  <c r="K18" i="5"/>
  <c r="K19" i="5"/>
  <c r="K20" i="5"/>
  <c r="K21" i="5"/>
  <c r="K22" i="5"/>
  <c r="K23" i="5"/>
  <c r="K24" i="5"/>
  <c r="K25" i="5"/>
  <c r="K26" i="5"/>
  <c r="K27" i="5"/>
  <c r="K28" i="5"/>
  <c r="K29" i="5"/>
  <c r="M29" i="5"/>
  <c r="M28" i="5"/>
  <c r="M27" i="5"/>
  <c r="M26" i="5"/>
  <c r="M25" i="5"/>
  <c r="M24" i="5"/>
  <c r="M23" i="5"/>
  <c r="M22" i="5"/>
  <c r="M21" i="5"/>
  <c r="M20" i="5"/>
  <c r="M19" i="5"/>
  <c r="M18" i="5"/>
  <c r="M17" i="5"/>
  <c r="M16" i="5"/>
  <c r="M15" i="5"/>
  <c r="M14" i="5"/>
  <c r="M13" i="5"/>
  <c r="M12" i="5"/>
  <c r="M11" i="5"/>
  <c r="M10" i="5"/>
  <c r="M9" i="5"/>
  <c r="M8" i="5"/>
  <c r="M7" i="5"/>
  <c r="M6" i="5"/>
  <c r="M5" i="5"/>
  <c r="L2" i="5"/>
  <c r="J2" i="5"/>
  <c r="F2" i="5"/>
  <c r="C9" i="4"/>
  <c r="L12" i="7" s="1"/>
  <c r="C10" i="4"/>
  <c r="O12" i="7" s="1"/>
  <c r="C11" i="4"/>
  <c r="R12" i="7" s="1"/>
  <c r="C12" i="4"/>
  <c r="U12" i="7" s="1"/>
  <c r="C13" i="4"/>
  <c r="X12" i="7" s="1"/>
  <c r="C14" i="4"/>
  <c r="AA12" i="7" s="1"/>
  <c r="C15" i="4"/>
  <c r="AD12" i="7" s="1"/>
  <c r="C16" i="4"/>
  <c r="AG12" i="7" s="1"/>
  <c r="C17" i="4"/>
  <c r="AJ12" i="7" s="1"/>
  <c r="C18" i="4"/>
  <c r="AM12" i="7" s="1"/>
  <c r="C19" i="4"/>
  <c r="AP12" i="7" s="1"/>
  <c r="C20" i="4"/>
  <c r="AS12" i="7" s="1"/>
  <c r="C21" i="4"/>
  <c r="AV12" i="7" s="1"/>
  <c r="C22" i="4"/>
  <c r="AY12" i="7" s="1"/>
  <c r="C23" i="4"/>
  <c r="BB12" i="7" s="1"/>
  <c r="C24" i="4"/>
  <c r="BE12" i="7" s="1"/>
  <c r="C25" i="4"/>
  <c r="BH12" i="7" s="1"/>
  <c r="C26" i="4"/>
  <c r="BK12" i="7" s="1"/>
  <c r="C8" i="4"/>
  <c r="I12" i="7" s="1"/>
  <c r="Z33" i="4"/>
  <c r="U33" i="4"/>
  <c r="E29" i="5" s="1"/>
  <c r="Z32" i="4"/>
  <c r="U32" i="4"/>
  <c r="E28" i="5" s="1"/>
  <c r="J32" i="4"/>
  <c r="K32" i="4" s="1"/>
  <c r="Z31" i="4"/>
  <c r="U31" i="4"/>
  <c r="E27" i="5" s="1"/>
  <c r="J31" i="4"/>
  <c r="K31" i="4" s="1"/>
  <c r="U30" i="4"/>
  <c r="E26" i="5" s="1"/>
  <c r="J30" i="4"/>
  <c r="K30" i="4" s="1"/>
  <c r="U29" i="4"/>
  <c r="E25" i="5" s="1"/>
  <c r="U28" i="4"/>
  <c r="E24" i="5" s="1"/>
  <c r="Q12" i="4"/>
  <c r="Z7" i="4" s="1"/>
  <c r="Q11" i="4"/>
  <c r="Y7" i="4" s="1"/>
  <c r="Q10" i="4"/>
  <c r="X7" i="4" s="1"/>
  <c r="Q9" i="4"/>
  <c r="W7" i="4" s="1"/>
  <c r="Q8" i="4"/>
  <c r="V7" i="4" s="1"/>
  <c r="E5" i="4"/>
  <c r="N146" i="7" l="1"/>
  <c r="N157" i="7" s="1"/>
  <c r="D9" i="4" s="1"/>
  <c r="F9" i="4" s="1"/>
  <c r="G9" i="4" s="1"/>
  <c r="H9" i="4" s="1"/>
  <c r="U23" i="4"/>
  <c r="E19" i="5" s="1"/>
  <c r="AT144" i="7"/>
  <c r="AT146" i="7" s="1"/>
  <c r="AU146" i="7" s="1"/>
  <c r="BC144" i="7"/>
  <c r="BC146" i="7" s="1"/>
  <c r="BD146" i="7" s="1"/>
  <c r="AQ144" i="7"/>
  <c r="AQ146" i="7" s="1"/>
  <c r="AR146" i="7" s="1"/>
  <c r="AB144" i="7"/>
  <c r="AB146" i="7" s="1"/>
  <c r="AC146" i="7" s="1"/>
  <c r="S144" i="7"/>
  <c r="S146" i="7" s="1"/>
  <c r="T146" i="7" s="1"/>
  <c r="Y144" i="7"/>
  <c r="Y146" i="7" s="1"/>
  <c r="Z146" i="7" s="1"/>
  <c r="AH144" i="7"/>
  <c r="AH146" i="7" s="1"/>
  <c r="AI146" i="7" s="1"/>
  <c r="BO144" i="7"/>
  <c r="BO146" i="7" s="1"/>
  <c r="BP146" i="7" s="1"/>
  <c r="AN144" i="7"/>
  <c r="AN146" i="7" s="1"/>
  <c r="AO146" i="7" s="1"/>
  <c r="AZ144" i="7"/>
  <c r="AZ146" i="7" s="1"/>
  <c r="BA146" i="7" s="1"/>
  <c r="AK144" i="7"/>
  <c r="AK146" i="7" s="1"/>
  <c r="AL146" i="7" s="1"/>
  <c r="AW144" i="7"/>
  <c r="AW146" i="7" s="1"/>
  <c r="AX146" i="7" s="1"/>
  <c r="BI144" i="7"/>
  <c r="BI146" i="7" s="1"/>
  <c r="BJ146" i="7" s="1"/>
  <c r="P144" i="7"/>
  <c r="P146" i="7" s="1"/>
  <c r="Q146" i="7" s="1"/>
  <c r="V144" i="7"/>
  <c r="V146" i="7" s="1"/>
  <c r="W146" i="7" s="1"/>
  <c r="BF144" i="7"/>
  <c r="BF146" i="7" s="1"/>
  <c r="BG146" i="7" s="1"/>
  <c r="AE144" i="7"/>
  <c r="AE146" i="7" s="1"/>
  <c r="AF146" i="7" s="1"/>
  <c r="BL144" i="7"/>
  <c r="BL146" i="7" s="1"/>
  <c r="BM146" i="7" s="1"/>
  <c r="M152" i="7"/>
  <c r="M156" i="7" s="1"/>
  <c r="N156" i="7" s="1"/>
  <c r="C124" i="7"/>
  <c r="C123" i="7"/>
  <c r="C125" i="7" s="1"/>
  <c r="C126" i="7" s="1"/>
  <c r="C127" i="7" s="1"/>
  <c r="C128" i="7" s="1"/>
  <c r="U22" i="4"/>
  <c r="E18" i="5" s="1"/>
  <c r="U10" i="4"/>
  <c r="E6" i="5" s="1"/>
  <c r="U25" i="4"/>
  <c r="E21" i="5" s="1"/>
  <c r="U21" i="4"/>
  <c r="E17" i="5" s="1"/>
  <c r="U17" i="4"/>
  <c r="E13" i="5" s="1"/>
  <c r="U13" i="4"/>
  <c r="E9" i="5" s="1"/>
  <c r="U9" i="4"/>
  <c r="E5" i="5" s="1"/>
  <c r="U24" i="4"/>
  <c r="E20" i="5" s="1"/>
  <c r="U20" i="4"/>
  <c r="E16" i="5" s="1"/>
  <c r="U16" i="4"/>
  <c r="E12" i="5" s="1"/>
  <c r="U12" i="4"/>
  <c r="E8" i="5" s="1"/>
  <c r="U26" i="4"/>
  <c r="E22" i="5" s="1"/>
  <c r="U18" i="4"/>
  <c r="E14" i="5" s="1"/>
  <c r="U14" i="4"/>
  <c r="E10" i="5" s="1"/>
  <c r="U27" i="4"/>
  <c r="E23" i="5" s="1"/>
  <c r="U19" i="4"/>
  <c r="E15" i="5" s="1"/>
  <c r="U15" i="4"/>
  <c r="E11" i="5" s="1"/>
  <c r="U11" i="4"/>
  <c r="E7" i="5" s="1"/>
  <c r="R12" i="4"/>
  <c r="Z11" i="4" s="1"/>
  <c r="F6" i="5"/>
  <c r="F22" i="5"/>
  <c r="F15" i="5"/>
  <c r="F8" i="5"/>
  <c r="F16" i="5"/>
  <c r="F24" i="5"/>
  <c r="F17" i="5"/>
  <c r="F25" i="5"/>
  <c r="F26" i="5"/>
  <c r="F11" i="5"/>
  <c r="F19" i="5"/>
  <c r="F23" i="5"/>
  <c r="F9" i="5"/>
  <c r="F18" i="5"/>
  <c r="F10" i="5"/>
  <c r="F27" i="5"/>
  <c r="F12" i="5"/>
  <c r="F20" i="5"/>
  <c r="F28" i="5"/>
  <c r="F13" i="5"/>
  <c r="F21" i="5"/>
  <c r="F29" i="5"/>
  <c r="F14" i="5"/>
  <c r="F5" i="5"/>
  <c r="F7" i="5"/>
  <c r="Z30" i="4"/>
  <c r="Z29" i="4"/>
  <c r="R11" i="4"/>
  <c r="R10" i="4"/>
  <c r="J9" i="4" l="1"/>
  <c r="L9" i="4"/>
  <c r="Z157" i="7"/>
  <c r="D13" i="4" s="1"/>
  <c r="F13" i="4" s="1"/>
  <c r="G13" i="4" s="1"/>
  <c r="H13" i="4" s="1"/>
  <c r="L13" i="4" s="1"/>
  <c r="Y152" i="7"/>
  <c r="Y156" i="7" s="1"/>
  <c r="Z156" i="7" s="1"/>
  <c r="AB152" i="7"/>
  <c r="AB156" i="7" s="1"/>
  <c r="AC156" i="7" s="1"/>
  <c r="AC157" i="7" s="1"/>
  <c r="D14" i="4" s="1"/>
  <c r="F14" i="4" s="1"/>
  <c r="G14" i="4" s="1"/>
  <c r="H14" i="4" s="1"/>
  <c r="AH152" i="7"/>
  <c r="AH156" i="7" s="1"/>
  <c r="AI156" i="7" s="1"/>
  <c r="AI157" i="7" s="1"/>
  <c r="D16" i="4" s="1"/>
  <c r="F16" i="4" s="1"/>
  <c r="G16" i="4" s="1"/>
  <c r="H16" i="4" s="1"/>
  <c r="AQ152" i="7"/>
  <c r="AQ156" i="7" s="1"/>
  <c r="AR156" i="7" s="1"/>
  <c r="AR157" i="7" s="1"/>
  <c r="D19" i="4" s="1"/>
  <c r="F19" i="4" s="1"/>
  <c r="G19" i="4" s="1"/>
  <c r="H19" i="4" s="1"/>
  <c r="BF152" i="7"/>
  <c r="BF156" i="7" s="1"/>
  <c r="BG156" i="7" s="1"/>
  <c r="BG157" i="7" s="1"/>
  <c r="D24" i="4" s="1"/>
  <c r="F24" i="4" s="1"/>
  <c r="G24" i="4" s="1"/>
  <c r="H24" i="4" s="1"/>
  <c r="AZ152" i="7"/>
  <c r="AZ156" i="7" s="1"/>
  <c r="BA156" i="7" s="1"/>
  <c r="BA157" i="7" s="1"/>
  <c r="D22" i="4" s="1"/>
  <c r="F22" i="4" s="1"/>
  <c r="G22" i="4" s="1"/>
  <c r="H22" i="4" s="1"/>
  <c r="L22" i="4" s="1"/>
  <c r="BO152" i="7"/>
  <c r="BO156" i="7" s="1"/>
  <c r="BP156" i="7" s="1"/>
  <c r="BP157" i="7" s="1"/>
  <c r="D27" i="4" s="1"/>
  <c r="F27" i="4" s="1"/>
  <c r="G27" i="4" s="1"/>
  <c r="H27" i="4" s="1"/>
  <c r="S152" i="7"/>
  <c r="S156" i="7" s="1"/>
  <c r="T156" i="7" s="1"/>
  <c r="T157" i="7" s="1"/>
  <c r="D11" i="4" s="1"/>
  <c r="F11" i="4" s="1"/>
  <c r="G11" i="4" s="1"/>
  <c r="H11" i="4" s="1"/>
  <c r="AE152" i="7"/>
  <c r="AE156" i="7" s="1"/>
  <c r="AF156" i="7" s="1"/>
  <c r="AF157" i="7" s="1"/>
  <c r="D15" i="4" s="1"/>
  <c r="F15" i="4" s="1"/>
  <c r="G15" i="4" s="1"/>
  <c r="H15" i="4" s="1"/>
  <c r="V152" i="7"/>
  <c r="V156" i="7" s="1"/>
  <c r="W156" i="7" s="1"/>
  <c r="W157" i="7" s="1"/>
  <c r="D12" i="4" s="1"/>
  <c r="F12" i="4" s="1"/>
  <c r="G12" i="4" s="1"/>
  <c r="H12" i="4" s="1"/>
  <c r="L12" i="4" s="1"/>
  <c r="BI152" i="7"/>
  <c r="BI156" i="7" s="1"/>
  <c r="BJ156" i="7" s="1"/>
  <c r="BJ157" i="7" s="1"/>
  <c r="D25" i="4" s="1"/>
  <c r="F25" i="4" s="1"/>
  <c r="G25" i="4" s="1"/>
  <c r="H25" i="4" s="1"/>
  <c r="BC152" i="7"/>
  <c r="BC156" i="7" s="1"/>
  <c r="BD156" i="7" s="1"/>
  <c r="BD157" i="7" s="1"/>
  <c r="D23" i="4" s="1"/>
  <c r="F23" i="4" s="1"/>
  <c r="G23" i="4" s="1"/>
  <c r="H23" i="4" s="1"/>
  <c r="AK152" i="7"/>
  <c r="AK156" i="7" s="1"/>
  <c r="AL156" i="7" s="1"/>
  <c r="AL157" i="7" s="1"/>
  <c r="D17" i="4" s="1"/>
  <c r="F17" i="4" s="1"/>
  <c r="G17" i="4" s="1"/>
  <c r="H17" i="4" s="1"/>
  <c r="AN152" i="7"/>
  <c r="AN156" i="7" s="1"/>
  <c r="AO156" i="7" s="1"/>
  <c r="AO157" i="7" s="1"/>
  <c r="D18" i="4" s="1"/>
  <c r="F18" i="4" s="1"/>
  <c r="G18" i="4" s="1"/>
  <c r="H18" i="4" s="1"/>
  <c r="AT152" i="7"/>
  <c r="AT156" i="7" s="1"/>
  <c r="AU156" i="7" s="1"/>
  <c r="AU157" i="7" s="1"/>
  <c r="D20" i="4" s="1"/>
  <c r="F20" i="4" s="1"/>
  <c r="G20" i="4" s="1"/>
  <c r="H20" i="4" s="1"/>
  <c r="BL152" i="7"/>
  <c r="BL156" i="7" s="1"/>
  <c r="BM156" i="7" s="1"/>
  <c r="BM157" i="7" s="1"/>
  <c r="D26" i="4" s="1"/>
  <c r="F26" i="4" s="1"/>
  <c r="G26" i="4" s="1"/>
  <c r="H26" i="4" s="1"/>
  <c r="P152" i="7"/>
  <c r="P156" i="7" s="1"/>
  <c r="Q156" i="7" s="1"/>
  <c r="Q157" i="7" s="1"/>
  <c r="D10" i="4" s="1"/>
  <c r="F10" i="4" s="1"/>
  <c r="G10" i="4" s="1"/>
  <c r="H10" i="4" s="1"/>
  <c r="AW152" i="7"/>
  <c r="AW156" i="7" s="1"/>
  <c r="AX156" i="7" s="1"/>
  <c r="AX157" i="7" s="1"/>
  <c r="D21" i="4" s="1"/>
  <c r="F21" i="4" s="1"/>
  <c r="G21" i="4" s="1"/>
  <c r="H21" i="4" s="1"/>
  <c r="Z28" i="4"/>
  <c r="Z21" i="4"/>
  <c r="Z12" i="4"/>
  <c r="Z25" i="4"/>
  <c r="Z18" i="4"/>
  <c r="Z24" i="4"/>
  <c r="Z14" i="4"/>
  <c r="Z9" i="4"/>
  <c r="Z22" i="4"/>
  <c r="Z20" i="4"/>
  <c r="Z16" i="4"/>
  <c r="Z17" i="4"/>
  <c r="Z15" i="4"/>
  <c r="Z10" i="4"/>
  <c r="Z27" i="4"/>
  <c r="Z13" i="4"/>
  <c r="Z26" i="4"/>
  <c r="Z23" i="4"/>
  <c r="Z19" i="4"/>
  <c r="X32" i="4"/>
  <c r="X28" i="4"/>
  <c r="X24" i="4"/>
  <c r="X21" i="4"/>
  <c r="X18" i="4"/>
  <c r="X13" i="4"/>
  <c r="X11" i="4"/>
  <c r="X17" i="4"/>
  <c r="X14" i="4"/>
  <c r="X16" i="4"/>
  <c r="X33" i="4"/>
  <c r="X31" i="4"/>
  <c r="X27" i="4"/>
  <c r="X23" i="4"/>
  <c r="X15" i="4"/>
  <c r="X20" i="4"/>
  <c r="X9" i="4"/>
  <c r="X30" i="4"/>
  <c r="X26" i="4"/>
  <c r="X12" i="4"/>
  <c r="X22" i="4"/>
  <c r="X29" i="4"/>
  <c r="X25" i="4"/>
  <c r="X19" i="4"/>
  <c r="X10" i="4"/>
  <c r="Y18" i="4"/>
  <c r="Y13" i="4"/>
  <c r="Y11" i="4"/>
  <c r="Y33" i="4"/>
  <c r="Y31" i="4"/>
  <c r="Y27" i="4"/>
  <c r="Y23" i="4"/>
  <c r="Y15" i="4"/>
  <c r="Y9" i="4"/>
  <c r="Y14" i="4"/>
  <c r="Y21" i="4"/>
  <c r="Y20" i="4"/>
  <c r="Y30" i="4"/>
  <c r="Y26" i="4"/>
  <c r="Y17" i="4"/>
  <c r="Y12" i="4"/>
  <c r="Y22" i="4"/>
  <c r="Y10" i="4"/>
  <c r="Y29" i="4"/>
  <c r="Y25" i="4"/>
  <c r="Y19" i="4"/>
  <c r="Y16" i="4"/>
  <c r="Y32" i="4"/>
  <c r="Y28" i="4"/>
  <c r="Y24" i="4"/>
  <c r="J29" i="4"/>
  <c r="K29" i="4" s="1"/>
  <c r="K28" i="4"/>
  <c r="L24" i="4" l="1"/>
  <c r="J24" i="4"/>
  <c r="J26" i="4"/>
  <c r="L26" i="4"/>
  <c r="J25" i="4"/>
  <c r="L25" i="4"/>
  <c r="J27" i="4"/>
  <c r="L27" i="4"/>
  <c r="L16" i="4"/>
  <c r="J16" i="4"/>
  <c r="K16" i="4" s="1"/>
  <c r="J21" i="4"/>
  <c r="L21" i="4"/>
  <c r="L18" i="4"/>
  <c r="J18" i="4"/>
  <c r="J14" i="4"/>
  <c r="L14" i="4"/>
  <c r="L10" i="4"/>
  <c r="J10" i="4"/>
  <c r="J17" i="4"/>
  <c r="L17" i="4"/>
  <c r="J15" i="4"/>
  <c r="L15" i="4"/>
  <c r="J23" i="4"/>
  <c r="L23" i="4"/>
  <c r="J11" i="4"/>
  <c r="L11" i="4"/>
  <c r="L19" i="4"/>
  <c r="J19" i="4"/>
  <c r="L20" i="4"/>
  <c r="J20" i="4"/>
  <c r="R9" i="4"/>
  <c r="W9" i="4" s="1"/>
  <c r="W11" i="4" l="1"/>
  <c r="W20" i="4"/>
  <c r="W14" i="4"/>
  <c r="W10" i="4"/>
  <c r="W29" i="4"/>
  <c r="W16" i="4"/>
  <c r="W18" i="4"/>
  <c r="W12" i="4"/>
  <c r="W25" i="4"/>
  <c r="W32" i="4"/>
  <c r="W33" i="4"/>
  <c r="W19" i="4"/>
  <c r="W28" i="4"/>
  <c r="W31" i="4"/>
  <c r="W30" i="4"/>
  <c r="W21" i="4"/>
  <c r="W17" i="4"/>
  <c r="W24" i="4"/>
  <c r="W27" i="4"/>
  <c r="W26" i="4"/>
  <c r="W23" i="4"/>
  <c r="W13" i="4"/>
  <c r="W15" i="4"/>
  <c r="W22" i="4"/>
  <c r="J141" i="7" l="1"/>
  <c r="K141" i="7" s="1"/>
  <c r="J143" i="7" l="1"/>
  <c r="K143" i="7" s="1"/>
  <c r="J144" i="7" l="1"/>
  <c r="J146" i="7" s="1"/>
  <c r="K146" i="7" s="1"/>
  <c r="J152" i="7" l="1"/>
  <c r="J156" i="7" s="1"/>
  <c r="K156" i="7" s="1"/>
  <c r="K157" i="7" s="1"/>
  <c r="D8" i="4" s="1"/>
  <c r="F8" i="4" l="1"/>
  <c r="G8" i="4" s="1"/>
  <c r="H8" i="4" s="1"/>
  <c r="I11" i="7"/>
  <c r="BH11" i="7"/>
  <c r="AP11" i="7"/>
  <c r="AA11" i="7"/>
  <c r="X11" i="7"/>
  <c r="AM11" i="7"/>
  <c r="AJ11" i="7"/>
  <c r="U11" i="7"/>
  <c r="BB11" i="7"/>
  <c r="AD11" i="7"/>
  <c r="BK11" i="7"/>
  <c r="R11" i="7"/>
  <c r="AY11" i="7"/>
  <c r="BN11" i="7"/>
  <c r="AV11" i="7"/>
  <c r="L11" i="7"/>
  <c r="BE11" i="7"/>
  <c r="O11" i="7"/>
  <c r="AS11" i="7"/>
  <c r="J8" i="4" l="1"/>
  <c r="K8" i="4" s="1"/>
  <c r="L8" i="4"/>
  <c r="R8" i="4"/>
  <c r="N10" i="4"/>
  <c r="B32" i="4"/>
  <c r="B29" i="4"/>
  <c r="N13" i="4"/>
  <c r="B30" i="4"/>
  <c r="N11" i="4"/>
  <c r="O6" i="4"/>
  <c r="V9" i="4" s="1"/>
  <c r="N12" i="4"/>
  <c r="B31" i="4"/>
  <c r="B28" i="4"/>
  <c r="K15" i="4"/>
  <c r="K19" i="4"/>
  <c r="K26" i="4"/>
  <c r="K27" i="4"/>
  <c r="K17" i="4"/>
  <c r="K10" i="4"/>
  <c r="K24" i="4"/>
  <c r="K9" i="4"/>
  <c r="K14" i="4"/>
  <c r="K23" i="4"/>
  <c r="K20" i="4"/>
  <c r="K18" i="4"/>
  <c r="K21" i="4"/>
  <c r="K25" i="4"/>
  <c r="K11" i="4"/>
  <c r="O7" i="4"/>
  <c r="N8" i="4" s="1"/>
  <c r="N9" i="4" s="1"/>
  <c r="O8" i="4"/>
  <c r="J22" i="4" l="1"/>
  <c r="K22" i="4" s="1"/>
  <c r="J13" i="4"/>
  <c r="K13" i="4" s="1"/>
  <c r="J12" i="4"/>
  <c r="K12" i="4" s="1"/>
  <c r="M8" i="4" s="1"/>
  <c r="I7" i="4" s="1"/>
  <c r="N20" i="4"/>
  <c r="N19" i="4"/>
  <c r="N21" i="4"/>
  <c r="N18" i="4"/>
  <c r="N14" i="4"/>
  <c r="N15" i="4"/>
  <c r="N16" i="4"/>
  <c r="N17" i="4"/>
  <c r="V30" i="4" l="1"/>
  <c r="G26" i="5" s="1"/>
  <c r="N26" i="5" s="1"/>
  <c r="O26" i="5" s="1"/>
  <c r="V27" i="4"/>
  <c r="G23" i="5" s="1"/>
  <c r="M25" i="1" s="1"/>
  <c r="V28" i="4"/>
  <c r="V15" i="4"/>
  <c r="G11" i="5" s="1"/>
  <c r="M13" i="1" s="1"/>
  <c r="V23" i="4"/>
  <c r="G19" i="5" s="1"/>
  <c r="M21" i="1" s="1"/>
  <c r="V29" i="4"/>
  <c r="G25" i="5" s="1"/>
  <c r="N25" i="5" s="1"/>
  <c r="O25" i="5" s="1"/>
  <c r="V17" i="4"/>
  <c r="V32" i="4"/>
  <c r="V10" i="4"/>
  <c r="G6" i="5" s="1"/>
  <c r="M8" i="1" s="1"/>
  <c r="V16" i="4"/>
  <c r="G12" i="5" s="1"/>
  <c r="M14" i="1" s="1"/>
  <c r="V31" i="4"/>
  <c r="V22" i="4"/>
  <c r="V19" i="4"/>
  <c r="G15" i="5" s="1"/>
  <c r="M17" i="1" s="1"/>
  <c r="V21" i="4"/>
  <c r="G17" i="5" s="1"/>
  <c r="M19" i="1" s="1"/>
  <c r="V26" i="4"/>
  <c r="V14" i="4"/>
  <c r="G10" i="5" s="1"/>
  <c r="M12" i="1" s="1"/>
  <c r="V20" i="4"/>
  <c r="G16" i="5" s="1"/>
  <c r="M18" i="1" s="1"/>
  <c r="V12" i="4"/>
  <c r="G8" i="5" s="1"/>
  <c r="M10" i="1" s="1"/>
  <c r="V11" i="4"/>
  <c r="V24" i="4"/>
  <c r="G20" i="5" s="1"/>
  <c r="M22" i="1" s="1"/>
  <c r="V25" i="4"/>
  <c r="G21" i="5" s="1"/>
  <c r="M23" i="1" s="1"/>
  <c r="V33" i="4"/>
  <c r="G29" i="5" s="1"/>
  <c r="N29" i="5" s="1"/>
  <c r="O29" i="5" s="1"/>
  <c r="V13" i="4"/>
  <c r="V18" i="4"/>
  <c r="G14" i="5" s="1"/>
  <c r="M16" i="1" s="1"/>
  <c r="G28" i="5"/>
  <c r="N28" i="5" s="1"/>
  <c r="O28" i="5" s="1"/>
  <c r="G5" i="5"/>
  <c r="M7" i="1" s="1"/>
  <c r="G7" i="5"/>
  <c r="M9" i="1" s="1"/>
  <c r="G9" i="5"/>
  <c r="M11" i="1" s="1"/>
  <c r="G18" i="5"/>
  <c r="M20" i="1" s="1"/>
  <c r="G13" i="5"/>
  <c r="M15" i="1" s="1"/>
  <c r="G24" i="5"/>
  <c r="G27" i="5"/>
  <c r="N27" i="5" s="1"/>
  <c r="O27" i="5" s="1"/>
  <c r="G22" i="5"/>
  <c r="M24" i="1" s="1"/>
  <c r="N22" i="4"/>
  <c r="N23" i="4" s="1"/>
  <c r="M26" i="1" l="1"/>
  <c r="N26" i="1" s="1"/>
  <c r="N24" i="5"/>
  <c r="O24" i="5" s="1"/>
  <c r="N5" i="5"/>
  <c r="O5" i="5" s="1"/>
  <c r="N7" i="1"/>
  <c r="N25" i="1"/>
  <c r="N23" i="5"/>
  <c r="O23" i="5" s="1"/>
  <c r="N10" i="1"/>
  <c r="N8" i="5"/>
  <c r="O8" i="5" s="1"/>
  <c r="N19" i="1"/>
  <c r="N17" i="5"/>
  <c r="O17" i="5" s="1"/>
  <c r="N11" i="5"/>
  <c r="O11" i="5" s="1"/>
  <c r="N13" i="1"/>
  <c r="N15" i="5"/>
  <c r="N17" i="1"/>
  <c r="N21" i="1"/>
  <c r="N19" i="5"/>
  <c r="N13" i="5"/>
  <c r="O13" i="5" s="1"/>
  <c r="N15" i="1"/>
  <c r="N9" i="1"/>
  <c r="N7" i="5"/>
  <c r="O7" i="5" s="1"/>
  <c r="N11" i="1"/>
  <c r="N9" i="5"/>
  <c r="N22" i="1"/>
  <c r="N20" i="5"/>
  <c r="O20" i="5" s="1"/>
  <c r="N20" i="1"/>
  <c r="N18" i="5"/>
  <c r="O18" i="5" s="1"/>
  <c r="N10" i="5"/>
  <c r="N12" i="1"/>
  <c r="N14" i="5"/>
  <c r="O14" i="5" s="1"/>
  <c r="N16" i="1"/>
  <c r="N21" i="5"/>
  <c r="O21" i="5" s="1"/>
  <c r="N23" i="1"/>
  <c r="N12" i="5"/>
  <c r="O12" i="5" s="1"/>
  <c r="N14" i="1"/>
  <c r="N8" i="1"/>
  <c r="N6" i="5"/>
  <c r="O6" i="5" s="1"/>
  <c r="N24" i="1"/>
  <c r="N22" i="5"/>
  <c r="O22" i="5" s="1"/>
  <c r="N16" i="5"/>
  <c r="N18" i="1"/>
  <c r="M14" i="4"/>
  <c r="O15" i="5" l="1"/>
  <c r="O19" i="5"/>
  <c r="O16" i="5"/>
  <c r="O10" i="5"/>
  <c r="O9" i="5"/>
  <c r="O18" i="1"/>
  <c r="O20" i="1"/>
  <c r="O11" i="1"/>
  <c r="O23" i="1"/>
  <c r="O26" i="1"/>
  <c r="O25" i="1"/>
  <c r="O7" i="1"/>
  <c r="O16" i="1"/>
  <c r="O22" i="1"/>
  <c r="O14" i="1"/>
  <c r="O8" i="1"/>
  <c r="O24" i="1"/>
  <c r="O15" i="1"/>
  <c r="O9" i="1"/>
  <c r="O10" i="1"/>
  <c r="O21" i="1"/>
  <c r="O19" i="1"/>
  <c r="O17" i="1"/>
  <c r="O13" i="1"/>
  <c r="O12" i="1"/>
</calcChain>
</file>

<file path=xl/sharedStrings.xml><?xml version="1.0" encoding="utf-8"?>
<sst xmlns="http://schemas.openxmlformats.org/spreadsheetml/2006/main" count="449" uniqueCount="181">
  <si>
    <t>PROPONENTE</t>
  </si>
  <si>
    <t>CONSORCIO LA PAZ</t>
  </si>
  <si>
    <t>LYDCO INGENIERIA SAS 005</t>
  </si>
  <si>
    <t>GRD-FDLC-LP-005-2019</t>
  </si>
  <si>
    <t>CONSORCIO CONSTRUVALOR</t>
  </si>
  <si>
    <t>CONSORCIO VIAL CANDELARIA</t>
  </si>
  <si>
    <t>JEINCO FDLC -LP 005-2019</t>
  </si>
  <si>
    <t>UT BOGOTA VIAL</t>
  </si>
  <si>
    <t>CANDELARIA BYP</t>
  </si>
  <si>
    <t>CON &amp; CON</t>
  </si>
  <si>
    <t>UT ARCARO CANDELARIA</t>
  </si>
  <si>
    <t>UT BJ</t>
  </si>
  <si>
    <t>PUNTAJE =19</t>
  </si>
  <si>
    <t xml:space="preserve">PUNTAJES    = 10 </t>
  </si>
  <si>
    <t>PUNTAJES = 1</t>
  </si>
  <si>
    <t>PUNTAJE = 70</t>
  </si>
  <si>
    <t>VINCULACION CON PERSONAS 
CON DISCAPACIDAD</t>
  </si>
  <si>
    <t>APOYO A LA 
INDUSTRIA NACIONAL</t>
  </si>
  <si>
    <t>TOTAL</t>
  </si>
  <si>
    <t>NO APORTA EL FORMATO
 PARA LA VERIFICACION</t>
  </si>
  <si>
    <t>CONSORCIO CANDELARIA005
-2019 FDLC -LP005-2019</t>
  </si>
  <si>
    <t>FDLC-LP-005-2019-
CONSORCIO VIAS BOGOTA 2019</t>
  </si>
  <si>
    <t>CONSORCIO VMJ-R&amp;E 
VIAS 2019 CALLE 10</t>
  </si>
  <si>
    <t>005-2019 CONSORCIO
 INGENIERIAIV</t>
  </si>
  <si>
    <t>MSB FONDO LOCAL 
DE LA CANDELARIA</t>
  </si>
  <si>
    <r>
      <rPr>
        <b/>
        <sz val="11"/>
        <color theme="1"/>
        <rFont val="Arial"/>
        <family val="2"/>
      </rPr>
      <t xml:space="preserve">                                                 FACTOR    DE CALIDAD</t>
    </r>
    <r>
      <rPr>
        <sz val="11"/>
        <color theme="1"/>
        <rFont val="Arial"/>
        <family val="2"/>
      </rPr>
      <t xml:space="preserve">
La Entidad asignará el puntaje de factor de calidad como sigue: 
Concepto Puntaje 
; (ii) disponibilidad y condiciones funcionales para la maquinaria de obra  19
Total 19
Formato 7B- Disponibilidad y condiciones funcionales de la maquinaria de obra
La Entidad asignará  al Proponente que se comprometa, mediante la suscripción del Formato 7 – Factor de calidad (Formato 7B- Disponibilidad y condiciones funcionales de la maquinaria de obra)  por parte del por parte del Representante Legal, a utilizar en obra maquinaria con una edad menor a veinte (20) años, según su función. En caso de que la maquinaria haya sido repotenciada, los 20 años cuentan desde la fecha de repotenciación de la máquina. 
Se asignará cero (0) puntos al Proponente que no ofrezca la maquinaria en las condiciones requeridas o la ofrezca sin cumplir con las exigencias dispuestas en este Pliego de condiciones. 
</t>
    </r>
  </si>
  <si>
    <t xml:space="preserve">EVALUACION LP 005  DE 2019 OBJETO " REALIZAR LA SEGUNDA FASE DEL PROYECTO DE PEATONALIZACION DE LA CALLE 10, EJECUTANDO 
A PRECIOS UNITARIOS FIJOS LA CONTINUACION DE LA CONSTRUCCIÓN DE LA CALLE 10 ENTRE LAS CARRERAS 4 Y 5 Y CARRERAS 6 Y 7 EN LA LOCALIDAD DE LA CANDELARIA, EN BOGOTÁ D.C,
EVALUACION DE LOS  CRITERIOS DE EVALUACIÓN Y PONDERACIÓN
</t>
  </si>
  <si>
    <t>OFERTA 
ECONOMICA</t>
  </si>
  <si>
    <t>CUMPLE</t>
  </si>
  <si>
    <t>NO CUMPLE</t>
  </si>
  <si>
    <t>K RESIDUAL</t>
  </si>
  <si>
    <t>N°20</t>
  </si>
  <si>
    <t>CAPACIDAD 
TECNICA</t>
  </si>
  <si>
    <t xml:space="preserve">LA ENTIDAD ASIGNARÁ EL PUNTAJE DE
 FACTOR DE CALIDAD COMO SIGUE: </t>
  </si>
  <si>
    <t>PUNTAJE MAXIMO</t>
  </si>
  <si>
    <t>PRESUPUESTO OFICIAL</t>
  </si>
  <si>
    <t>TRM</t>
  </si>
  <si>
    <t>40 - 59</t>
  </si>
  <si>
    <t>METODO EVALUACION</t>
  </si>
  <si>
    <t>ASIGNACION DE PUNTAJE</t>
  </si>
  <si>
    <t>PROPONENTES HABILITADOS</t>
  </si>
  <si>
    <t>00 - 19</t>
  </si>
  <si>
    <t>20 - 39</t>
  </si>
  <si>
    <t>PROPONENTE 21</t>
  </si>
  <si>
    <t>PROPONENTE 22</t>
  </si>
  <si>
    <t>60 - 79</t>
  </si>
  <si>
    <t>PROPONENTE 23</t>
  </si>
  <si>
    <t>80 - 99</t>
  </si>
  <si>
    <t>PROPONENTE 24</t>
  </si>
  <si>
    <t>MEDIANA CON VALOR ABSOLUTO</t>
  </si>
  <si>
    <t>PROPONENTE 25</t>
  </si>
  <si>
    <t>MEDIA GEOMETRICA CON PRESUPUESTO OFICIAL</t>
  </si>
  <si>
    <t>MEDIA ARITMETICA ALTA</t>
  </si>
  <si>
    <t>MEDIANA ARITMETICA BAJA</t>
  </si>
  <si>
    <t>MENOR VALOR</t>
  </si>
  <si>
    <t>Concepto</t>
  </si>
  <si>
    <t>Puntaje Maximo</t>
  </si>
  <si>
    <t>Total Puntaje</t>
  </si>
  <si>
    <t>Orden de Eligibilidad</t>
  </si>
  <si>
    <t>Industria Nacional</t>
  </si>
  <si>
    <t>Personal Discapacitado</t>
  </si>
  <si>
    <t>Oferta Economica</t>
  </si>
  <si>
    <t>CRITERIO</t>
  </si>
  <si>
    <t>PUNTAJE</t>
  </si>
  <si>
    <t>Factor de Calidad</t>
  </si>
  <si>
    <t>Apoyo a la Industria Nacional</t>
  </si>
  <si>
    <t>Vinculacion de personas con discapacidad</t>
  </si>
  <si>
    <t>NO</t>
  </si>
  <si>
    <t>ORDEN ELEGIBILIDAD</t>
  </si>
  <si>
    <t>OBSERVACION</t>
  </si>
  <si>
    <t>FACTOR CALIDAD</t>
  </si>
  <si>
    <t>CONSORCIO DIR</t>
  </si>
  <si>
    <t>EVALUACION FINANCIERA</t>
  </si>
  <si>
    <t>EVALUACION
 JURIDICA</t>
  </si>
  <si>
    <t>FDLC-LP005-2019 CFD 
INGENIERIA</t>
  </si>
  <si>
    <t>GAMMA 
INGENIEROS ARQUITECTOS</t>
  </si>
  <si>
    <t xml:space="preserve"> CUMPLE</t>
  </si>
  <si>
    <t>ESPACIO PUBLICO 
CANDELARIA EEI SAS</t>
  </si>
  <si>
    <t>ÍTEM</t>
  </si>
  <si>
    <t>DESCRIPCIÓN</t>
  </si>
  <si>
    <t>UNIDAD</t>
  </si>
  <si>
    <t>VALOR PARCIAL FINAL</t>
  </si>
  <si>
    <t>PRELIMINARES</t>
  </si>
  <si>
    <t>M2</t>
  </si>
  <si>
    <t>ML</t>
  </si>
  <si>
    <t>M3</t>
  </si>
  <si>
    <t>KG</t>
  </si>
  <si>
    <t>MOBILIARIO URBANO</t>
  </si>
  <si>
    <t>UN</t>
  </si>
  <si>
    <t>GLB</t>
  </si>
  <si>
    <t>VALOR PROPUESTO</t>
  </si>
  <si>
    <t>CANTIDAD</t>
  </si>
  <si>
    <t>CALIFICACIÓN</t>
  </si>
  <si>
    <t>FORMATO</t>
  </si>
  <si>
    <t>Presupuesto General de Obras - Costos Directos</t>
  </si>
  <si>
    <t>PROCESO</t>
  </si>
  <si>
    <t>VERSIÓN</t>
  </si>
  <si>
    <t>Proyectos</t>
  </si>
  <si>
    <t>PRESUPUESTO GENERAL DE OBRAS</t>
  </si>
  <si>
    <t>COD IDU</t>
  </si>
  <si>
    <t>VR. UNITARIO</t>
  </si>
  <si>
    <t>SUBTOTAL</t>
  </si>
  <si>
    <t>TRAMO  CL 10 KR 4 Y KR5  y kr 6 y kr7</t>
  </si>
  <si>
    <t>DEMOLICION PLACA SUPERIOR CAMARA T13 ETB (1,5X2,1X0,21)</t>
  </si>
  <si>
    <t>DEMOLICION MANUAL ANDEN EN CONCRETO e=0.10 M INCLUYE CARGUE Y RETIRO</t>
  </si>
  <si>
    <t>DEMOLICION DE ADOQUIN 6CM</t>
  </si>
  <si>
    <t>DEMOLICION DE MORTERO ESPESOR 4 CM</t>
  </si>
  <si>
    <t>DEMOLICION  BORDILLO CON COMPRESOR + CARGUE + RETIRO)</t>
  </si>
  <si>
    <t xml:space="preserve"> VIGA DE CHOQUE EN CONCRETO DE 4000 PSI SECCION 45x30 NO INCLUYE REFUERZO</t>
  </si>
  <si>
    <t>RELLENOS</t>
  </si>
  <si>
    <t>ARENA DE PEÑA PARA INSTALACION TUBERIA DE REDES SUMINISTRO E INSTALACION</t>
  </si>
  <si>
    <t>TRITURADO 1" SUMINISTRO E INSTALACION</t>
  </si>
  <si>
    <t>ESPACIO PUBLICO</t>
  </si>
  <si>
    <t>ANDENES</t>
  </si>
  <si>
    <t>CONSTRUCCION DE JUNTA LONGITUDINAL</t>
  </si>
  <si>
    <t>M</t>
  </si>
  <si>
    <t>BOMBA CONCRETO</t>
  </si>
  <si>
    <t xml:space="preserve"> (DOVELAS) ACERO LISO PARA TRANSFERENCIA DE LOSAS D= 1" </t>
  </si>
  <si>
    <t>LOSA DE CONCRETO MR45 (Suministro, Formaleteado, Colocación y Acabado. No Incluye Acero, Curado, Juntas)</t>
  </si>
  <si>
    <t>CONCRETO ACELERADO A 3 DIAS ( INCLUYE SUMINISTRO E INSTALACION)</t>
  </si>
  <si>
    <t>ENCHAPE PIEDRA BARICHARA (Incluye sumnistro e instalacion con mortero 1:4)</t>
  </si>
  <si>
    <t>BOLARDO SEMI AUTOMATICO</t>
  </si>
  <si>
    <t>FOTO CONTROL</t>
  </si>
  <si>
    <t>JARDINERA</t>
  </si>
  <si>
    <t>CANECAS PLASTICAS EN POSTE</t>
  </si>
  <si>
    <t xml:space="preserve">BANCA SIN ESPALDAR </t>
  </si>
  <si>
    <t>REDES  DE ACUEDUCTO</t>
  </si>
  <si>
    <t>NIVELACION DE POZOS EXISTENTES EN LADRILLO Atura maxima 20 cms (Incluye ladrillo y mortero)</t>
  </si>
  <si>
    <t>TUBERIAS</t>
  </si>
  <si>
    <t>ACCESORIOS</t>
  </si>
  <si>
    <t>VALVULAS</t>
  </si>
  <si>
    <t>EMPATES</t>
  </si>
  <si>
    <t>ACOMETIDAS DOMICILIARIAS</t>
  </si>
  <si>
    <t>INSTALACION UNION PF+UAD PVC 1/2</t>
  </si>
  <si>
    <t>DADOS  , ANCLAJES Y SUMIDEROS</t>
  </si>
  <si>
    <t xml:space="preserve">REDES DE ALCANTARILLADO </t>
  </si>
  <si>
    <t>POZOS</t>
  </si>
  <si>
    <t>PLACA CUBIERTA POZO PREFABRICADA TIPO TRANSMILENIO D= 1,70 E =0,25 INCLUYE SUMINISTRO E INSTALACION SIN TAPA.</t>
  </si>
  <si>
    <t>SUMIDEROS</t>
  </si>
  <si>
    <t>REJILLA NO RECICLABLE 0,835 X ,45 X 0,14</t>
  </si>
  <si>
    <t>REJILLA NO RECICLABLE  0,5 X 0,5 X 0,07</t>
  </si>
  <si>
    <t>CANAL DE AGUAS LLUVIA EN CONCRETO REFORZADO 15 CM</t>
  </si>
  <si>
    <t>CAJA SIFONADA INCLUYE ENCOFRADO Y VACIADO CONCRETO DE 4000 PSI IMPERMEABILIZADO</t>
  </si>
  <si>
    <t xml:space="preserve">SUMINISTRO E INSTALACION ANGULO PARA SOPORTE REJILLA DEL CANAL DE AGUAS LLUVIAS </t>
  </si>
  <si>
    <t>SUMINISTRO TUBERIA CONEXIÓN BAJANTES DE AGUAS LLUVIAS PREDIO 3"</t>
  </si>
  <si>
    <t>CARCAMOS</t>
  </si>
  <si>
    <t>TUBERIA PVC 3/4" RECUBRIMIENTO DOMICILIARIAS DE ACUEDUCTO</t>
  </si>
  <si>
    <t>REPARACION ACOMETIDA DOMICILIARIA DE 1/2". SUMINISTRO E INSTALACIÓN. (INCLUYE MANGUERA  PF+AU D=1/2",  ACCESORIOS, LOG. PROM. = 6.50m).</t>
  </si>
  <si>
    <t>DADOS Y ANCLAJES</t>
  </si>
  <si>
    <t>TAPA CANAL CONCRETO 4000 PSI</t>
  </si>
  <si>
    <t>SUMINITSRO E INSTALACION TAPA POZO EN POLICONCRETO COLOR ARENA DIAMETRO 67CMS</t>
  </si>
  <si>
    <t>REDES SECAS</t>
  </si>
  <si>
    <t>RED ENERGIA ELECTRICA</t>
  </si>
  <si>
    <t>RED ELECTRICA CODENSA NORMA CS208 2 DUCTOS  D= 4 PVC TDP(INCLUYE SUMINISTRO E INSTALACION NO INCLUYE RELLENOS</t>
  </si>
  <si>
    <t>SUMINITSRO E INSTALACION MARCO Y TAPA CODENSA CS 274 Medidas externas 0,6 x 0,6m</t>
  </si>
  <si>
    <t>NIVELACIÓN DE CAJA CS 275 EN ANDEN H= 0.40m (INCLUYE CONCRETO 2500 PSI HECHO EN OBRA, LADRILLO TOLETE RECOCIDO 24x12x6. MORTERO 1:5 HECHO EN OBRA. INCLUYE REPOSICIÓN DE MARCO Y TAPA PREFABRICADA).</t>
  </si>
  <si>
    <t>POSTES Y LUMINARIAS</t>
  </si>
  <si>
    <t>SUMINISTRO E INSTALACION LAMPARA YOA MIDI  FOTOMETRIA 5141 (32 LEDS)700  mA (55W)(120-277V)(blanco calido)</t>
  </si>
  <si>
    <t>SUMINISTRO E INSTALACION CABLEADO Y ACCESORIOS  ELECTRICAS</t>
  </si>
  <si>
    <t>POSTE METALICO RECTO 6" X 2"(Fijacion post top para Yoa (con placa de identificacion,galvanizada  en caliente  y pintura electrostatica)</t>
  </si>
  <si>
    <t>2 DUCTOS D=3" PVC-EB (Incluye Suministro e Instalación. No Incluye Rellenos). NORMA CS207.</t>
  </si>
  <si>
    <t>ADAPTADOR TERMINAL CAMPANA PVC D=3" (Suministro e Instalación</t>
  </si>
  <si>
    <t>SEÑALIZACION, DEMARCACION Y SEMAFORIZACION</t>
  </si>
  <si>
    <t>SEÑALIZACION HORIZONTAL</t>
  </si>
  <si>
    <t>SEÑALIZACION VERTICAL</t>
  </si>
  <si>
    <t>COSTOS DIRECTOS DE OBRA SIN REDES</t>
  </si>
  <si>
    <t>COSTOS DIRECTOS REDES</t>
  </si>
  <si>
    <t>COSTO DIRECTO TOTAL OBRAS CIVILES +REDES</t>
  </si>
  <si>
    <t>AIU PARA OBRAS CIVILES Y REDES</t>
  </si>
  <si>
    <t>COSTO TOTAL OBRAS CON A.I.U ( A )</t>
  </si>
  <si>
    <t>COSTO ACTIVIDADES AMBIENTALES y SST( B )</t>
  </si>
  <si>
    <t>COSTO ACTIVIDADES SOCIALES ( C )</t>
  </si>
  <si>
    <t>COSTO PLAN DE MANEJO DE TRAFICO ( D )</t>
  </si>
  <si>
    <t>TOTAL OBRAS LICITACION ( A+B+C+D )</t>
  </si>
  <si>
    <t>COSTOS ESTIMADOS PARA  ENSAYOS DE LABORATORIO ( G ) (INCLUYE AJUSTES E IVA)</t>
  </si>
  <si>
    <t>COSTO TOTAL DEL PROYECTO</t>
  </si>
  <si>
    <t>VALORES CORREGIDOS</t>
  </si>
  <si>
    <t>VALORES HABILITADOS PARA PARTICIPAR EN EL PROCESO</t>
  </si>
  <si>
    <t>PORCENTAJE</t>
  </si>
  <si>
    <t>CALIFICACION DEFINITIVA</t>
  </si>
  <si>
    <t>NO VÁLIDA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</si>
</sst>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7" formatCode="&quot;$&quot;\ #,##0.00;\-&quot;$&quot;\ #,##0.00"/>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0.00_-;\-* #,##0.00_-;_-* &quot;-&quot;_-;_-@_-"/>
    <numFmt numFmtId="168" formatCode="&quot;$&quot;\ #,##0.00"/>
    <numFmt numFmtId="169" formatCode="_(* #,##0.00_);_(* \(#,##0.00\);_(* &quot;-&quot;??_);_(@_)"/>
    <numFmt numFmtId="170" formatCode="0.0"/>
    <numFmt numFmtId="171" formatCode="_ * #,##0.00_ ;_ * \-#,##0.00_ ;_ * &quot;-&quot;??_ ;_ @_ "/>
    <numFmt numFmtId="172" formatCode="&quot;$&quot;\ #,##0.0"/>
    <numFmt numFmtId="173" formatCode="&quot;$&quot;#,##0"/>
    <numFmt numFmtId="174" formatCode="&quot;$&quot;\ #,##0"/>
    <numFmt numFmtId="175" formatCode="_ * #,##0.0_ ;_ * \-#,##0.0_ ;_ * &quot;-&quot;??_ ;_ @_ "/>
    <numFmt numFmtId="176" formatCode="_-* #,##0.00\ _€_-;\-* #,##0.00\ _€_-;_-* &quot;-&quot;??\ _€_-;_-@_-"/>
    <numFmt numFmtId="177" formatCode="_(&quot;$&quot;\ #,##0.00_);_(&quot;$&quot;\ \(#,##0.00\);_(&quot;$&quot;\ &quot;-&quot;??_);_(@_)"/>
    <numFmt numFmtId="178" formatCode="&quot;$&quot;\ #,##0.0;\-&quot;$&quot;\ #,##0.0"/>
    <numFmt numFmtId="179" formatCode="_-* #,##0_-;\-* #,##0_-;_-* &quot;-&quot;??_-;_-@_-"/>
    <numFmt numFmtId="180" formatCode="0.000%"/>
    <numFmt numFmtId="181" formatCode="0.0000000"/>
    <numFmt numFmtId="182" formatCode="0.00000000"/>
  </numFmts>
  <fonts count="34" x14ac:knownFonts="1">
    <font>
      <sz val="11"/>
      <color theme="1"/>
      <name val="Calibri"/>
      <family val="2"/>
      <scheme val="minor"/>
    </font>
    <font>
      <b/>
      <sz val="11"/>
      <color theme="1"/>
      <name val="Calibri"/>
      <family val="2"/>
      <scheme val="minor"/>
    </font>
    <font>
      <sz val="11"/>
      <color rgb="FFFF0000"/>
      <name val="Calibri"/>
      <family val="2"/>
      <scheme val="minor"/>
    </font>
    <font>
      <sz val="11"/>
      <color theme="1"/>
      <name val="Arial"/>
      <family val="2"/>
    </font>
    <font>
      <b/>
      <sz val="11"/>
      <color theme="1"/>
      <name val="Arial"/>
      <family val="2"/>
    </font>
    <font>
      <sz val="11"/>
      <name val="Calibri"/>
      <family val="2"/>
      <scheme val="minor"/>
    </font>
    <font>
      <b/>
      <sz val="11"/>
      <name val="Calibri"/>
      <family val="2"/>
      <scheme val="minor"/>
    </font>
    <font>
      <sz val="11"/>
      <color theme="1"/>
      <name val="Calibri"/>
      <family val="2"/>
      <scheme val="minor"/>
    </font>
    <font>
      <b/>
      <sz val="14"/>
      <color theme="1"/>
      <name val="Calibri"/>
      <family val="2"/>
      <scheme val="minor"/>
    </font>
    <font>
      <b/>
      <sz val="10"/>
      <color theme="0"/>
      <name val="Arial"/>
      <family val="2"/>
    </font>
    <font>
      <b/>
      <sz val="10"/>
      <name val="Arial"/>
      <family val="2"/>
    </font>
    <font>
      <sz val="10"/>
      <name val="Arial"/>
      <family val="2"/>
    </font>
    <font>
      <sz val="10"/>
      <color theme="1"/>
      <name val="Arial"/>
      <family val="2"/>
    </font>
    <font>
      <sz val="11"/>
      <name val="Arial"/>
      <family val="2"/>
    </font>
    <font>
      <sz val="10"/>
      <color indexed="8"/>
      <name val="MS Sans Serif"/>
      <family val="2"/>
    </font>
    <font>
      <sz val="9"/>
      <name val="Arial"/>
      <family val="2"/>
    </font>
    <font>
      <b/>
      <sz val="9"/>
      <name val="Arial"/>
      <family val="2"/>
    </font>
    <font>
      <b/>
      <sz val="20"/>
      <color theme="0"/>
      <name val="Arial"/>
      <family val="2"/>
    </font>
    <font>
      <sz val="9"/>
      <color theme="1"/>
      <name val="Arial"/>
      <family val="2"/>
    </font>
    <font>
      <b/>
      <sz val="7"/>
      <name val="Arial"/>
      <family val="2"/>
    </font>
    <font>
      <b/>
      <sz val="9"/>
      <color theme="1"/>
      <name val="Arial"/>
      <family val="2"/>
    </font>
    <font>
      <sz val="9"/>
      <color rgb="FF0000FF"/>
      <name val="Arial"/>
      <family val="2"/>
    </font>
    <font>
      <b/>
      <sz val="7"/>
      <color theme="1"/>
      <name val="Arial"/>
      <family val="2"/>
    </font>
    <font>
      <sz val="7"/>
      <name val="Arial"/>
      <family val="2"/>
    </font>
    <font>
      <sz val="7"/>
      <color theme="1"/>
      <name val="Arial"/>
      <family val="2"/>
    </font>
    <font>
      <sz val="7.5"/>
      <name val="Arial"/>
      <family val="2"/>
    </font>
    <font>
      <sz val="7.5"/>
      <color theme="1"/>
      <name val="Arial"/>
      <family val="2"/>
    </font>
    <font>
      <sz val="7"/>
      <color theme="0"/>
      <name val="Arial"/>
      <family val="2"/>
    </font>
    <font>
      <sz val="6"/>
      <name val="Arial"/>
      <family val="2"/>
    </font>
    <font>
      <sz val="16"/>
      <color theme="1"/>
      <name val="Arial"/>
      <family val="2"/>
    </font>
    <font>
      <b/>
      <sz val="16"/>
      <name val="Arial"/>
      <family val="2"/>
    </font>
    <font>
      <b/>
      <sz val="16"/>
      <color theme="0"/>
      <name val="Arial"/>
      <family val="2"/>
    </font>
    <font>
      <sz val="9"/>
      <color theme="1"/>
      <name val="Calibri"/>
      <family val="2"/>
      <scheme val="minor"/>
    </font>
    <font>
      <sz val="10"/>
      <color rgb="FF0033CC"/>
      <name val="Arial"/>
      <family val="2"/>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rgb="FFFFFF00"/>
        <bgColor indexed="64"/>
      </patternFill>
    </fill>
    <fill>
      <patternFill patternType="solid">
        <fgColor theme="0"/>
        <bgColor indexed="64"/>
      </patternFill>
    </fill>
    <fill>
      <patternFill patternType="solid">
        <fgColor theme="3" tint="-0.249977111117893"/>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92D05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right/>
      <top style="thin">
        <color indexed="64"/>
      </top>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s>
  <cellStyleXfs count="21">
    <xf numFmtId="0" fontId="0" fillId="0" borderId="0"/>
    <xf numFmtId="164" fontId="7" fillId="0" borderId="0" applyFont="0" applyFill="0" applyBorder="0" applyAlignment="0" applyProtection="0"/>
    <xf numFmtId="166" fontId="7" fillId="0" borderId="0" applyFont="0" applyFill="0" applyBorder="0" applyAlignment="0" applyProtection="0"/>
    <xf numFmtId="41" fontId="7" fillId="0" borderId="0" applyFont="0" applyFill="0" applyBorder="0" applyAlignment="0" applyProtection="0"/>
    <xf numFmtId="9" fontId="7" fillId="0" borderId="0" applyFont="0" applyFill="0" applyBorder="0" applyAlignment="0" applyProtection="0"/>
    <xf numFmtId="44" fontId="7" fillId="0" borderId="0" applyFont="0" applyFill="0" applyBorder="0" applyAlignment="0" applyProtection="0"/>
    <xf numFmtId="0" fontId="11" fillId="0" borderId="0"/>
    <xf numFmtId="169" fontId="7" fillId="0" borderId="0" applyFont="0" applyFill="0" applyBorder="0" applyAlignment="0" applyProtection="0"/>
    <xf numFmtId="0" fontId="14" fillId="0" borderId="0"/>
    <xf numFmtId="171" fontId="11" fillId="0" borderId="0" applyFont="0" applyFill="0" applyBorder="0" applyAlignment="0" applyProtection="0"/>
    <xf numFmtId="0" fontId="11" fillId="0" borderId="0"/>
    <xf numFmtId="0" fontId="14" fillId="0" borderId="0"/>
    <xf numFmtId="0" fontId="11" fillId="0" borderId="0" applyBorder="0"/>
    <xf numFmtId="43" fontId="11" fillId="0" borderId="0" applyFont="0" applyFill="0" applyBorder="0" applyAlignment="0" applyProtection="0"/>
    <xf numFmtId="9" fontId="11" fillId="0" borderId="0" applyFont="0" applyFill="0" applyBorder="0" applyAlignment="0" applyProtection="0"/>
    <xf numFmtId="0" fontId="11" fillId="0" borderId="0" applyBorder="0"/>
    <xf numFmtId="0" fontId="11" fillId="0" borderId="0"/>
    <xf numFmtId="165" fontId="11" fillId="0" borderId="0" applyFont="0" applyFill="0" applyBorder="0" applyAlignment="0" applyProtection="0"/>
    <xf numFmtId="169" fontId="7" fillId="0" borderId="0" applyFont="0" applyFill="0" applyBorder="0" applyAlignment="0" applyProtection="0"/>
    <xf numFmtId="0" fontId="11" fillId="0" borderId="0"/>
    <xf numFmtId="43" fontId="11" fillId="0" borderId="0" applyFont="0" applyFill="0" applyBorder="0" applyAlignment="0" applyProtection="0"/>
  </cellStyleXfs>
  <cellXfs count="311">
    <xf numFmtId="0" fontId="0" fillId="0" borderId="0" xfId="0"/>
    <xf numFmtId="0" fontId="0" fillId="0" borderId="2" xfId="0" applyBorder="1" applyAlignment="1">
      <alignment horizontal="center"/>
    </xf>
    <xf numFmtId="0" fontId="1" fillId="0" borderId="0" xfId="0" applyFont="1"/>
    <xf numFmtId="0" fontId="0"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Border="1" applyAlignment="1">
      <alignment horizontal="center"/>
    </xf>
    <xf numFmtId="0" fontId="0" fillId="0" borderId="0" xfId="0" applyProtection="1">
      <protection hidden="1"/>
    </xf>
    <xf numFmtId="0" fontId="1" fillId="0" borderId="1" xfId="0" applyFont="1" applyBorder="1" applyAlignment="1" applyProtection="1">
      <alignment horizontal="center"/>
      <protection locked="0"/>
    </xf>
    <xf numFmtId="0" fontId="0" fillId="0" borderId="1" xfId="0" applyBorder="1" applyAlignment="1" applyProtection="1">
      <alignment horizontal="center"/>
      <protection locked="0"/>
    </xf>
    <xf numFmtId="0" fontId="0" fillId="0" borderId="0" xfId="0" applyAlignment="1" applyProtection="1">
      <alignment horizontal="center"/>
      <protection hidden="1"/>
    </xf>
    <xf numFmtId="0" fontId="0" fillId="0" borderId="0" xfId="0" applyProtection="1">
      <protection locked="0"/>
    </xf>
    <xf numFmtId="166" fontId="0" fillId="0" borderId="0" xfId="2" applyFont="1" applyProtection="1">
      <protection locked="0"/>
    </xf>
    <xf numFmtId="0" fontId="1" fillId="0" borderId="1" xfId="0" applyFont="1" applyBorder="1" applyAlignment="1" applyProtection="1">
      <alignment horizontal="center" vertical="center" wrapText="1"/>
      <protection locked="0"/>
    </xf>
    <xf numFmtId="166" fontId="0" fillId="0" borderId="1" xfId="2" applyFont="1" applyBorder="1" applyAlignment="1" applyProtection="1">
      <alignment horizontal="center" vertical="center" wrapText="1"/>
      <protection locked="0"/>
    </xf>
    <xf numFmtId="166" fontId="0" fillId="0" borderId="0" xfId="2" applyFont="1" applyAlignment="1" applyProtection="1">
      <alignment horizontal="center" vertical="center" wrapText="1"/>
      <protection hidden="1"/>
    </xf>
    <xf numFmtId="0" fontId="0" fillId="0" borderId="1" xfId="0" applyBorder="1" applyAlignment="1" applyProtection="1">
      <alignment horizontal="center" vertical="center" wrapText="1"/>
      <protection locked="0" hidden="1"/>
    </xf>
    <xf numFmtId="0" fontId="0" fillId="0" borderId="0" xfId="0" applyAlignment="1" applyProtection="1">
      <alignment horizontal="center" vertical="center" wrapText="1"/>
      <protection hidden="1"/>
    </xf>
    <xf numFmtId="0" fontId="0" fillId="0" borderId="1" xfId="0" applyBorder="1" applyAlignment="1" applyProtection="1">
      <alignment horizontal="center" vertical="center" wrapText="1"/>
      <protection hidden="1"/>
    </xf>
    <xf numFmtId="164" fontId="0" fillId="0" borderId="0" xfId="1" applyFont="1" applyAlignment="1" applyProtection="1">
      <alignment horizontal="center"/>
      <protection hidden="1"/>
    </xf>
    <xf numFmtId="166" fontId="0" fillId="0" borderId="1" xfId="2" applyFont="1" applyBorder="1" applyAlignment="1" applyProtection="1">
      <alignment vertical="center"/>
      <protection locked="0"/>
    </xf>
    <xf numFmtId="166" fontId="0" fillId="0" borderId="0" xfId="2" applyFont="1" applyAlignment="1" applyProtection="1">
      <alignment vertical="center"/>
      <protection hidden="1"/>
    </xf>
    <xf numFmtId="166" fontId="0" fillId="0" borderId="0" xfId="2" applyFont="1" applyProtection="1">
      <protection hidden="1"/>
    </xf>
    <xf numFmtId="166" fontId="0" fillId="0" borderId="1" xfId="2" applyFont="1" applyBorder="1" applyAlignment="1" applyProtection="1">
      <alignment horizontal="center" vertical="center"/>
      <protection hidden="1"/>
    </xf>
    <xf numFmtId="164" fontId="0" fillId="0" borderId="0" xfId="1" applyFont="1" applyProtection="1">
      <protection hidden="1"/>
    </xf>
    <xf numFmtId="0" fontId="0" fillId="0" borderId="1" xfId="0" applyBorder="1" applyAlignment="1" applyProtection="1">
      <alignment horizontal="center" vertical="center"/>
      <protection hidden="1"/>
    </xf>
    <xf numFmtId="0" fontId="5" fillId="0" borderId="1" xfId="0" applyFont="1" applyBorder="1" applyAlignment="1" applyProtection="1">
      <alignment horizontal="center" vertical="center"/>
      <protection hidden="1"/>
    </xf>
    <xf numFmtId="166" fontId="0" fillId="0" borderId="0" xfId="0" applyNumberFormat="1" applyProtection="1">
      <protection hidden="1"/>
    </xf>
    <xf numFmtId="1" fontId="0" fillId="0" borderId="0" xfId="2" applyNumberFormat="1" applyFont="1" applyAlignment="1" applyProtection="1">
      <alignment vertical="center"/>
      <protection hidden="1"/>
    </xf>
    <xf numFmtId="0" fontId="0" fillId="0" borderId="0" xfId="0" applyAlignment="1" applyProtection="1">
      <alignment wrapText="1"/>
      <protection hidden="1"/>
    </xf>
    <xf numFmtId="165" fontId="0" fillId="0" borderId="0" xfId="0" applyNumberFormat="1" applyProtection="1">
      <protection hidden="1"/>
    </xf>
    <xf numFmtId="0" fontId="0" fillId="0" borderId="1" xfId="0" applyBorder="1" applyAlignment="1">
      <alignment horizontal="center"/>
    </xf>
    <xf numFmtId="0" fontId="0" fillId="0" borderId="0" xfId="0" applyAlignment="1">
      <alignment horizontal="center"/>
    </xf>
    <xf numFmtId="0" fontId="8" fillId="0" borderId="1" xfId="0" applyFont="1" applyBorder="1" applyAlignment="1">
      <alignment horizontal="center" vertical="center"/>
    </xf>
    <xf numFmtId="0" fontId="1"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6" fillId="0" borderId="1" xfId="0" applyFont="1" applyBorder="1" applyAlignment="1">
      <alignment horizontal="center" vertical="center" wrapText="1"/>
    </xf>
    <xf numFmtId="0" fontId="0" fillId="0" borderId="1" xfId="0" applyBorder="1" applyAlignment="1">
      <alignment vertical="center"/>
    </xf>
    <xf numFmtId="0" fontId="0" fillId="0" borderId="1" xfId="0" applyFont="1" applyFill="1" applyBorder="1"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2"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hidden="1"/>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0" fontId="1" fillId="2" borderId="1" xfId="0" applyFont="1" applyFill="1" applyBorder="1" applyAlignment="1">
      <alignment horizontal="center" vertical="center"/>
    </xf>
    <xf numFmtId="0" fontId="6" fillId="0"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pplyProtection="1">
      <alignment horizontal="center" vertical="center" wrapText="1"/>
      <protection locked="0"/>
    </xf>
    <xf numFmtId="0" fontId="1" fillId="0" borderId="1" xfId="0" applyFont="1" applyBorder="1" applyAlignment="1" applyProtection="1">
      <alignment horizontal="center"/>
      <protection locked="0"/>
    </xf>
    <xf numFmtId="166" fontId="0" fillId="4" borderId="1" xfId="2" applyFont="1" applyFill="1" applyBorder="1" applyAlignment="1" applyProtection="1">
      <alignment vertical="center"/>
      <protection locked="0"/>
    </xf>
    <xf numFmtId="167" fontId="9" fillId="6" borderId="1" xfId="3" applyNumberFormat="1" applyFont="1" applyFill="1" applyBorder="1" applyAlignment="1">
      <alignment horizontal="center" vertical="center" wrapText="1"/>
    </xf>
    <xf numFmtId="168" fontId="9" fillId="6" borderId="1" xfId="0" applyNumberFormat="1" applyFont="1" applyFill="1" applyBorder="1" applyAlignment="1">
      <alignment horizontal="center" vertical="center" wrapText="1"/>
    </xf>
    <xf numFmtId="0" fontId="12" fillId="0" borderId="1" xfId="0" applyFont="1" applyBorder="1" applyAlignment="1">
      <alignment horizontal="center" vertical="center"/>
    </xf>
    <xf numFmtId="0" fontId="4" fillId="0" borderId="0" xfId="6" applyFont="1" applyAlignment="1">
      <alignment horizontal="center" vertical="center"/>
    </xf>
    <xf numFmtId="0" fontId="3" fillId="0" borderId="0" xfId="6" applyFont="1" applyAlignment="1">
      <alignment vertical="center"/>
    </xf>
    <xf numFmtId="0" fontId="13" fillId="0" borderId="0" xfId="6" applyFont="1" applyAlignment="1">
      <alignment vertical="center"/>
    </xf>
    <xf numFmtId="175" fontId="3" fillId="0" borderId="0" xfId="13" applyNumberFormat="1" applyFont="1" applyAlignment="1">
      <alignment horizontal="center" vertical="center"/>
    </xf>
    <xf numFmtId="175" fontId="13" fillId="0" borderId="0" xfId="13" applyNumberFormat="1" applyFont="1" applyAlignment="1">
      <alignment vertical="center"/>
    </xf>
    <xf numFmtId="176" fontId="13" fillId="0" borderId="0" xfId="13" applyNumberFormat="1" applyFont="1" applyAlignment="1">
      <alignment vertical="center"/>
    </xf>
    <xf numFmtId="0" fontId="18" fillId="0" borderId="0" xfId="6" applyFont="1" applyAlignment="1">
      <alignment horizontal="center" vertical="center"/>
    </xf>
    <xf numFmtId="0" fontId="16" fillId="0" borderId="0" xfId="6" applyFont="1" applyBorder="1" applyAlignment="1">
      <alignment horizontal="center" vertical="center" wrapText="1"/>
    </xf>
    <xf numFmtId="0" fontId="18" fillId="0" borderId="0" xfId="6" applyFont="1" applyBorder="1" applyAlignment="1">
      <alignment horizontal="center" vertical="center"/>
    </xf>
    <xf numFmtId="0" fontId="12" fillId="0" borderId="0" xfId="6" applyFont="1" applyBorder="1" applyAlignment="1">
      <alignment vertical="center"/>
    </xf>
    <xf numFmtId="0" fontId="3" fillId="0" borderId="0" xfId="6" applyFont="1" applyBorder="1" applyAlignment="1">
      <alignment vertical="center"/>
    </xf>
    <xf numFmtId="0" fontId="10" fillId="0" borderId="0" xfId="6" applyFont="1" applyFill="1" applyBorder="1" applyAlignment="1">
      <alignment horizontal="center" vertical="center" wrapText="1"/>
    </xf>
    <xf numFmtId="174" fontId="10" fillId="0" borderId="0" xfId="15" applyNumberFormat="1" applyFont="1" applyFill="1" applyBorder="1" applyAlignment="1" applyProtection="1">
      <alignment horizontal="center" vertical="center" wrapText="1"/>
    </xf>
    <xf numFmtId="170" fontId="10" fillId="0" borderId="0" xfId="15" applyNumberFormat="1" applyFont="1" applyFill="1" applyBorder="1" applyAlignment="1" applyProtection="1">
      <alignment horizontal="center" vertical="center" wrapText="1"/>
    </xf>
    <xf numFmtId="0" fontId="19" fillId="0" borderId="19" xfId="13" applyNumberFormat="1" applyFont="1" applyFill="1" applyBorder="1" applyAlignment="1" applyProtection="1">
      <alignment horizontal="center" vertical="center" wrapText="1"/>
    </xf>
    <xf numFmtId="171" fontId="16" fillId="0" borderId="20" xfId="13" applyNumberFormat="1" applyFont="1" applyFill="1" applyBorder="1" applyAlignment="1" applyProtection="1">
      <alignment horizontal="center" vertical="center" wrapText="1"/>
    </xf>
    <xf numFmtId="175" fontId="16" fillId="0" borderId="20" xfId="13" applyNumberFormat="1" applyFont="1" applyFill="1" applyBorder="1" applyAlignment="1" applyProtection="1">
      <alignment horizontal="center" vertical="center" wrapText="1"/>
    </xf>
    <xf numFmtId="176" fontId="16" fillId="0" borderId="21" xfId="13" applyNumberFormat="1" applyFont="1" applyFill="1" applyBorder="1" applyAlignment="1" applyProtection="1">
      <alignment horizontal="center" vertical="center" wrapText="1"/>
    </xf>
    <xf numFmtId="0" fontId="16" fillId="7" borderId="6" xfId="13" applyNumberFormat="1" applyFont="1" applyFill="1" applyBorder="1" applyAlignment="1" applyProtection="1">
      <alignment horizontal="center" vertical="center" wrapText="1"/>
    </xf>
    <xf numFmtId="170" fontId="16" fillId="7" borderId="7" xfId="13" applyNumberFormat="1" applyFont="1" applyFill="1" applyBorder="1" applyAlignment="1" applyProtection="1">
      <alignment horizontal="center" vertical="center" wrapText="1"/>
    </xf>
    <xf numFmtId="170" fontId="16" fillId="7" borderId="7" xfId="13" applyNumberFormat="1" applyFont="1" applyFill="1" applyBorder="1" applyAlignment="1" applyProtection="1">
      <alignment horizontal="justify" vertical="center" wrapText="1"/>
    </xf>
    <xf numFmtId="176" fontId="16" fillId="7" borderId="7" xfId="13" applyNumberFormat="1" applyFont="1" applyFill="1" applyBorder="1" applyAlignment="1" applyProtection="1">
      <alignment horizontal="justify" vertical="center" wrapText="1"/>
    </xf>
    <xf numFmtId="175" fontId="15" fillId="7" borderId="7" xfId="13" applyNumberFormat="1" applyFont="1" applyFill="1" applyBorder="1" applyAlignment="1" applyProtection="1">
      <alignment horizontal="justify" vertical="center" wrapText="1"/>
    </xf>
    <xf numFmtId="168" fontId="16" fillId="7" borderId="8" xfId="13" applyNumberFormat="1" applyFont="1" applyFill="1" applyBorder="1" applyAlignment="1" applyProtection="1">
      <alignment horizontal="right" vertical="center" wrapText="1"/>
    </xf>
    <xf numFmtId="0" fontId="16" fillId="7" borderId="13" xfId="13" applyNumberFormat="1" applyFont="1" applyFill="1" applyBorder="1" applyAlignment="1" applyProtection="1">
      <alignment horizontal="center" vertical="center" wrapText="1"/>
    </xf>
    <xf numFmtId="170" fontId="16" fillId="7" borderId="14" xfId="13" applyNumberFormat="1" applyFont="1" applyFill="1" applyBorder="1" applyAlignment="1" applyProtection="1">
      <alignment horizontal="center" vertical="center" wrapText="1"/>
    </xf>
    <xf numFmtId="168" fontId="16" fillId="7" borderId="0" xfId="13" applyNumberFormat="1" applyFont="1" applyFill="1" applyBorder="1" applyAlignment="1" applyProtection="1">
      <alignment horizontal="center" vertical="center" wrapText="1"/>
    </xf>
    <xf numFmtId="0" fontId="16" fillId="8" borderId="10" xfId="13" applyNumberFormat="1" applyFont="1" applyFill="1" applyBorder="1" applyAlignment="1" applyProtection="1">
      <alignment horizontal="center" vertical="center" wrapText="1"/>
    </xf>
    <xf numFmtId="2" fontId="15" fillId="0" borderId="11" xfId="13" applyNumberFormat="1" applyFont="1" applyFill="1" applyBorder="1" applyAlignment="1" applyProtection="1">
      <alignment horizontal="center" vertical="center" wrapText="1"/>
    </xf>
    <xf numFmtId="170" fontId="15" fillId="0" borderId="11" xfId="16" applyNumberFormat="1" applyFont="1" applyFill="1" applyBorder="1" applyAlignment="1">
      <alignment horizontal="justify" vertical="center" wrapText="1"/>
    </xf>
    <xf numFmtId="0" fontId="15" fillId="0" borderId="11" xfId="16" applyFont="1" applyFill="1" applyBorder="1" applyAlignment="1">
      <alignment horizontal="center" vertical="center" wrapText="1"/>
    </xf>
    <xf numFmtId="171" fontId="15" fillId="8" borderId="11" xfId="13" applyNumberFormat="1" applyFont="1" applyFill="1" applyBorder="1" applyAlignment="1" applyProtection="1">
      <alignment horizontal="center" vertical="center" wrapText="1"/>
    </xf>
    <xf numFmtId="177" fontId="15" fillId="0" borderId="11" xfId="17" applyNumberFormat="1" applyFont="1" applyFill="1" applyBorder="1" applyAlignment="1" applyProtection="1">
      <alignment horizontal="right" vertical="center" wrapText="1"/>
    </xf>
    <xf numFmtId="0" fontId="16" fillId="9" borderId="15" xfId="13" applyNumberFormat="1" applyFont="1" applyFill="1" applyBorder="1" applyAlignment="1" applyProtection="1">
      <alignment horizontal="center" vertical="center" wrapText="1"/>
    </xf>
    <xf numFmtId="2" fontId="15" fillId="0" borderId="1" xfId="13" applyNumberFormat="1" applyFont="1" applyFill="1" applyBorder="1" applyAlignment="1" applyProtection="1">
      <alignment horizontal="center" vertical="center" wrapText="1"/>
    </xf>
    <xf numFmtId="0" fontId="15" fillId="0" borderId="1" xfId="16" applyFont="1" applyFill="1" applyBorder="1" applyAlignment="1">
      <alignment horizontal="justify" vertical="center" wrapText="1"/>
    </xf>
    <xf numFmtId="0" fontId="15" fillId="0" borderId="1" xfId="16" applyFont="1" applyFill="1" applyBorder="1" applyAlignment="1">
      <alignment horizontal="center" vertical="center" wrapText="1"/>
    </xf>
    <xf numFmtId="171" fontId="15" fillId="8" borderId="1" xfId="13" applyNumberFormat="1" applyFont="1" applyFill="1" applyBorder="1" applyAlignment="1" applyProtection="1">
      <alignment horizontal="center" vertical="center" wrapText="1"/>
    </xf>
    <xf numFmtId="177" fontId="15" fillId="0" borderId="1" xfId="17" applyNumberFormat="1" applyFont="1" applyFill="1" applyBorder="1" applyAlignment="1" applyProtection="1">
      <alignment horizontal="right" vertical="center" wrapText="1"/>
    </xf>
    <xf numFmtId="170" fontId="15" fillId="0" borderId="1" xfId="16" applyNumberFormat="1" applyFont="1" applyFill="1" applyBorder="1" applyAlignment="1">
      <alignment horizontal="justify" vertical="center" wrapText="1"/>
    </xf>
    <xf numFmtId="170" fontId="16" fillId="0" borderId="7" xfId="13" applyNumberFormat="1" applyFont="1" applyFill="1" applyBorder="1" applyAlignment="1" applyProtection="1">
      <alignment horizontal="justify" vertical="center" wrapText="1"/>
    </xf>
    <xf numFmtId="176" fontId="16" fillId="0" borderId="7" xfId="13" applyNumberFormat="1" applyFont="1" applyFill="1" applyBorder="1" applyAlignment="1" applyProtection="1">
      <alignment horizontal="justify" vertical="center" wrapText="1"/>
    </xf>
    <xf numFmtId="177" fontId="15" fillId="7" borderId="7" xfId="13" applyNumberFormat="1" applyFont="1" applyFill="1" applyBorder="1" applyAlignment="1" applyProtection="1">
      <alignment horizontal="justify" vertical="center" wrapText="1"/>
    </xf>
    <xf numFmtId="0" fontId="16" fillId="8" borderId="15" xfId="13" applyNumberFormat="1" applyFont="1" applyFill="1" applyBorder="1" applyAlignment="1" applyProtection="1">
      <alignment horizontal="center" vertical="center" wrapText="1"/>
    </xf>
    <xf numFmtId="170" fontId="16" fillId="0" borderId="7" xfId="13" applyNumberFormat="1" applyFont="1" applyFill="1" applyBorder="1" applyAlignment="1" applyProtection="1">
      <alignment horizontal="center" vertical="center" wrapText="1"/>
    </xf>
    <xf numFmtId="0" fontId="16" fillId="0" borderId="10" xfId="13" applyNumberFormat="1" applyFont="1" applyFill="1" applyBorder="1" applyAlignment="1" applyProtection="1">
      <alignment horizontal="center" vertical="center" wrapText="1"/>
    </xf>
    <xf numFmtId="170" fontId="16" fillId="0" borderId="11" xfId="13" applyNumberFormat="1" applyFont="1" applyFill="1" applyBorder="1" applyAlignment="1" applyProtection="1">
      <alignment horizontal="center" vertical="center" wrapText="1"/>
    </xf>
    <xf numFmtId="170" fontId="16" fillId="0" borderId="11" xfId="13" applyNumberFormat="1" applyFont="1" applyFill="1" applyBorder="1" applyAlignment="1" applyProtection="1">
      <alignment horizontal="justify" vertical="center" wrapText="1"/>
    </xf>
    <xf numFmtId="176" fontId="16" fillId="0" borderId="11" xfId="13" applyNumberFormat="1" applyFont="1" applyFill="1" applyBorder="1" applyAlignment="1" applyProtection="1">
      <alignment horizontal="justify" vertical="center" wrapText="1"/>
    </xf>
    <xf numFmtId="175" fontId="15" fillId="0" borderId="11" xfId="13" applyNumberFormat="1" applyFont="1" applyFill="1" applyBorder="1" applyAlignment="1" applyProtection="1">
      <alignment horizontal="justify" vertical="center" wrapText="1"/>
    </xf>
    <xf numFmtId="177" fontId="15" fillId="0" borderId="11" xfId="13" applyNumberFormat="1" applyFont="1" applyFill="1" applyBorder="1" applyAlignment="1" applyProtection="1">
      <alignment horizontal="justify" vertical="center" wrapText="1"/>
    </xf>
    <xf numFmtId="171" fontId="15" fillId="4" borderId="1" xfId="13" applyNumberFormat="1" applyFont="1" applyFill="1" applyBorder="1" applyAlignment="1" applyProtection="1">
      <alignment horizontal="center" vertical="center" wrapText="1"/>
    </xf>
    <xf numFmtId="0" fontId="15" fillId="0" borderId="3" xfId="16" applyFont="1" applyFill="1" applyBorder="1" applyAlignment="1">
      <alignment horizontal="justify" vertical="center" wrapText="1"/>
    </xf>
    <xf numFmtId="0" fontId="15" fillId="0" borderId="3" xfId="16" applyFont="1" applyFill="1" applyBorder="1" applyAlignment="1">
      <alignment horizontal="center" vertical="center" wrapText="1"/>
    </xf>
    <xf numFmtId="171" fontId="15" fillId="8" borderId="3" xfId="13" applyNumberFormat="1" applyFont="1" applyFill="1" applyBorder="1" applyAlignment="1" applyProtection="1">
      <alignment horizontal="center" vertical="center" wrapText="1"/>
    </xf>
    <xf numFmtId="177" fontId="15" fillId="0" borderId="3" xfId="17" applyNumberFormat="1" applyFont="1" applyFill="1" applyBorder="1" applyAlignment="1" applyProtection="1">
      <alignment horizontal="right" vertical="center" wrapText="1"/>
    </xf>
    <xf numFmtId="0" fontId="16" fillId="0" borderId="15" xfId="13" applyNumberFormat="1" applyFont="1" applyFill="1" applyBorder="1" applyAlignment="1" applyProtection="1">
      <alignment horizontal="center" vertical="center" wrapText="1"/>
    </xf>
    <xf numFmtId="2" fontId="15" fillId="0" borderId="16" xfId="13" applyNumberFormat="1" applyFont="1" applyFill="1" applyBorder="1" applyAlignment="1" applyProtection="1">
      <alignment horizontal="center" vertical="center" wrapText="1"/>
    </xf>
    <xf numFmtId="0" fontId="16" fillId="0" borderId="19" xfId="16" applyFont="1" applyFill="1" applyBorder="1" applyAlignment="1">
      <alignment horizontal="justify" vertical="center" wrapText="1"/>
    </xf>
    <xf numFmtId="0" fontId="15" fillId="0" borderId="20" xfId="16" applyFont="1" applyFill="1" applyBorder="1" applyAlignment="1">
      <alignment horizontal="center" vertical="center" wrapText="1"/>
    </xf>
    <xf numFmtId="171" fontId="15" fillId="0" borderId="20" xfId="13" applyNumberFormat="1" applyFont="1" applyFill="1" applyBorder="1" applyAlignment="1" applyProtection="1">
      <alignment horizontal="center" vertical="center" wrapText="1"/>
    </xf>
    <xf numFmtId="177" fontId="15" fillId="0" borderId="20" xfId="17" applyNumberFormat="1" applyFont="1" applyFill="1" applyBorder="1" applyAlignment="1" applyProtection="1">
      <alignment horizontal="right" vertical="center" wrapText="1"/>
    </xf>
    <xf numFmtId="168" fontId="16" fillId="0" borderId="21" xfId="13" applyNumberFormat="1" applyFont="1" applyFill="1" applyBorder="1" applyAlignment="1" applyProtection="1">
      <alignment horizontal="right" vertical="center" wrapText="1"/>
    </xf>
    <xf numFmtId="0" fontId="15" fillId="0" borderId="5" xfId="16" applyFont="1" applyFill="1" applyBorder="1" applyAlignment="1">
      <alignment horizontal="justify" vertical="center" wrapText="1"/>
    </xf>
    <xf numFmtId="0" fontId="15" fillId="0" borderId="5" xfId="16" applyFont="1" applyFill="1" applyBorder="1" applyAlignment="1">
      <alignment horizontal="center" vertical="center" wrapText="1"/>
    </xf>
    <xf numFmtId="171" fontId="15" fillId="8" borderId="5" xfId="13" applyNumberFormat="1" applyFont="1" applyFill="1" applyBorder="1" applyAlignment="1" applyProtection="1">
      <alignment horizontal="center" vertical="center" wrapText="1"/>
    </xf>
    <xf numFmtId="177" fontId="15" fillId="0" borderId="5" xfId="17" applyNumberFormat="1" applyFont="1" applyFill="1" applyBorder="1" applyAlignment="1" applyProtection="1">
      <alignment horizontal="right" vertical="center" wrapText="1"/>
    </xf>
    <xf numFmtId="171" fontId="15" fillId="0" borderId="1" xfId="13" applyNumberFormat="1" applyFont="1" applyFill="1" applyBorder="1" applyAlignment="1" applyProtection="1">
      <alignment horizontal="center" vertical="center" wrapText="1"/>
    </xf>
    <xf numFmtId="0" fontId="16" fillId="0" borderId="1" xfId="16" applyFont="1" applyFill="1" applyBorder="1" applyAlignment="1">
      <alignment horizontal="justify" vertical="center" wrapText="1"/>
    </xf>
    <xf numFmtId="0" fontId="16" fillId="0" borderId="1" xfId="16" applyFont="1" applyFill="1" applyBorder="1" applyAlignment="1">
      <alignment horizontal="center" vertical="center" wrapText="1"/>
    </xf>
    <xf numFmtId="171" fontId="16" fillId="0" borderId="1" xfId="13" applyNumberFormat="1" applyFont="1" applyFill="1" applyBorder="1" applyAlignment="1" applyProtection="1">
      <alignment horizontal="center" vertical="center" wrapText="1"/>
    </xf>
    <xf numFmtId="177" fontId="16" fillId="0" borderId="1" xfId="17" applyNumberFormat="1" applyFont="1" applyFill="1" applyBorder="1" applyAlignment="1" applyProtection="1">
      <alignment horizontal="right" vertical="center" wrapText="1"/>
    </xf>
    <xf numFmtId="2" fontId="16" fillId="0" borderId="1" xfId="13" applyNumberFormat="1" applyFont="1" applyFill="1" applyBorder="1" applyAlignment="1" applyProtection="1">
      <alignment horizontal="center" vertical="center" wrapText="1"/>
    </xf>
    <xf numFmtId="0" fontId="16" fillId="8" borderId="18" xfId="13" applyNumberFormat="1" applyFont="1" applyFill="1" applyBorder="1" applyAlignment="1" applyProtection="1">
      <alignment horizontal="center" vertical="center" wrapText="1"/>
    </xf>
    <xf numFmtId="2" fontId="15" fillId="0" borderId="3" xfId="13" applyNumberFormat="1" applyFont="1" applyFill="1" applyBorder="1" applyAlignment="1" applyProtection="1">
      <alignment horizontal="center" vertical="center" wrapText="1"/>
    </xf>
    <xf numFmtId="0" fontId="16" fillId="8" borderId="22" xfId="13" applyNumberFormat="1" applyFont="1" applyFill="1" applyBorder="1" applyAlignment="1" applyProtection="1">
      <alignment horizontal="center" vertical="center" wrapText="1"/>
    </xf>
    <xf numFmtId="2" fontId="15" fillId="0" borderId="24" xfId="13" applyNumberFormat="1" applyFont="1" applyFill="1" applyBorder="1" applyAlignment="1" applyProtection="1">
      <alignment horizontal="center" vertical="center" wrapText="1"/>
    </xf>
    <xf numFmtId="0" fontId="15" fillId="0" borderId="24" xfId="16" applyFont="1" applyFill="1" applyBorder="1" applyAlignment="1">
      <alignment horizontal="justify" vertical="center" wrapText="1"/>
    </xf>
    <xf numFmtId="0" fontId="15" fillId="0" borderId="24" xfId="16" applyFont="1" applyFill="1" applyBorder="1" applyAlignment="1">
      <alignment horizontal="center" vertical="center" wrapText="1"/>
    </xf>
    <xf numFmtId="171" fontId="15" fillId="8" borderId="24" xfId="13" applyNumberFormat="1" applyFont="1" applyFill="1" applyBorder="1" applyAlignment="1" applyProtection="1">
      <alignment horizontal="center" vertical="center" wrapText="1"/>
    </xf>
    <xf numFmtId="177" fontId="15" fillId="0" borderId="24" xfId="17" applyNumberFormat="1" applyFont="1" applyFill="1" applyBorder="1" applyAlignment="1" applyProtection="1">
      <alignment horizontal="right" vertical="center" wrapText="1"/>
    </xf>
    <xf numFmtId="2" fontId="16" fillId="0" borderId="7" xfId="13" applyNumberFormat="1" applyFont="1" applyFill="1" applyBorder="1" applyAlignment="1" applyProtection="1">
      <alignment horizontal="center" vertical="center" wrapText="1"/>
    </xf>
    <xf numFmtId="2" fontId="16" fillId="0" borderId="11" xfId="16" applyNumberFormat="1" applyFont="1" applyFill="1" applyBorder="1" applyAlignment="1">
      <alignment vertical="center" wrapText="1"/>
    </xf>
    <xf numFmtId="0" fontId="16" fillId="0" borderId="11" xfId="16" applyFont="1" applyFill="1" applyBorder="1" applyAlignment="1">
      <alignment vertical="center" wrapText="1"/>
    </xf>
    <xf numFmtId="2" fontId="16" fillId="0" borderId="19" xfId="13" applyNumberFormat="1" applyFont="1" applyFill="1" applyBorder="1" applyAlignment="1" applyProtection="1">
      <alignment horizontal="center" vertical="center" wrapText="1"/>
    </xf>
    <xf numFmtId="0" fontId="16" fillId="0" borderId="20" xfId="16" applyFont="1" applyFill="1" applyBorder="1" applyAlignment="1">
      <alignment horizontal="justify" vertical="center" wrapText="1"/>
    </xf>
    <xf numFmtId="0" fontId="16" fillId="0" borderId="20" xfId="16" applyFont="1" applyFill="1" applyBorder="1" applyAlignment="1">
      <alignment horizontal="center" vertical="center" wrapText="1"/>
    </xf>
    <xf numFmtId="171" fontId="16" fillId="7" borderId="20" xfId="13" applyNumberFormat="1" applyFont="1" applyFill="1" applyBorder="1" applyAlignment="1" applyProtection="1">
      <alignment horizontal="center" vertical="center" wrapText="1"/>
    </xf>
    <xf numFmtId="177" fontId="16" fillId="7" borderId="20" xfId="17" applyNumberFormat="1" applyFont="1" applyFill="1" applyBorder="1" applyAlignment="1" applyProtection="1">
      <alignment horizontal="right" vertical="center" wrapText="1"/>
    </xf>
    <xf numFmtId="2" fontId="15" fillId="0" borderId="5" xfId="13" applyNumberFormat="1" applyFont="1" applyFill="1" applyBorder="1" applyAlignment="1" applyProtection="1">
      <alignment horizontal="center" vertical="center" wrapText="1"/>
    </xf>
    <xf numFmtId="2" fontId="16" fillId="7" borderId="7" xfId="13" applyNumberFormat="1" applyFont="1" applyFill="1" applyBorder="1" applyAlignment="1" applyProtection="1">
      <alignment horizontal="center" vertical="center" wrapText="1"/>
    </xf>
    <xf numFmtId="2" fontId="16" fillId="0" borderId="11" xfId="13" applyNumberFormat="1" applyFont="1" applyFill="1" applyBorder="1" applyAlignment="1" applyProtection="1">
      <alignment horizontal="center" vertical="center" wrapText="1"/>
    </xf>
    <xf numFmtId="0" fontId="18" fillId="0" borderId="0" xfId="6" applyFont="1" applyBorder="1" applyAlignment="1">
      <alignment vertical="center"/>
    </xf>
    <xf numFmtId="0" fontId="16" fillId="0" borderId="0" xfId="10" applyFont="1" applyFill="1" applyBorder="1" applyAlignment="1">
      <alignment horizontal="right" vertical="center" wrapText="1"/>
    </xf>
    <xf numFmtId="175" fontId="18" fillId="0" borderId="0" xfId="13" applyNumberFormat="1" applyFont="1" applyBorder="1" applyAlignment="1">
      <alignment horizontal="center" vertical="center"/>
    </xf>
    <xf numFmtId="175" fontId="15" fillId="0" borderId="0" xfId="13" applyNumberFormat="1" applyFont="1" applyBorder="1" applyAlignment="1">
      <alignment vertical="center"/>
    </xf>
    <xf numFmtId="172" fontId="16" fillId="0" borderId="0" xfId="13" applyNumberFormat="1" applyFont="1" applyFill="1" applyBorder="1" applyAlignment="1">
      <alignment horizontal="right" vertical="center"/>
    </xf>
    <xf numFmtId="176" fontId="16" fillId="0" borderId="0" xfId="18" applyNumberFormat="1" applyFont="1" applyAlignment="1">
      <alignment horizontal="center" vertical="center" wrapText="1"/>
    </xf>
    <xf numFmtId="0" fontId="15" fillId="0" borderId="0" xfId="6" applyFont="1" applyBorder="1" applyAlignment="1">
      <alignment horizontal="center" vertical="center" wrapText="1"/>
    </xf>
    <xf numFmtId="0" fontId="16" fillId="0" borderId="0" xfId="10" applyFont="1" applyFill="1" applyBorder="1" applyAlignment="1">
      <alignment vertical="top" wrapText="1"/>
    </xf>
    <xf numFmtId="175" fontId="15" fillId="0" borderId="0" xfId="13" applyNumberFormat="1" applyFont="1" applyBorder="1" applyAlignment="1">
      <alignment horizontal="center"/>
    </xf>
    <xf numFmtId="175" fontId="15" fillId="0" borderId="0" xfId="6" applyNumberFormat="1" applyFont="1" applyBorder="1"/>
    <xf numFmtId="168" fontId="16" fillId="0" borderId="0" xfId="13" applyNumberFormat="1" applyFont="1" applyFill="1" applyBorder="1" applyAlignment="1">
      <alignment horizontal="right" vertical="center"/>
    </xf>
    <xf numFmtId="0" fontId="15" fillId="0" borderId="0" xfId="6" applyFont="1" applyBorder="1" applyAlignment="1">
      <alignment horizontal="center"/>
    </xf>
    <xf numFmtId="175" fontId="15" fillId="0" borderId="0" xfId="6" applyNumberFormat="1" applyFont="1" applyBorder="1" applyAlignment="1">
      <alignment horizontal="center" vertical="center" wrapText="1"/>
    </xf>
    <xf numFmtId="0" fontId="16" fillId="0" borderId="0" xfId="19" applyFont="1" applyFill="1" applyBorder="1" applyAlignment="1">
      <alignment horizontal="right" vertical="center"/>
    </xf>
    <xf numFmtId="10" fontId="20" fillId="0" borderId="0" xfId="14" applyNumberFormat="1" applyFont="1" applyBorder="1" applyAlignment="1">
      <alignment horizontal="center" vertical="center"/>
    </xf>
    <xf numFmtId="0" fontId="18" fillId="0" borderId="0" xfId="6" applyFont="1" applyAlignment="1">
      <alignment vertical="center"/>
    </xf>
    <xf numFmtId="172" fontId="18" fillId="0" borderId="0" xfId="6" applyNumberFormat="1" applyFont="1" applyAlignment="1">
      <alignment horizontal="center" vertical="center"/>
    </xf>
    <xf numFmtId="49" fontId="20" fillId="0" borderId="0" xfId="6" applyNumberFormat="1" applyFont="1" applyFill="1" applyBorder="1" applyAlignment="1">
      <alignment horizontal="right" vertical="center" wrapText="1"/>
    </xf>
    <xf numFmtId="0" fontId="18" fillId="0" borderId="0" xfId="6" applyFont="1" applyBorder="1" applyAlignment="1">
      <alignment horizontal="left" vertical="center" wrapText="1"/>
    </xf>
    <xf numFmtId="172" fontId="10" fillId="0" borderId="0" xfId="13" applyNumberFormat="1" applyFont="1" applyFill="1" applyBorder="1" applyAlignment="1">
      <alignment horizontal="right" vertical="center"/>
    </xf>
    <xf numFmtId="0" fontId="13" fillId="0" borderId="0" xfId="6" applyFont="1" applyBorder="1" applyAlignment="1">
      <alignment vertical="center"/>
    </xf>
    <xf numFmtId="172" fontId="12" fillId="0" borderId="0" xfId="6" applyNumberFormat="1" applyFont="1" applyAlignment="1">
      <alignment horizontal="center" vertical="center"/>
    </xf>
    <xf numFmtId="0" fontId="22" fillId="0" borderId="0" xfId="6" applyFont="1" applyBorder="1" applyAlignment="1">
      <alignment horizontal="center" vertical="center"/>
    </xf>
    <xf numFmtId="0" fontId="23" fillId="0" borderId="0" xfId="6" applyFont="1" applyBorder="1" applyAlignment="1">
      <alignment horizontal="center" vertical="center" wrapText="1"/>
    </xf>
    <xf numFmtId="0" fontId="24" fillId="0" borderId="0" xfId="6" applyFont="1" applyBorder="1" applyAlignment="1">
      <alignment vertical="center"/>
    </xf>
    <xf numFmtId="175" fontId="24" fillId="0" borderId="0" xfId="20" applyNumberFormat="1" applyFont="1" applyBorder="1" applyAlignment="1">
      <alignment horizontal="center" vertical="center"/>
    </xf>
    <xf numFmtId="175" fontId="23" fillId="0" borderId="0" xfId="20" applyNumberFormat="1" applyFont="1" applyBorder="1" applyAlignment="1">
      <alignment vertical="center"/>
    </xf>
    <xf numFmtId="176" fontId="24" fillId="0" borderId="0" xfId="20" applyNumberFormat="1" applyFont="1" applyBorder="1" applyAlignment="1">
      <alignment vertical="center"/>
    </xf>
    <xf numFmtId="175" fontId="26" fillId="0" borderId="0" xfId="20" applyNumberFormat="1" applyFont="1" applyBorder="1" applyAlignment="1">
      <alignment horizontal="center" vertical="center"/>
    </xf>
    <xf numFmtId="175" fontId="25" fillId="0" borderId="0" xfId="20" applyNumberFormat="1" applyFont="1" applyBorder="1" applyAlignment="1">
      <alignment vertical="center"/>
    </xf>
    <xf numFmtId="176" fontId="26" fillId="0" borderId="0" xfId="20" applyNumberFormat="1" applyFont="1" applyBorder="1" applyAlignment="1">
      <alignment vertical="center"/>
    </xf>
    <xf numFmtId="0" fontId="27" fillId="0" borderId="0" xfId="6" applyFont="1" applyBorder="1" applyAlignment="1">
      <alignment horizontal="center" vertical="center" wrapText="1"/>
    </xf>
    <xf numFmtId="0" fontId="22" fillId="0" borderId="0" xfId="6" applyFont="1" applyAlignment="1">
      <alignment horizontal="center" vertical="center"/>
    </xf>
    <xf numFmtId="0" fontId="23" fillId="0" borderId="0" xfId="6" applyFont="1" applyBorder="1" applyAlignment="1">
      <alignment vertical="center" wrapText="1"/>
    </xf>
    <xf numFmtId="0" fontId="28" fillId="0" borderId="39" xfId="6" applyFont="1" applyBorder="1" applyAlignment="1">
      <alignment horizontal="center" vertical="center" wrapText="1"/>
    </xf>
    <xf numFmtId="0" fontId="28" fillId="0" borderId="0" xfId="6" applyFont="1" applyBorder="1" applyAlignment="1">
      <alignment horizontal="center" vertical="center" wrapText="1"/>
    </xf>
    <xf numFmtId="178" fontId="15" fillId="7" borderId="7" xfId="13" applyNumberFormat="1" applyFont="1" applyFill="1" applyBorder="1" applyAlignment="1" applyProtection="1">
      <alignment vertical="center" wrapText="1"/>
    </xf>
    <xf numFmtId="164" fontId="21" fillId="0" borderId="0" xfId="1" applyFont="1" applyBorder="1" applyAlignment="1">
      <alignment horizontal="center" vertical="center"/>
    </xf>
    <xf numFmtId="174" fontId="16" fillId="0" borderId="23" xfId="13" applyNumberFormat="1" applyFont="1" applyFill="1" applyBorder="1" applyAlignment="1" applyProtection="1">
      <alignment horizontal="center" vertical="center" wrapText="1"/>
    </xf>
    <xf numFmtId="174" fontId="15" fillId="5" borderId="23" xfId="13" applyNumberFormat="1" applyFont="1" applyFill="1" applyBorder="1" applyAlignment="1" applyProtection="1">
      <alignment horizontal="right" vertical="center" wrapText="1"/>
    </xf>
    <xf numFmtId="168" fontId="16" fillId="7" borderId="33" xfId="13" applyNumberFormat="1" applyFont="1" applyFill="1" applyBorder="1" applyAlignment="1" applyProtection="1">
      <alignment horizontal="right" vertical="center" wrapText="1"/>
    </xf>
    <xf numFmtId="168" fontId="16" fillId="0" borderId="17" xfId="13" applyNumberFormat="1" applyFont="1" applyFill="1" applyBorder="1" applyAlignment="1" applyProtection="1">
      <alignment horizontal="right" vertical="center" wrapText="1"/>
    </xf>
    <xf numFmtId="174" fontId="16" fillId="0" borderId="23" xfId="13" applyNumberFormat="1" applyFont="1" applyFill="1" applyBorder="1" applyAlignment="1" applyProtection="1">
      <alignment horizontal="right" vertical="center" wrapText="1"/>
    </xf>
    <xf numFmtId="174" fontId="15" fillId="0" borderId="23" xfId="13" applyNumberFormat="1" applyFont="1" applyFill="1" applyBorder="1" applyAlignment="1" applyProtection="1">
      <alignment horizontal="right" vertical="center" wrapText="1"/>
    </xf>
    <xf numFmtId="174" fontId="16" fillId="7" borderId="23" xfId="13" applyNumberFormat="1" applyFont="1" applyFill="1" applyBorder="1" applyAlignment="1" applyProtection="1">
      <alignment horizontal="right" vertical="center" wrapText="1"/>
    </xf>
    <xf numFmtId="7" fontId="15" fillId="7" borderId="7" xfId="13" applyNumberFormat="1" applyFont="1" applyFill="1" applyBorder="1" applyAlignment="1" applyProtection="1">
      <alignment vertical="center" wrapText="1"/>
    </xf>
    <xf numFmtId="168" fontId="15" fillId="5" borderId="23" xfId="13" applyNumberFormat="1" applyFont="1" applyFill="1" applyBorder="1" applyAlignment="1" applyProtection="1">
      <alignment horizontal="right" vertical="center" wrapText="1"/>
    </xf>
    <xf numFmtId="10" fontId="20" fillId="4" borderId="0" xfId="14" applyNumberFormat="1" applyFont="1" applyFill="1" applyBorder="1" applyAlignment="1">
      <alignment horizontal="center" vertical="center"/>
    </xf>
    <xf numFmtId="180" fontId="16" fillId="0" borderId="0" xfId="4" applyNumberFormat="1" applyFont="1" applyFill="1" applyBorder="1" applyAlignment="1">
      <alignment horizontal="right" vertical="center"/>
    </xf>
    <xf numFmtId="0" fontId="0" fillId="0" borderId="0" xfId="0" applyBorder="1" applyAlignment="1" applyProtection="1">
      <alignment horizontal="center"/>
      <protection locked="0"/>
    </xf>
    <xf numFmtId="166" fontId="0" fillId="0" borderId="0" xfId="2" applyFont="1" applyBorder="1" applyAlignment="1" applyProtection="1">
      <alignment horizontal="center" vertical="center" wrapText="1"/>
      <protection locked="0"/>
    </xf>
    <xf numFmtId="0" fontId="0" fillId="0" borderId="0" xfId="0" applyBorder="1" applyAlignment="1" applyProtection="1">
      <alignment horizontal="center" vertical="center" wrapText="1"/>
      <protection locked="0" hidden="1"/>
    </xf>
    <xf numFmtId="0" fontId="0" fillId="0" borderId="0" xfId="0" applyBorder="1" applyAlignment="1" applyProtection="1">
      <alignment horizontal="center" vertical="center" wrapText="1"/>
      <protection hidden="1"/>
    </xf>
    <xf numFmtId="0" fontId="1" fillId="0" borderId="0" xfId="0" applyFont="1" applyBorder="1" applyAlignment="1" applyProtection="1">
      <alignment horizontal="center"/>
      <protection locked="0"/>
    </xf>
    <xf numFmtId="166" fontId="0" fillId="0" borderId="0" xfId="2" applyFont="1" applyBorder="1" applyAlignment="1" applyProtection="1">
      <alignment vertical="center"/>
      <protection locked="0"/>
    </xf>
    <xf numFmtId="0" fontId="1" fillId="0" borderId="1" xfId="0" applyFont="1" applyBorder="1" applyAlignment="1" applyProtection="1">
      <alignment horizontal="center"/>
      <protection locked="0"/>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173" fontId="0" fillId="0" borderId="0" xfId="0" applyNumberFormat="1" applyProtection="1">
      <protection locked="0"/>
    </xf>
    <xf numFmtId="173" fontId="12" fillId="0" borderId="1" xfId="0" applyNumberFormat="1" applyFont="1" applyBorder="1" applyAlignment="1">
      <alignment horizontal="center" vertical="center"/>
    </xf>
    <xf numFmtId="173" fontId="12" fillId="0" borderId="1" xfId="0" applyNumberFormat="1" applyFont="1" applyBorder="1" applyAlignment="1">
      <alignment vertical="center"/>
    </xf>
    <xf numFmtId="0" fontId="0" fillId="0" borderId="0" xfId="0" applyAlignment="1" applyProtection="1">
      <alignment horizontal="center" wrapText="1"/>
      <protection locked="0"/>
    </xf>
    <xf numFmtId="173" fontId="12" fillId="0" borderId="1" xfId="0" applyNumberFormat="1" applyFont="1" applyBorder="1" applyAlignment="1">
      <alignment horizontal="center" vertical="center" wrapText="1"/>
    </xf>
    <xf numFmtId="10" fontId="0" fillId="4" borderId="0" xfId="4" applyNumberFormat="1" applyFont="1" applyFill="1" applyBorder="1" applyAlignment="1" applyProtection="1">
      <alignment horizontal="center" vertical="center"/>
      <protection locked="0"/>
    </xf>
    <xf numFmtId="0" fontId="16" fillId="0" borderId="31" xfId="13" applyNumberFormat="1" applyFont="1" applyFill="1" applyBorder="1" applyAlignment="1" applyProtection="1">
      <alignment horizontal="center" vertical="center" wrapText="1"/>
    </xf>
    <xf numFmtId="0" fontId="0" fillId="0" borderId="1" xfId="0" applyBorder="1" applyAlignment="1">
      <alignment horizontal="center"/>
    </xf>
    <xf numFmtId="0" fontId="29" fillId="0" borderId="0" xfId="6" applyFont="1" applyAlignment="1">
      <alignment vertical="center"/>
    </xf>
    <xf numFmtId="15" fontId="30" fillId="0" borderId="34" xfId="15" applyNumberFormat="1" applyFont="1" applyFill="1" applyBorder="1" applyAlignment="1" applyProtection="1">
      <alignment vertical="center" wrapText="1"/>
    </xf>
    <xf numFmtId="15" fontId="30" fillId="0" borderId="35" xfId="15" applyNumberFormat="1" applyFont="1" applyFill="1" applyBorder="1" applyAlignment="1" applyProtection="1">
      <alignment vertical="center" wrapText="1"/>
    </xf>
    <xf numFmtId="15" fontId="30" fillId="0" borderId="36" xfId="15" applyNumberFormat="1" applyFont="1" applyFill="1" applyBorder="1" applyAlignment="1" applyProtection="1">
      <alignment vertical="center" wrapText="1"/>
    </xf>
    <xf numFmtId="176" fontId="13" fillId="0" borderId="0" xfId="13" applyNumberFormat="1" applyFont="1" applyAlignment="1">
      <alignment horizontal="center" vertical="center"/>
    </xf>
    <xf numFmtId="7" fontId="18" fillId="0" borderId="1" xfId="13" applyNumberFormat="1" applyFont="1" applyBorder="1" applyAlignment="1"/>
    <xf numFmtId="0" fontId="18" fillId="0" borderId="1" xfId="0" applyFont="1" applyBorder="1" applyAlignment="1">
      <alignment horizontal="center" vertical="center"/>
    </xf>
    <xf numFmtId="174" fontId="15" fillId="0" borderId="23" xfId="13" applyNumberFormat="1" applyFont="1" applyBorder="1" applyAlignment="1">
      <alignment vertical="center"/>
    </xf>
    <xf numFmtId="43" fontId="18" fillId="0" borderId="1" xfId="13" applyFont="1" applyBorder="1" applyAlignment="1">
      <alignment horizontal="center" vertical="center"/>
    </xf>
    <xf numFmtId="174" fontId="18" fillId="0" borderId="23" xfId="6" applyNumberFormat="1" applyFont="1" applyFill="1" applyBorder="1" applyAlignment="1">
      <alignment vertical="center"/>
    </xf>
    <xf numFmtId="0" fontId="18" fillId="0" borderId="0" xfId="6" applyFont="1" applyFill="1" applyAlignment="1">
      <alignment vertical="center"/>
    </xf>
    <xf numFmtId="0" fontId="20" fillId="0" borderId="0" xfId="6" applyFont="1" applyFill="1" applyAlignment="1">
      <alignment vertical="center"/>
    </xf>
    <xf numFmtId="179" fontId="18" fillId="0" borderId="1" xfId="13" applyNumberFormat="1" applyFont="1" applyBorder="1" applyAlignment="1">
      <alignment horizontal="center" vertical="center"/>
    </xf>
    <xf numFmtId="0" fontId="32" fillId="0" borderId="33" xfId="6" applyFont="1" applyFill="1" applyBorder="1" applyAlignment="1">
      <alignment wrapText="1"/>
    </xf>
    <xf numFmtId="176" fontId="15" fillId="0" borderId="0" xfId="13" applyNumberFormat="1" applyFont="1" applyAlignment="1">
      <alignment vertical="center"/>
    </xf>
    <xf numFmtId="0" fontId="20" fillId="0" borderId="0" xfId="6" applyFont="1" applyBorder="1" applyAlignment="1">
      <alignment horizontal="center" vertical="center"/>
    </xf>
    <xf numFmtId="10" fontId="18" fillId="0" borderId="0" xfId="14" applyNumberFormat="1" applyFont="1" applyBorder="1" applyAlignment="1">
      <alignment horizontal="center" vertical="center"/>
    </xf>
    <xf numFmtId="165" fontId="15" fillId="0" borderId="0" xfId="17" applyFont="1" applyAlignment="1">
      <alignment vertical="center"/>
    </xf>
    <xf numFmtId="175" fontId="18" fillId="0" borderId="0" xfId="13" applyNumberFormat="1" applyFont="1" applyAlignment="1">
      <alignment horizontal="center" vertical="center"/>
    </xf>
    <xf numFmtId="0" fontId="20" fillId="0" borderId="0" xfId="6" applyFont="1" applyAlignment="1">
      <alignment horizontal="center" vertical="center"/>
    </xf>
    <xf numFmtId="175" fontId="15" fillId="0" borderId="0" xfId="13" applyNumberFormat="1" applyFont="1" applyAlignment="1">
      <alignment vertical="center"/>
    </xf>
    <xf numFmtId="168" fontId="15" fillId="0" borderId="0" xfId="13" applyNumberFormat="1" applyFont="1" applyFill="1" applyAlignment="1">
      <alignment vertical="center"/>
    </xf>
    <xf numFmtId="168" fontId="15" fillId="0" borderId="0" xfId="17" applyNumberFormat="1" applyFont="1" applyFill="1" applyAlignment="1">
      <alignment vertical="center"/>
    </xf>
    <xf numFmtId="9" fontId="18" fillId="0" borderId="0" xfId="14" applyFont="1" applyAlignment="1">
      <alignment horizontal="center" vertical="center"/>
    </xf>
    <xf numFmtId="0" fontId="15" fillId="0" borderId="0" xfId="6" applyFont="1" applyAlignment="1">
      <alignment vertical="center"/>
    </xf>
    <xf numFmtId="173" fontId="33" fillId="0" borderId="1" xfId="0" applyNumberFormat="1" applyFont="1" applyBorder="1" applyAlignment="1">
      <alignment vertical="center"/>
    </xf>
    <xf numFmtId="182" fontId="0" fillId="0" borderId="1" xfId="0" applyNumberFormat="1" applyBorder="1" applyAlignment="1">
      <alignment horizontal="center" vertical="center"/>
    </xf>
    <xf numFmtId="181" fontId="5" fillId="0" borderId="1" xfId="0" applyNumberFormat="1" applyFont="1" applyBorder="1" applyAlignment="1">
      <alignment horizontal="center" vertical="center"/>
    </xf>
    <xf numFmtId="10" fontId="18" fillId="0" borderId="1" xfId="4" applyNumberFormat="1" applyFont="1" applyBorder="1" applyAlignment="1">
      <alignment horizontal="center" vertical="center"/>
    </xf>
    <xf numFmtId="0" fontId="16" fillId="0" borderId="27" xfId="6" applyFont="1" applyBorder="1" applyAlignment="1">
      <alignment horizontal="center" vertical="center" wrapText="1"/>
    </xf>
    <xf numFmtId="0" fontId="16" fillId="0" borderId="28" xfId="6" applyFont="1" applyBorder="1" applyAlignment="1">
      <alignment horizontal="center" vertical="center" wrapText="1"/>
    </xf>
    <xf numFmtId="0" fontId="16" fillId="0" borderId="29" xfId="6" applyFont="1" applyBorder="1" applyAlignment="1">
      <alignment horizontal="center" vertical="center" wrapText="1"/>
    </xf>
    <xf numFmtId="0" fontId="16" fillId="0" borderId="30" xfId="6" applyFont="1" applyBorder="1" applyAlignment="1">
      <alignment horizontal="center" vertical="center" wrapText="1"/>
    </xf>
    <xf numFmtId="0" fontId="16" fillId="0" borderId="32" xfId="6" applyFont="1" applyBorder="1" applyAlignment="1">
      <alignment horizontal="center" vertical="center" wrapText="1"/>
    </xf>
    <xf numFmtId="0" fontId="16" fillId="0" borderId="12" xfId="6" applyFont="1" applyBorder="1" applyAlignment="1">
      <alignment horizontal="center" vertical="center" wrapText="1"/>
    </xf>
    <xf numFmtId="0" fontId="15" fillId="0" borderId="31" xfId="6" applyFont="1" applyBorder="1" applyAlignment="1">
      <alignment horizontal="center" vertical="center" wrapText="1"/>
    </xf>
    <xf numFmtId="0" fontId="15" fillId="0" borderId="23" xfId="6" applyFont="1" applyBorder="1" applyAlignment="1">
      <alignment horizontal="center" vertical="center" wrapText="1"/>
    </xf>
    <xf numFmtId="0" fontId="15" fillId="0" borderId="2" xfId="6" applyFont="1" applyBorder="1" applyAlignment="1">
      <alignment horizontal="center" vertical="center" wrapText="1"/>
    </xf>
    <xf numFmtId="0" fontId="16" fillId="0" borderId="31" xfId="6" applyFont="1" applyBorder="1" applyAlignment="1">
      <alignment horizontal="center" vertical="center" wrapText="1"/>
    </xf>
    <xf numFmtId="0" fontId="16" fillId="0" borderId="2" xfId="6" applyFont="1" applyBorder="1" applyAlignment="1">
      <alignment horizontal="center" vertical="center" wrapText="1"/>
    </xf>
    <xf numFmtId="0" fontId="16" fillId="0" borderId="16" xfId="6" applyFont="1" applyBorder="1" applyAlignment="1">
      <alignment horizontal="center" vertical="center" wrapText="1"/>
    </xf>
    <xf numFmtId="0" fontId="15" fillId="0" borderId="16" xfId="6" applyFont="1" applyBorder="1" applyAlignment="1">
      <alignment horizontal="center" vertical="center" wrapText="1"/>
    </xf>
    <xf numFmtId="0" fontId="10" fillId="0" borderId="31" xfId="6" applyFont="1" applyFill="1" applyBorder="1" applyAlignment="1">
      <alignment horizontal="center" vertical="center" wrapText="1"/>
    </xf>
    <xf numFmtId="0" fontId="10" fillId="0" borderId="23" xfId="6" applyFont="1" applyFill="1" applyBorder="1" applyAlignment="1">
      <alignment horizontal="center" vertical="center" wrapText="1"/>
    </xf>
    <xf numFmtId="0" fontId="10" fillId="0" borderId="33" xfId="6" applyFont="1" applyFill="1" applyBorder="1" applyAlignment="1">
      <alignment horizontal="center" vertical="center" wrapText="1"/>
    </xf>
    <xf numFmtId="174" fontId="10" fillId="0" borderId="31" xfId="15" applyNumberFormat="1" applyFont="1" applyFill="1" applyBorder="1" applyAlignment="1" applyProtection="1">
      <alignment horizontal="center" vertical="center" wrapText="1"/>
    </xf>
    <xf numFmtId="174" fontId="10" fillId="0" borderId="23" xfId="15" applyNumberFormat="1" applyFont="1" applyFill="1" applyBorder="1" applyAlignment="1" applyProtection="1">
      <alignment horizontal="center" vertical="center" wrapText="1"/>
    </xf>
    <xf numFmtId="174" fontId="10" fillId="0" borderId="33" xfId="15" applyNumberFormat="1" applyFont="1" applyFill="1" applyBorder="1" applyAlignment="1" applyProtection="1">
      <alignment horizontal="center" vertical="center" wrapText="1"/>
    </xf>
    <xf numFmtId="174" fontId="10" fillId="0" borderId="34" xfId="15" applyNumberFormat="1" applyFont="1" applyFill="1" applyBorder="1" applyAlignment="1" applyProtection="1">
      <alignment horizontal="center" vertical="center" wrapText="1"/>
    </xf>
    <xf numFmtId="174" fontId="10" fillId="0" borderId="35" xfId="15" applyNumberFormat="1" applyFont="1" applyFill="1" applyBorder="1" applyAlignment="1" applyProtection="1">
      <alignment horizontal="center" vertical="center" wrapText="1"/>
    </xf>
    <xf numFmtId="174" fontId="10" fillId="0" borderId="36" xfId="15" applyNumberFormat="1" applyFont="1" applyFill="1" applyBorder="1" applyAlignment="1" applyProtection="1">
      <alignment horizontal="center" vertical="center" wrapText="1"/>
    </xf>
    <xf numFmtId="0" fontId="10" fillId="0" borderId="6" xfId="15" applyNumberFormat="1" applyFont="1" applyFill="1" applyBorder="1" applyAlignment="1" applyProtection="1">
      <alignment horizontal="center" vertical="center" wrapText="1"/>
    </xf>
    <xf numFmtId="0" fontId="10" fillId="0" borderId="37" xfId="15" applyNumberFormat="1" applyFont="1" applyFill="1" applyBorder="1" applyAlignment="1" applyProtection="1">
      <alignment horizontal="center" vertical="center" wrapText="1"/>
    </xf>
    <xf numFmtId="170" fontId="10" fillId="0" borderId="9" xfId="15" applyNumberFormat="1" applyFont="1" applyFill="1" applyBorder="1" applyAlignment="1" applyProtection="1">
      <alignment horizontal="center" vertical="center" wrapText="1"/>
    </xf>
    <xf numFmtId="170" fontId="10" fillId="0" borderId="7" xfId="15" applyNumberFormat="1" applyFont="1" applyFill="1" applyBorder="1" applyAlignment="1" applyProtection="1">
      <alignment horizontal="center" vertical="center" wrapText="1"/>
    </xf>
    <xf numFmtId="170" fontId="10" fillId="0" borderId="8" xfId="15" applyNumberFormat="1" applyFont="1" applyFill="1" applyBorder="1" applyAlignment="1" applyProtection="1">
      <alignment horizontal="center" vertical="center" wrapText="1"/>
    </xf>
    <xf numFmtId="0" fontId="25" fillId="0" borderId="39" xfId="6" applyFont="1" applyBorder="1" applyAlignment="1">
      <alignment horizontal="center" vertical="center" wrapText="1"/>
    </xf>
    <xf numFmtId="0" fontId="23" fillId="0" borderId="0" xfId="6" applyFont="1" applyBorder="1" applyAlignment="1">
      <alignment horizontal="center" vertical="top" wrapText="1"/>
    </xf>
    <xf numFmtId="170" fontId="11" fillId="0" borderId="0" xfId="15" applyNumberFormat="1" applyFont="1" applyFill="1" applyBorder="1" applyAlignment="1" applyProtection="1">
      <alignment horizontal="left" vertical="center" wrapText="1"/>
    </xf>
    <xf numFmtId="0" fontId="16" fillId="0" borderId="27" xfId="15" applyNumberFormat="1" applyFont="1" applyFill="1" applyBorder="1" applyAlignment="1" applyProtection="1">
      <alignment horizontal="center" vertical="center" wrapText="1"/>
    </xf>
    <xf numFmtId="0" fontId="16" fillId="0" borderId="28" xfId="15" applyNumberFormat="1" applyFont="1" applyFill="1" applyBorder="1" applyAlignment="1" applyProtection="1">
      <alignment horizontal="center" vertical="center" wrapText="1"/>
    </xf>
    <xf numFmtId="0" fontId="16" fillId="0" borderId="38" xfId="15" applyNumberFormat="1" applyFont="1" applyFill="1" applyBorder="1" applyAlignment="1" applyProtection="1">
      <alignment horizontal="center" vertical="center" wrapText="1"/>
    </xf>
    <xf numFmtId="170" fontId="16" fillId="7" borderId="7" xfId="13" applyNumberFormat="1" applyFont="1" applyFill="1" applyBorder="1" applyAlignment="1" applyProtection="1">
      <alignment horizontal="center" vertical="center" wrapText="1"/>
    </xf>
    <xf numFmtId="170" fontId="16" fillId="7" borderId="8" xfId="13" applyNumberFormat="1" applyFont="1" applyFill="1" applyBorder="1" applyAlignment="1" applyProtection="1">
      <alignment horizontal="center" vertical="center" wrapText="1"/>
    </xf>
    <xf numFmtId="0" fontId="16" fillId="0" borderId="31" xfId="13" applyNumberFormat="1" applyFont="1" applyFill="1" applyBorder="1" applyAlignment="1" applyProtection="1">
      <alignment horizontal="center" vertical="center" wrapText="1"/>
    </xf>
    <xf numFmtId="0" fontId="16" fillId="0" borderId="23" xfId="13" applyNumberFormat="1" applyFont="1" applyFill="1" applyBorder="1" applyAlignment="1" applyProtection="1">
      <alignment horizontal="center" vertical="center" wrapText="1"/>
    </xf>
    <xf numFmtId="0" fontId="16" fillId="0" borderId="33" xfId="13" applyNumberFormat="1" applyFont="1" applyFill="1" applyBorder="1" applyAlignment="1" applyProtection="1">
      <alignment horizontal="center" vertical="center" wrapText="1"/>
    </xf>
    <xf numFmtId="0" fontId="25" fillId="0" borderId="0" xfId="6" applyFont="1" applyBorder="1" applyAlignment="1">
      <alignment horizontal="center" vertical="top" wrapText="1"/>
    </xf>
    <xf numFmtId="1" fontId="31" fillId="6" borderId="25" xfId="5" applyNumberFormat="1" applyFont="1" applyFill="1" applyBorder="1" applyAlignment="1">
      <alignment horizontal="center" vertical="center" wrapText="1"/>
    </xf>
    <xf numFmtId="1" fontId="31" fillId="6" borderId="26" xfId="5" applyNumberFormat="1" applyFont="1" applyFill="1" applyBorder="1" applyAlignment="1">
      <alignment horizontal="center" vertical="center" wrapText="1"/>
    </xf>
    <xf numFmtId="1" fontId="31" fillId="6" borderId="40" xfId="5" applyNumberFormat="1" applyFont="1" applyFill="1" applyBorder="1" applyAlignment="1">
      <alignment horizontal="center" vertical="center" wrapText="1"/>
    </xf>
    <xf numFmtId="1" fontId="31" fillId="6" borderId="41" xfId="5" applyNumberFormat="1" applyFont="1" applyFill="1" applyBorder="1" applyAlignment="1">
      <alignment horizontal="center" vertical="center" wrapText="1"/>
    </xf>
    <xf numFmtId="1" fontId="17" fillId="6" borderId="25" xfId="5" applyNumberFormat="1" applyFont="1" applyFill="1" applyBorder="1" applyAlignment="1">
      <alignment horizontal="center" vertical="center" wrapText="1"/>
    </xf>
    <xf numFmtId="1" fontId="17" fillId="6" borderId="26" xfId="5" applyNumberFormat="1" applyFont="1" applyFill="1" applyBorder="1" applyAlignment="1">
      <alignment horizontal="center" vertical="center" wrapText="1"/>
    </xf>
    <xf numFmtId="1" fontId="17" fillId="6" borderId="40" xfId="5" applyNumberFormat="1" applyFont="1" applyFill="1" applyBorder="1" applyAlignment="1">
      <alignment horizontal="center" vertical="center" wrapText="1"/>
    </xf>
    <xf numFmtId="0" fontId="1"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protection hidden="1"/>
    </xf>
    <xf numFmtId="0" fontId="1" fillId="0" borderId="1" xfId="0" applyFont="1" applyBorder="1" applyAlignment="1" applyProtection="1">
      <alignment horizontal="center" vertical="center" wrapText="1"/>
      <protection hidden="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1" xfId="0" applyBorder="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8" fillId="0" borderId="1" xfId="0" applyFont="1" applyBorder="1" applyAlignment="1">
      <alignment horizontal="center" vertical="center" wrapText="1"/>
    </xf>
    <xf numFmtId="0" fontId="4" fillId="0" borderId="1" xfId="0" applyFont="1" applyFill="1" applyBorder="1" applyAlignment="1">
      <alignment horizontal="center" vertical="center"/>
    </xf>
  </cellXfs>
  <cellStyles count="21">
    <cellStyle name="Millares [0]" xfId="3" builtinId="6"/>
    <cellStyle name="Millares 10 2" xfId="9" xr:uid="{00000000-0005-0000-0000-000001000000}"/>
    <cellStyle name="Millares 13 2 5" xfId="18" xr:uid="{00000000-0005-0000-0000-000002000000}"/>
    <cellStyle name="Millares 2" xfId="7" xr:uid="{00000000-0005-0000-0000-000003000000}"/>
    <cellStyle name="Millares 5 3" xfId="20" xr:uid="{00000000-0005-0000-0000-000004000000}"/>
    <cellStyle name="Millares 6" xfId="13" xr:uid="{00000000-0005-0000-0000-000005000000}"/>
    <cellStyle name="Moneda [0]" xfId="1" builtinId="7"/>
    <cellStyle name="Moneda 2" xfId="2" xr:uid="{00000000-0005-0000-0000-000007000000}"/>
    <cellStyle name="Moneda 3" xfId="5" xr:uid="{00000000-0005-0000-0000-000008000000}"/>
    <cellStyle name="Moneda 3 2" xfId="17" xr:uid="{00000000-0005-0000-0000-000009000000}"/>
    <cellStyle name="Normal" xfId="0" builtinId="0"/>
    <cellStyle name="Normal 11 2" xfId="12" xr:uid="{00000000-0005-0000-0000-00000B000000}"/>
    <cellStyle name="Normal 12 2" xfId="6" xr:uid="{00000000-0005-0000-0000-00000C000000}"/>
    <cellStyle name="Normal 2 10" xfId="8" xr:uid="{00000000-0005-0000-0000-00000D000000}"/>
    <cellStyle name="Normal 2 2 5" xfId="16" xr:uid="{00000000-0005-0000-0000-00000E000000}"/>
    <cellStyle name="Normal 2 3" xfId="11" xr:uid="{00000000-0005-0000-0000-00000F000000}"/>
    <cellStyle name="Normal_BASE DE DATOS PRESUPUESTOS REV.3 DICIEMBRE 2006 2" xfId="15" xr:uid="{00000000-0005-0000-0000-000010000000}"/>
    <cellStyle name="Normal_Libro1" xfId="19" xr:uid="{00000000-0005-0000-0000-000011000000}"/>
    <cellStyle name="Normal_Presupuesto final 2 2" xfId="10" xr:uid="{00000000-0005-0000-0000-000012000000}"/>
    <cellStyle name="Porcentaje" xfId="4" builtinId="5"/>
    <cellStyle name="Porcentaje 2" xfId="14" xr:uid="{00000000-0005-0000-0000-000014000000}"/>
  </cellStyles>
  <dxfs count="665">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20</xdr:col>
      <xdr:colOff>38100</xdr:colOff>
      <xdr:row>6</xdr:row>
      <xdr:rowOff>59531</xdr:rowOff>
    </xdr:from>
    <xdr:to>
      <xdr:col>20</xdr:col>
      <xdr:colOff>3083718</xdr:colOff>
      <xdr:row>7</xdr:row>
      <xdr:rowOff>323851</xdr:rowOff>
    </xdr:to>
    <xdr:cxnSp macro="">
      <xdr:nvCxnSpPr>
        <xdr:cNvPr id="2" name="Conector recto 1">
          <a:extLst>
            <a:ext uri="{FF2B5EF4-FFF2-40B4-BE49-F238E27FC236}">
              <a16:creationId xmlns:a16="http://schemas.microsoft.com/office/drawing/2014/main" id="{42A195F7-5941-488C-89A3-B0DD1B012A49}"/>
            </a:ext>
          </a:extLst>
        </xdr:cNvPr>
        <xdr:cNvCxnSpPr/>
      </xdr:nvCxnSpPr>
      <xdr:spPr>
        <a:xfrm flipV="1">
          <a:off x="6777038" y="1583531"/>
          <a:ext cx="3045618" cy="45482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Stf006\QA\OFERTAS\7422\DPTO\CIVIL\7422CWXL"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Copia%20de%20ALCALDIA%20LA%20CANDELARIA_REV.JGPA_300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PPTO OBRA"/>
      <sheetName val="ENSAYOS-OBRA"/>
      <sheetName val="ANEXO-SUM-ENSAYOS-OBRA"/>
      <sheetName val="AIU OBRA"/>
      <sheetName val="AMBIENTAL"/>
      <sheetName val="AIU AMBIENTAL"/>
      <sheetName val="PGS"/>
      <sheetName val="AIU PGS"/>
      <sheetName val="PMT"/>
      <sheetName val="AIU PMT"/>
      <sheetName val="TABLAS"/>
      <sheetName val="F.P"/>
      <sheetName val="INSUMOS"/>
      <sheetName val="ITEMS"/>
    </sheetNames>
    <sheetDataSet>
      <sheetData sheetId="0">
        <row r="2">
          <cell r="C2" t="str">
            <v xml:space="preserve">FONDO DE DESARROLLO LOCAL DE LA CANDELARIA </v>
          </cell>
        </row>
        <row r="3">
          <cell r="C3" t="str">
            <v>PLANEACION</v>
          </cell>
        </row>
        <row r="4">
          <cell r="C4" t="str">
            <v>PROYECTO 1391</v>
          </cell>
        </row>
        <row r="7">
          <cell r="B7" t="str">
            <v>OBJETO DE LA LICITACIÓN:</v>
          </cell>
          <cell r="C7" t="str">
            <v xml:space="preserve">REALIZAR LA SEGUNDA FASE DEL PROYECTO DE PEATONALIZACION DE LA CALLE 10, EJECUTANDO A PRECIOS UNITARIOS FIJOS LA CONTINUACION DE LA CONSTRUCCIÓN DE LA CALLE 10 ENTRE LAS CARRERA 4 Y CARRRERA 5 Y CARRERA 6 Y CARRERA 7 EN LA LOCALIDAD DE LA CANDELARIA, EN BOGOTÁ D.C. </v>
          </cell>
        </row>
        <row r="11">
          <cell r="C11">
            <v>43539</v>
          </cell>
        </row>
      </sheetData>
      <sheetData sheetId="1"/>
      <sheetData sheetId="2">
        <row r="33">
          <cell r="G33">
            <v>32702817</v>
          </cell>
        </row>
      </sheetData>
      <sheetData sheetId="3" refreshError="1"/>
      <sheetData sheetId="4">
        <row r="76">
          <cell r="L76">
            <v>0.35799999999999998</v>
          </cell>
        </row>
      </sheetData>
      <sheetData sheetId="5">
        <row r="109">
          <cell r="N109">
            <v>46783870.354137547</v>
          </cell>
        </row>
      </sheetData>
      <sheetData sheetId="6" refreshError="1"/>
      <sheetData sheetId="7">
        <row r="51">
          <cell r="L51">
            <v>94816456</v>
          </cell>
        </row>
      </sheetData>
      <sheetData sheetId="8" refreshError="1"/>
      <sheetData sheetId="9">
        <row r="36">
          <cell r="S36">
            <v>36782034</v>
          </cell>
        </row>
      </sheetData>
      <sheetData sheetId="10" refreshError="1"/>
      <sheetData sheetId="11" refreshError="1"/>
      <sheetData sheetId="12" refreshError="1"/>
      <sheetData sheetId="13" refreshError="1"/>
      <sheetData sheetId="14">
        <row r="2">
          <cell r="B2" t="str">
            <v>COD</v>
          </cell>
          <cell r="C2" t="str">
            <v>NOMBRE</v>
          </cell>
          <cell r="D2" t="str">
            <v>UND</v>
          </cell>
          <cell r="E2" t="str">
            <v>P/ UNITARIO</v>
          </cell>
        </row>
        <row r="3">
          <cell r="B3">
            <v>3007</v>
          </cell>
          <cell r="C3" t="str">
            <v>REPLANTEO GENERAL</v>
          </cell>
          <cell r="D3" t="str">
            <v>M2</v>
          </cell>
          <cell r="E3">
            <v>569</v>
          </cell>
        </row>
        <row r="4">
          <cell r="B4">
            <v>3009</v>
          </cell>
          <cell r="C4" t="str">
            <v>EXCAVACION MANUAL PARA REDES PROFUNDIDAD 0m - 2m (Incluye Cargue)</v>
          </cell>
          <cell r="D4" t="str">
            <v>M3</v>
          </cell>
          <cell r="E4">
            <v>26499</v>
          </cell>
        </row>
        <row r="5">
          <cell r="B5">
            <v>3010</v>
          </cell>
          <cell r="C5" t="str">
            <v>DEMOLICION PAVIMENTO ASFALTICO (Incluye Cargue). No incluye transporte y disposición final de sobrantes. Rendimiento estimado para espesores max. 0.15m</v>
          </cell>
          <cell r="D5" t="str">
            <v>M3</v>
          </cell>
          <cell r="E5">
            <v>26441</v>
          </cell>
        </row>
        <row r="6">
          <cell r="B6">
            <v>3011</v>
          </cell>
          <cell r="C6" t="str">
            <v>DEMOLICION MANUAL SARDINEL EXISTENTE (Incluye Cargue). No incluye transporte y disposición final de sobrantes.</v>
          </cell>
          <cell r="D6" t="str">
            <v>M</v>
          </cell>
          <cell r="E6">
            <v>3821</v>
          </cell>
        </row>
        <row r="7">
          <cell r="B7">
            <v>3012</v>
          </cell>
          <cell r="C7" t="str">
            <v>DEMOLICION PISOS DE CONCRETO (Espesor variable. Incluye Cargue). No incluye transporte y disposición final de sobrantes. Rendimiento estimado para un espesor de 0.10m</v>
          </cell>
          <cell r="D7" t="str">
            <v>M2</v>
          </cell>
          <cell r="E7">
            <v>5430</v>
          </cell>
        </row>
        <row r="8">
          <cell r="B8">
            <v>3015</v>
          </cell>
          <cell r="C8" t="str">
            <v>RETIRO DE POSTES DE AP/LA (Incluye Traslado a Sitio de Acopio)</v>
          </cell>
          <cell r="D8" t="str">
            <v>UN</v>
          </cell>
          <cell r="E8">
            <v>226079</v>
          </cell>
        </row>
        <row r="9">
          <cell r="B9">
            <v>3017</v>
          </cell>
          <cell r="C9" t="str">
            <v>TRANSPORTE Y DISPOSICIÓN FINAL DE ESCOMBROS EN SITIO AUTORIZADO (distancia de transporte 21 Km). A distancia mayor del acarreo libre (90 m) en sitio autorizado por la entidad Ambiental competente.</v>
          </cell>
          <cell r="D9" t="str">
            <v>M3</v>
          </cell>
          <cell r="E9">
            <v>24083</v>
          </cell>
        </row>
        <row r="10">
          <cell r="B10">
            <v>3018</v>
          </cell>
          <cell r="C10" t="str">
            <v>RELLENO EN TIERRA NEGRA PARA EMPRADIZACION (Suministro y Extendido)</v>
          </cell>
          <cell r="D10" t="str">
            <v>M3</v>
          </cell>
          <cell r="E10">
            <v>61206</v>
          </cell>
        </row>
        <row r="11">
          <cell r="B11">
            <v>3021</v>
          </cell>
          <cell r="C11" t="str">
            <v>DEMOLICION PAVIMENTO ASFALTICO (Espesor Variable. Incluye Cargue). No incluye transporte y disposición final de sobrantes. Rendimiento estimado para espesores max. 0.15m</v>
          </cell>
          <cell r="D11" t="str">
            <v>M2</v>
          </cell>
          <cell r="E11">
            <v>5039</v>
          </cell>
        </row>
        <row r="12">
          <cell r="B12">
            <v>3022</v>
          </cell>
          <cell r="C12" t="str">
            <v>DEMOLICION PISOS DE CONCRETO (incluye cargue). No incluye transporte y disposición final de sobrantes. Rendimiento estimado para espesores de 0.20m.</v>
          </cell>
          <cell r="D12" t="str">
            <v>M3</v>
          </cell>
          <cell r="E12">
            <v>40211</v>
          </cell>
        </row>
        <row r="13">
          <cell r="B13">
            <v>3024</v>
          </cell>
          <cell r="C13" t="str">
            <v>RELLENO PARA REDES EN ARENA DE PEÑA (Suministro, Extendido, Humedecimiento y Compactación)</v>
          </cell>
          <cell r="D13" t="str">
            <v>M3</v>
          </cell>
          <cell r="E13">
            <v>91358</v>
          </cell>
        </row>
        <row r="14">
          <cell r="B14">
            <v>3027</v>
          </cell>
          <cell r="C14" t="str">
            <v>SARDINEL TIPO A10 (Suministro e Instalación. Incluye 3cm Mortero 1:5)</v>
          </cell>
          <cell r="D14" t="str">
            <v>M</v>
          </cell>
          <cell r="E14">
            <v>48659</v>
          </cell>
        </row>
        <row r="15">
          <cell r="B15">
            <v>3041</v>
          </cell>
          <cell r="C15" t="str">
            <v>TUBERIA PVC U.M. EXT CORRUGADO/INT LISO U.M. NORMA NTC 3722-1 D=4" (Incluye Suministro e Instalación)</v>
          </cell>
          <cell r="D15" t="str">
            <v>M</v>
          </cell>
          <cell r="E15">
            <v>20787</v>
          </cell>
        </row>
        <row r="16">
          <cell r="B16">
            <v>3042</v>
          </cell>
          <cell r="C16" t="str">
            <v>TUBERIA PVC U.M. EXT CORRUGADO/INT LISO U.M. NORMA NTC 3722-1 D=6" (Incluye Suministro e Instalación)</v>
          </cell>
          <cell r="D16" t="str">
            <v>M</v>
          </cell>
          <cell r="E16">
            <v>35964</v>
          </cell>
        </row>
        <row r="17">
          <cell r="B17">
            <v>3043</v>
          </cell>
          <cell r="C17" t="str">
            <v>TUBERIA PVC U.M. EXT CORRUGADO/INT LISO U.M. NORMA NTC 3722-1 D=8" (Incluye Suministro e Instalación)</v>
          </cell>
          <cell r="D17" t="str">
            <v>M</v>
          </cell>
          <cell r="E17">
            <v>47897</v>
          </cell>
        </row>
        <row r="18">
          <cell r="B18">
            <v>3044</v>
          </cell>
          <cell r="C18" t="str">
            <v>TUBERIA PVC U.M. EXT CORRUGADO/INT LISO U.M. NORMA NTC 3722-1 D=10" (Incluye Suministro e Instalación)</v>
          </cell>
          <cell r="D18" t="str">
            <v>M</v>
          </cell>
          <cell r="E18">
            <v>67537</v>
          </cell>
        </row>
        <row r="19">
          <cell r="B19">
            <v>3045</v>
          </cell>
          <cell r="C19" t="str">
            <v>TUBERIA PVC U.M. EXT CORRUGADO/INT LISO U.M. NORMA NTC 3722-1 D=12" (Incluye Suministro e Instalación)</v>
          </cell>
          <cell r="D19" t="str">
            <v>M</v>
          </cell>
          <cell r="E19">
            <v>96812</v>
          </cell>
        </row>
        <row r="20">
          <cell r="B20">
            <v>3046</v>
          </cell>
          <cell r="C20" t="str">
            <v>TUBERIA PVC U.M. EXT CORRUGADO/INT LISO U.M. NORMA NTC 3722-1 D=16" (Incluye Suministro e Instalación)</v>
          </cell>
          <cell r="D20" t="str">
            <v>M</v>
          </cell>
          <cell r="E20">
            <v>164544</v>
          </cell>
        </row>
        <row r="21">
          <cell r="B21">
            <v>3047</v>
          </cell>
          <cell r="C21" t="str">
            <v>TUBERIA PVC U.M. EXT CORRUGADO/INT LISO U.M. NORMA NTC 3722-1 D=18" (Incluye Suministro e Instalación)</v>
          </cell>
          <cell r="D21" t="str">
            <v>M</v>
          </cell>
          <cell r="E21">
            <v>210555</v>
          </cell>
        </row>
        <row r="22">
          <cell r="B22">
            <v>3048</v>
          </cell>
          <cell r="C22" t="str">
            <v>TUBERIA PVC U.M. EXT CORRUGADO/INT LISO U.M. NORMA NTC 3722-1 D=20" (Incluye Suministro e Instalación)</v>
          </cell>
          <cell r="D22" t="str">
            <v>M</v>
          </cell>
          <cell r="E22">
            <v>272196</v>
          </cell>
        </row>
        <row r="23">
          <cell r="B23">
            <v>3050</v>
          </cell>
          <cell r="C23" t="str">
            <v>RELLENO EN MATERIAL SELECCIONADO PROVENIENTE DE LA EXCAVACIÓN (Extendido manual, Humedecimiento y Compactación)</v>
          </cell>
          <cell r="D23" t="str">
            <v>M3</v>
          </cell>
          <cell r="E23">
            <v>23538</v>
          </cell>
        </row>
        <row r="24">
          <cell r="B24">
            <v>3052</v>
          </cell>
          <cell r="C24" t="str">
            <v>RELLENO PARA REDES EN SUBBASE GRANULAR B-200 (Suministro, Extendido, Humedecimiento y Compactación)</v>
          </cell>
          <cell r="D24" t="str">
            <v>M3</v>
          </cell>
          <cell r="E24">
            <v>63173</v>
          </cell>
        </row>
        <row r="25">
          <cell r="B25">
            <v>3055</v>
          </cell>
          <cell r="C25" t="str">
            <v>12 DUCTOS D=4" PVC-TDP (Incluye Suministro e Instalación. No Incluye Rellenos)</v>
          </cell>
          <cell r="D25" t="str">
            <v>M</v>
          </cell>
          <cell r="E25">
            <v>163585</v>
          </cell>
        </row>
        <row r="26">
          <cell r="B26">
            <v>3056</v>
          </cell>
          <cell r="C26" t="str">
            <v>16 DUCTOS D=4" PVC-TDP (Incluye Suministro e Instalación. No Incluye Rellenos)</v>
          </cell>
          <cell r="D26" t="str">
            <v>M</v>
          </cell>
          <cell r="E26">
            <v>216803</v>
          </cell>
        </row>
        <row r="27">
          <cell r="B27">
            <v>3057</v>
          </cell>
          <cell r="C27" t="str">
            <v>CAMARA DE INSPECCIÓN T-13 ETB (H=2.3m. Incluye Base, Muros, Cubierta, Aro-Base y Aro-Tapa)</v>
          </cell>
          <cell r="D27" t="str">
            <v>UN</v>
          </cell>
          <cell r="E27">
            <v>2771455</v>
          </cell>
        </row>
        <row r="28">
          <cell r="B28">
            <v>3058</v>
          </cell>
          <cell r="C28" t="str">
            <v>CAMARA DE INSPECCIÓN T-13A ETB (H=2.3m. Incluye Base, Muros, Cubierta, Aro-Base y Aro-Tapa)</v>
          </cell>
          <cell r="D28" t="str">
            <v>UN</v>
          </cell>
          <cell r="E28">
            <v>4555583</v>
          </cell>
        </row>
        <row r="29">
          <cell r="B29">
            <v>3059</v>
          </cell>
          <cell r="C29" t="str">
            <v>CAMARA DE INSPECCIÓN T-14 ETB (H=2.3m. Incluye Base, Muros, Cubierta, Aro-Base y Aro-Tapa)</v>
          </cell>
          <cell r="D29" t="str">
            <v>UN</v>
          </cell>
          <cell r="E29">
            <v>2667207</v>
          </cell>
        </row>
        <row r="30">
          <cell r="B30">
            <v>3062</v>
          </cell>
          <cell r="C30" t="str">
            <v>PISO EN LOSETA PREFABRICADA A30 (Suministro e Instalación. Incluye Base 4cm Arena Nivelación y Arena de Sello)</v>
          </cell>
          <cell r="D30" t="str">
            <v>M2</v>
          </cell>
          <cell r="E30">
            <v>56276</v>
          </cell>
        </row>
        <row r="31">
          <cell r="B31">
            <v>3064</v>
          </cell>
          <cell r="C31" t="str">
            <v>TUBERIA CONCRETO D=8" CL. I SIN REFUERZO (Incluye Suministro e Instalación)</v>
          </cell>
          <cell r="D31" t="str">
            <v>M</v>
          </cell>
          <cell r="E31">
            <v>52363</v>
          </cell>
        </row>
        <row r="32">
          <cell r="B32">
            <v>3065</v>
          </cell>
          <cell r="C32" t="str">
            <v>TUBERIA CONCRETO D=10" CL. I SIN REFUERZO (Incluye Suministro e instalación)</v>
          </cell>
          <cell r="D32" t="str">
            <v>M</v>
          </cell>
          <cell r="E32">
            <v>62419</v>
          </cell>
        </row>
        <row r="33">
          <cell r="B33">
            <v>3066</v>
          </cell>
          <cell r="C33" t="str">
            <v>TUBERIA CONCRETO D=12" CL. I SIN REFUERZO (Incluye Suministro e Instalación)</v>
          </cell>
          <cell r="D33" t="str">
            <v>M</v>
          </cell>
          <cell r="E33">
            <v>89889</v>
          </cell>
        </row>
        <row r="34">
          <cell r="B34">
            <v>3067</v>
          </cell>
          <cell r="C34" t="str">
            <v>TUBERIA CONCRETO D=14" CL. I SIN REFUERZO (Incluye Suministro e Instalación)</v>
          </cell>
          <cell r="D34" t="str">
            <v>M</v>
          </cell>
          <cell r="E34">
            <v>105835</v>
          </cell>
        </row>
        <row r="35">
          <cell r="B35">
            <v>3068</v>
          </cell>
          <cell r="C35" t="str">
            <v>TUBERIA CONCRETO D=16" CL. I SIN REFUERZO (Incluye Suministro e Instalación)</v>
          </cell>
          <cell r="D35" t="str">
            <v>M</v>
          </cell>
          <cell r="E35">
            <v>133077</v>
          </cell>
        </row>
        <row r="36">
          <cell r="B36">
            <v>3069</v>
          </cell>
          <cell r="C36" t="str">
            <v>TUBERIA CONCRETO D=18" CL. I SIN REFUERZO (Incluye Suministro e Instalación)</v>
          </cell>
          <cell r="D36" t="str">
            <v>M</v>
          </cell>
          <cell r="E36">
            <v>167360</v>
          </cell>
        </row>
        <row r="37">
          <cell r="B37">
            <v>3070</v>
          </cell>
          <cell r="C37" t="str">
            <v>TUBERIA CONCRETO D=20" CL. I SIN REFUERZO (Incluye Suministro e Instalación)</v>
          </cell>
          <cell r="D37" t="str">
            <v>M</v>
          </cell>
          <cell r="E37">
            <v>213437</v>
          </cell>
        </row>
        <row r="38">
          <cell r="B38">
            <v>3071</v>
          </cell>
          <cell r="C38" t="str">
            <v>TUBERIA CONCRETO D=24" CL. I SIN REFUERZO (Incluye Suministro e Instalación)</v>
          </cell>
          <cell r="D38" t="str">
            <v>M</v>
          </cell>
          <cell r="E38">
            <v>295825</v>
          </cell>
        </row>
        <row r="39">
          <cell r="B39">
            <v>3151</v>
          </cell>
          <cell r="C39" t="str">
            <v>SUMIDERO LATERAL SL-100, H=1.25m (Fundido en Sitio, Concreto Premezclado. Incl. Sumin, Form, Ref. y Constr. Incl. Tapa)</v>
          </cell>
          <cell r="D39" t="str">
            <v>UN</v>
          </cell>
          <cell r="E39">
            <v>1584071</v>
          </cell>
        </row>
        <row r="40">
          <cell r="B40">
            <v>3155</v>
          </cell>
          <cell r="C40" t="str">
            <v>DEMOLICION SUMIDERO EXISTENTE (Incluye Cargue)</v>
          </cell>
          <cell r="D40" t="str">
            <v>UN</v>
          </cell>
          <cell r="E40">
            <v>134789</v>
          </cell>
        </row>
        <row r="41">
          <cell r="B41">
            <v>3159</v>
          </cell>
          <cell r="C41" t="str">
            <v>2 DUCTOS D=3" PVC-EB (Incluye Suministro e Instalación. No Incluye Rellenos). NORMA CS207.</v>
          </cell>
          <cell r="D41" t="str">
            <v>M</v>
          </cell>
          <cell r="E41">
            <v>19473</v>
          </cell>
        </row>
        <row r="42">
          <cell r="B42">
            <v>3163</v>
          </cell>
          <cell r="C42" t="str">
            <v>SEPARADOR 'NEW JERSEY' BIDIRECCIONAL 1.5m x 0.6m x 1.1m (Prefabricado. Incluye Sum. e Inst. No Inc. material de base)</v>
          </cell>
          <cell r="D42" t="str">
            <v>M</v>
          </cell>
          <cell r="E42">
            <v>233457</v>
          </cell>
        </row>
        <row r="43">
          <cell r="B43">
            <v>3172</v>
          </cell>
          <cell r="C43" t="str">
            <v>SIEMBRA DE GRAMA (Incluye Suministro e Instalación. No Incluye Tierra Negra)</v>
          </cell>
          <cell r="D43" t="str">
            <v>M2</v>
          </cell>
          <cell r="E43">
            <v>8016</v>
          </cell>
        </row>
        <row r="44">
          <cell r="B44">
            <v>3178</v>
          </cell>
          <cell r="C44" t="str">
            <v>DEMARCACION PASO PEATONAL-CEBRA (e=15 mils, Acrílica Base Agua. Inc. Sumin. y Aplic. con Equipo. Incl. Microesferas)</v>
          </cell>
          <cell r="D44" t="str">
            <v>M2</v>
          </cell>
          <cell r="E44">
            <v>17500</v>
          </cell>
        </row>
        <row r="45">
          <cell r="B45">
            <v>3180</v>
          </cell>
          <cell r="C45" t="str">
            <v>DEMARCACION PASO PEATONAL-LINEA CONT. A=0.15m (e=15 mils, Acrílica B. Agua. Inc. Sum y Aplic. con Equipo. Inc Microesf.)</v>
          </cell>
          <cell r="D45" t="str">
            <v>M</v>
          </cell>
          <cell r="E45">
            <v>1225</v>
          </cell>
        </row>
        <row r="46">
          <cell r="B46">
            <v>3189</v>
          </cell>
          <cell r="C46" t="str">
            <v>6  DUCTOS D=4"  Y 3 DUCTOS D=6" PVC-TDP (Incluye Suministro e Instalación. No Incluye Rellenos). NORMA CS215.</v>
          </cell>
          <cell r="D46" t="str">
            <v>M</v>
          </cell>
          <cell r="E46">
            <v>172496</v>
          </cell>
        </row>
        <row r="47">
          <cell r="B47">
            <v>3194</v>
          </cell>
          <cell r="C47" t="str">
            <v>6 DUCTOS D=3" PVC-TDP (Incluye Suministro e Instalación. No Incluye Rellenos)</v>
          </cell>
          <cell r="D47" t="str">
            <v>M</v>
          </cell>
          <cell r="E47">
            <v>67108</v>
          </cell>
        </row>
        <row r="48">
          <cell r="B48">
            <v>3195</v>
          </cell>
          <cell r="C48" t="str">
            <v>2 DUCTOS D=4" PVC-TDP (Incluye Suministro e Instalación. No Incluye Rellenos)</v>
          </cell>
          <cell r="D48" t="str">
            <v>M</v>
          </cell>
          <cell r="E48">
            <v>29272</v>
          </cell>
        </row>
        <row r="49">
          <cell r="B49">
            <v>3196</v>
          </cell>
          <cell r="C49" t="str">
            <v>UNION GIBAULT D=3" (Suministro e Instalación)</v>
          </cell>
          <cell r="D49" t="str">
            <v>UN</v>
          </cell>
          <cell r="E49">
            <v>121220</v>
          </cell>
        </row>
        <row r="50">
          <cell r="B50">
            <v>3197</v>
          </cell>
          <cell r="C50" t="str">
            <v>UNION GIBAULT D=4" (Suministro e Instalación)</v>
          </cell>
          <cell r="D50" t="str">
            <v>UN</v>
          </cell>
          <cell r="E50">
            <v>141733</v>
          </cell>
        </row>
        <row r="51">
          <cell r="B51">
            <v>3198</v>
          </cell>
          <cell r="C51" t="str">
            <v>UNION GIBAULT D=6" (Suministro e Instalación)</v>
          </cell>
          <cell r="D51" t="str">
            <v>UN</v>
          </cell>
          <cell r="E51">
            <v>222367</v>
          </cell>
        </row>
        <row r="52">
          <cell r="B52">
            <v>3199</v>
          </cell>
          <cell r="C52" t="str">
            <v>UNION GIBAULT D=8" (Suministro e Instalación)</v>
          </cell>
          <cell r="D52" t="str">
            <v>UN</v>
          </cell>
          <cell r="E52">
            <v>332153</v>
          </cell>
        </row>
        <row r="53">
          <cell r="B53">
            <v>3200</v>
          </cell>
          <cell r="C53" t="str">
            <v>UNION GIBAULT D=10" (Suministro e Instalación)</v>
          </cell>
          <cell r="D53" t="str">
            <v>UN</v>
          </cell>
          <cell r="E53">
            <v>558058</v>
          </cell>
        </row>
        <row r="54">
          <cell r="B54">
            <v>3201</v>
          </cell>
          <cell r="C54" t="str">
            <v>UNION GIBAULT D=12" (Suministro e Instalación)</v>
          </cell>
          <cell r="D54" t="str">
            <v>UN</v>
          </cell>
          <cell r="E54">
            <v>704242</v>
          </cell>
        </row>
        <row r="55">
          <cell r="B55">
            <v>3202</v>
          </cell>
          <cell r="C55" t="str">
            <v>CONCRETO 3000 PSI PARA REDES (Suministro y Colocación)</v>
          </cell>
          <cell r="D55" t="str">
            <v>M3</v>
          </cell>
          <cell r="E55">
            <v>389287</v>
          </cell>
        </row>
        <row r="56">
          <cell r="B56">
            <v>3203</v>
          </cell>
          <cell r="C56" t="str">
            <v>CONCRETO 2500 PSI PARA REDES (Suministro y Colocación)</v>
          </cell>
          <cell r="D56" t="str">
            <v>M3</v>
          </cell>
          <cell r="E56">
            <v>339778</v>
          </cell>
        </row>
        <row r="57">
          <cell r="B57">
            <v>3204</v>
          </cell>
          <cell r="C57" t="str">
            <v>LOSA DE CONCRETO MR43 (Suministro, Formaleteado, Colocación y Acabado. No Incluye Acero, Curado, Juntas)</v>
          </cell>
          <cell r="D57" t="str">
            <v>M3</v>
          </cell>
          <cell r="E57">
            <v>499745</v>
          </cell>
        </row>
        <row r="58">
          <cell r="B58">
            <v>3207</v>
          </cell>
          <cell r="C58" t="str">
            <v>SARDINEL ESPECIAL A100 PARA RAMPA TIPO A (Suministro e Instalación. Incluye 3cm Mortero 1:5)</v>
          </cell>
          <cell r="D58" t="str">
            <v>UN</v>
          </cell>
          <cell r="E58">
            <v>34720</v>
          </cell>
        </row>
        <row r="59">
          <cell r="B59">
            <v>3209</v>
          </cell>
          <cell r="C59" t="str">
            <v>BORDE SEPARADOR VERDE TIPO A170 (Suministro e Instalación. Incluye 3cm Mortero 1:5)</v>
          </cell>
          <cell r="D59" t="str">
            <v>M</v>
          </cell>
          <cell r="E59">
            <v>174496</v>
          </cell>
        </row>
        <row r="60">
          <cell r="B60">
            <v>3210</v>
          </cell>
          <cell r="C60" t="str">
            <v>BORDILLO PREFABRICADO A80 (Suministro e Instalación. Incluye 3cm Mortero de Nivelación 2000 PSI)</v>
          </cell>
          <cell r="D60" t="str">
            <v>M</v>
          </cell>
          <cell r="E60">
            <v>41083</v>
          </cell>
        </row>
        <row r="61">
          <cell r="B61">
            <v>3221</v>
          </cell>
          <cell r="C61" t="str">
            <v>CAJA DE INSPECCIÓN PARA ALUMBRADO PÚBLICO NORMA CODENSA CS 274  (ZVerde. Incluye Base, Muros, Pañete, Marco y Tapa). Medidas Externas: 0.90 x 0.90m. Medidas Internas: 0.60 x 0.60m. Altura: 0.93m.</v>
          </cell>
          <cell r="D61" t="str">
            <v>UN</v>
          </cell>
          <cell r="E61">
            <v>406473</v>
          </cell>
        </row>
        <row r="62">
          <cell r="B62">
            <v>3223</v>
          </cell>
          <cell r="C62" t="str">
            <v>TUBERIA PVC D=2" TIPO U.M. RDE 21 (Suministro e Instalación)</v>
          </cell>
          <cell r="D62" t="str">
            <v>M</v>
          </cell>
          <cell r="E62">
            <v>12183</v>
          </cell>
        </row>
        <row r="63">
          <cell r="B63">
            <v>3224</v>
          </cell>
          <cell r="C63" t="str">
            <v>TUBERIA PVC D=2 1/2" TIPO U.M. RDE 21 (Suministro e Instalación)</v>
          </cell>
          <cell r="D63" t="str">
            <v>M</v>
          </cell>
          <cell r="E63">
            <v>16298</v>
          </cell>
        </row>
        <row r="64">
          <cell r="B64">
            <v>3225</v>
          </cell>
          <cell r="C64" t="str">
            <v>TUBERIA PVC D=3" TIPO U.M. RDE 21 (Suministro e Instalación)</v>
          </cell>
          <cell r="D64" t="str">
            <v>M</v>
          </cell>
          <cell r="E64">
            <v>22861</v>
          </cell>
        </row>
        <row r="65">
          <cell r="B65">
            <v>3226</v>
          </cell>
          <cell r="C65" t="str">
            <v>TUBERIA PVC D=4" TIPO U.M. RDE 21 (Suministro e Instalación)</v>
          </cell>
          <cell r="D65" t="str">
            <v>M</v>
          </cell>
          <cell r="E65">
            <v>36371</v>
          </cell>
        </row>
        <row r="66">
          <cell r="B66">
            <v>3227</v>
          </cell>
          <cell r="C66" t="str">
            <v>TUBERIA PVC D=6" TIPO U.M. RDE 21 (Suministro e Instalación)</v>
          </cell>
          <cell r="D66" t="str">
            <v>M</v>
          </cell>
          <cell r="E66">
            <v>76218</v>
          </cell>
        </row>
        <row r="67">
          <cell r="B67">
            <v>3228</v>
          </cell>
          <cell r="C67" t="str">
            <v>TUBERIA PVC D=8" TIPO U.M. RDE 21 (Suministro e Instalación)</v>
          </cell>
          <cell r="D67" t="str">
            <v>M</v>
          </cell>
          <cell r="E67">
            <v>125876</v>
          </cell>
        </row>
        <row r="68">
          <cell r="B68">
            <v>3229</v>
          </cell>
          <cell r="C68" t="str">
            <v>TUBERIA PVC D=10" TIPO U.M. RDE 21 (Suministro e Instalación)</v>
          </cell>
          <cell r="D68" t="str">
            <v>M</v>
          </cell>
          <cell r="E68">
            <v>195872</v>
          </cell>
        </row>
        <row r="69">
          <cell r="B69">
            <v>3230</v>
          </cell>
          <cell r="C69" t="str">
            <v>TUBERIA PVC D=12" TIPO U.M. RDE 21 (Suministro e Instalación)</v>
          </cell>
          <cell r="D69" t="str">
            <v>M</v>
          </cell>
          <cell r="E69">
            <v>268381</v>
          </cell>
        </row>
        <row r="70">
          <cell r="B70">
            <v>3231</v>
          </cell>
          <cell r="C70" t="str">
            <v>TUBERIA PVC D=2" TIPO U.M. RDE 26 (Suministro e Instalación)</v>
          </cell>
          <cell r="D70" t="str">
            <v>M</v>
          </cell>
          <cell r="E70">
            <v>10687</v>
          </cell>
        </row>
        <row r="71">
          <cell r="B71">
            <v>3232</v>
          </cell>
          <cell r="C71" t="str">
            <v>TUBERIA PVC D=2 1/2" TIPO U.M. RDE 26 (Suministro e Instalación)</v>
          </cell>
          <cell r="D71" t="str">
            <v>M</v>
          </cell>
          <cell r="E71">
            <v>14172</v>
          </cell>
        </row>
        <row r="72">
          <cell r="B72">
            <v>3233</v>
          </cell>
          <cell r="C72" t="str">
            <v>TUBERIA PVC D=3" TIPO U.M. RDE 26 (Suministro e Instalación)</v>
          </cell>
          <cell r="D72" t="str">
            <v>M</v>
          </cell>
          <cell r="E72">
            <v>19667</v>
          </cell>
        </row>
        <row r="73">
          <cell r="B73">
            <v>3234</v>
          </cell>
          <cell r="C73" t="str">
            <v>TUBERIA PVC D=4" TIPO U.M. RDE 26 (Suministro e Instalación)</v>
          </cell>
          <cell r="D73" t="str">
            <v>M</v>
          </cell>
          <cell r="E73">
            <v>31080</v>
          </cell>
        </row>
        <row r="74">
          <cell r="B74">
            <v>3235</v>
          </cell>
          <cell r="C74" t="str">
            <v>TUBERIA PVC D=6" TIPO U.M. RDE 26 (Suministro e Instalación)</v>
          </cell>
          <cell r="D74" t="str">
            <v>M</v>
          </cell>
          <cell r="E74">
            <v>63640</v>
          </cell>
        </row>
        <row r="75">
          <cell r="B75">
            <v>3236</v>
          </cell>
          <cell r="C75" t="str">
            <v>TUBERIA PVC D=8" TIPO U.M. RDE 26 (Suministro e Instalación)</v>
          </cell>
          <cell r="D75" t="str">
            <v>M</v>
          </cell>
          <cell r="E75">
            <v>105050</v>
          </cell>
        </row>
        <row r="76">
          <cell r="B76">
            <v>3237</v>
          </cell>
          <cell r="C76" t="str">
            <v>TUBERIA PVC D=10" TIPO U.M. RDE 26 (Suministro e Instalación)</v>
          </cell>
          <cell r="D76" t="str">
            <v>M</v>
          </cell>
          <cell r="E76">
            <v>161380</v>
          </cell>
        </row>
        <row r="77">
          <cell r="B77">
            <v>3238</v>
          </cell>
          <cell r="C77" t="str">
            <v>TUBERIA PVC D=12" TIPO U.M. RDE 26 (Suministro e Instalación)</v>
          </cell>
          <cell r="D77" t="str">
            <v>M</v>
          </cell>
          <cell r="E77">
            <v>221692</v>
          </cell>
        </row>
        <row r="78">
          <cell r="B78">
            <v>3239</v>
          </cell>
          <cell r="C78" t="str">
            <v>TUBERIA PVC D=3" TIPO U.M. RDE 32.5 (Suministro e Instalación)</v>
          </cell>
          <cell r="D78" t="str">
            <v>M</v>
          </cell>
          <cell r="E78">
            <v>16512</v>
          </cell>
        </row>
        <row r="79">
          <cell r="B79">
            <v>3240</v>
          </cell>
          <cell r="C79" t="str">
            <v>TUBERIA PVC D=4" TIPO U.M. RDE 32.5 (Suministro e Instalación)</v>
          </cell>
          <cell r="D79" t="str">
            <v>M</v>
          </cell>
          <cell r="E79">
            <v>25879</v>
          </cell>
        </row>
        <row r="80">
          <cell r="B80">
            <v>3241</v>
          </cell>
          <cell r="C80" t="str">
            <v>TUBERIA PVC D=6" TIPO U.M. RDE 32.5 (Suministro e Instalación)</v>
          </cell>
          <cell r="D80" t="str">
            <v>M</v>
          </cell>
          <cell r="E80">
            <v>53226</v>
          </cell>
        </row>
        <row r="81">
          <cell r="B81">
            <v>3242</v>
          </cell>
          <cell r="C81" t="str">
            <v>TUBERIA PVC D=8" TIPO U.M. RDE 32.5 (Suministro e Instalación)</v>
          </cell>
          <cell r="D81" t="str">
            <v>M</v>
          </cell>
          <cell r="E81">
            <v>87287</v>
          </cell>
        </row>
        <row r="82">
          <cell r="B82">
            <v>3243</v>
          </cell>
          <cell r="C82" t="str">
            <v>TUBERIA PVC D=10" TIPO U.M. RDE 32.5 (Suministro e Instalación)</v>
          </cell>
          <cell r="D82" t="str">
            <v>M</v>
          </cell>
          <cell r="E82">
            <v>134253</v>
          </cell>
        </row>
        <row r="83">
          <cell r="B83">
            <v>3245</v>
          </cell>
          <cell r="C83" t="str">
            <v>TUBERIA PVC D=12" TIPO U.M. RDE 32.5 (Suministro e Instalación)</v>
          </cell>
          <cell r="D83" t="str">
            <v>M</v>
          </cell>
          <cell r="E83">
            <v>183340</v>
          </cell>
        </row>
        <row r="84">
          <cell r="B84">
            <v>3246</v>
          </cell>
          <cell r="C84" t="str">
            <v>TUBERIA PVC D=4" TIPO U.M. RDE 41 (Suministro e Instalación)</v>
          </cell>
          <cell r="D84" t="str">
            <v>M</v>
          </cell>
          <cell r="E84">
            <v>22241</v>
          </cell>
        </row>
        <row r="85">
          <cell r="B85">
            <v>3247</v>
          </cell>
          <cell r="C85" t="str">
            <v>TUBERIA PVC D=6" TIPO U.M. RDE 41 (Suministro e Instalación)</v>
          </cell>
          <cell r="D85" t="str">
            <v>M</v>
          </cell>
          <cell r="E85">
            <v>44244</v>
          </cell>
        </row>
        <row r="86">
          <cell r="B86">
            <v>3248</v>
          </cell>
          <cell r="C86" t="str">
            <v>TUBERIA PVC D=8" TIPO U.M. RDE 41 (Suministro e Instalación)</v>
          </cell>
          <cell r="D86" t="str">
            <v>M</v>
          </cell>
          <cell r="E86">
            <v>71536</v>
          </cell>
        </row>
        <row r="87">
          <cell r="B87">
            <v>3249</v>
          </cell>
          <cell r="C87" t="str">
            <v>TUBERIA PVC D=10" TIPO U.M. RDE 41 (Suministro e Instalación)</v>
          </cell>
          <cell r="D87" t="str">
            <v>M</v>
          </cell>
          <cell r="E87">
            <v>109672</v>
          </cell>
        </row>
        <row r="88">
          <cell r="B88">
            <v>3250</v>
          </cell>
          <cell r="C88" t="str">
            <v>TUBERIA PVC D=12" TIPO U.M. RDE 41 (Suministro e Instalación)</v>
          </cell>
          <cell r="D88" t="str">
            <v>M</v>
          </cell>
          <cell r="E88">
            <v>149452</v>
          </cell>
        </row>
        <row r="89">
          <cell r="B89">
            <v>3251</v>
          </cell>
          <cell r="C89" t="str">
            <v>TEE HD EXTREMO LISO 6"x2" (Suministro e Instalación)</v>
          </cell>
          <cell r="D89" t="str">
            <v>UN</v>
          </cell>
          <cell r="E89">
            <v>364469</v>
          </cell>
        </row>
        <row r="90">
          <cell r="B90">
            <v>3252</v>
          </cell>
          <cell r="C90" t="str">
            <v>TEE HD EXTREMO LISO 6"x3" (Suministro e Instalación)</v>
          </cell>
          <cell r="D90" t="str">
            <v>UN</v>
          </cell>
          <cell r="E90">
            <v>355201</v>
          </cell>
        </row>
        <row r="91">
          <cell r="B91">
            <v>3253</v>
          </cell>
          <cell r="C91" t="str">
            <v>TEE HD EXTREMO LISO 6"x4" (Suministro e Instalación)</v>
          </cell>
          <cell r="D91" t="str">
            <v>UN</v>
          </cell>
          <cell r="E91">
            <v>418402</v>
          </cell>
        </row>
        <row r="92">
          <cell r="B92">
            <v>3254</v>
          </cell>
          <cell r="C92" t="str">
            <v>TEE HD EXTREMO LISO 6"x6" (Suministro e Instalación)</v>
          </cell>
          <cell r="D92" t="str">
            <v>UN</v>
          </cell>
          <cell r="E92">
            <v>497597</v>
          </cell>
        </row>
        <row r="93">
          <cell r="B93">
            <v>3255</v>
          </cell>
          <cell r="C93" t="str">
            <v>TEE HD EXTREMO LISO 8"x2" (Suministro e Instalación)</v>
          </cell>
          <cell r="D93" t="str">
            <v>UN</v>
          </cell>
          <cell r="E93">
            <v>600869</v>
          </cell>
        </row>
        <row r="94">
          <cell r="B94">
            <v>3256</v>
          </cell>
          <cell r="C94" t="str">
            <v>TEE HD EXTREMO LISO 8"x3" (Suministro e Instalación)</v>
          </cell>
          <cell r="D94" t="str">
            <v>UN</v>
          </cell>
          <cell r="E94">
            <v>685823</v>
          </cell>
        </row>
        <row r="95">
          <cell r="B95">
            <v>3257</v>
          </cell>
          <cell r="C95" t="str">
            <v>TEE HD EXTREMO LISO 8"x4" (Suministro e Instalación)</v>
          </cell>
          <cell r="D95" t="str">
            <v>UN</v>
          </cell>
          <cell r="E95">
            <v>780857</v>
          </cell>
        </row>
        <row r="96">
          <cell r="B96">
            <v>3258</v>
          </cell>
          <cell r="C96" t="str">
            <v>TEE HD EXTREMO LISO 8"x6" (Suministro e Instalación)</v>
          </cell>
          <cell r="D96" t="str">
            <v>UN</v>
          </cell>
          <cell r="E96">
            <v>818294</v>
          </cell>
        </row>
        <row r="97">
          <cell r="B97">
            <v>3259</v>
          </cell>
          <cell r="C97" t="str">
            <v>TEE HD EXTREMO LISO 8"x8" (Suministro e Instalación)</v>
          </cell>
          <cell r="D97" t="str">
            <v>UN</v>
          </cell>
          <cell r="E97">
            <v>878770</v>
          </cell>
        </row>
        <row r="98">
          <cell r="B98">
            <v>3260</v>
          </cell>
          <cell r="C98" t="str">
            <v>TEE HD EXTREMO LISO 10"x2" (Suministro e Instalación)</v>
          </cell>
          <cell r="D98" t="str">
            <v>UN</v>
          </cell>
          <cell r="E98">
            <v>916728</v>
          </cell>
        </row>
        <row r="99">
          <cell r="B99">
            <v>3261</v>
          </cell>
          <cell r="C99" t="str">
            <v>TEE HD EXTREMO LISO 10"x3" (Suministro e Instalación)</v>
          </cell>
          <cell r="D99" t="str">
            <v>UN</v>
          </cell>
          <cell r="E99">
            <v>1101036</v>
          </cell>
        </row>
        <row r="100">
          <cell r="B100">
            <v>3262</v>
          </cell>
          <cell r="C100" t="str">
            <v>TEE HD EXTREMO LISO 10"x4" (Suministro e Instalación)</v>
          </cell>
          <cell r="D100" t="str">
            <v>UN</v>
          </cell>
          <cell r="E100">
            <v>1139913</v>
          </cell>
        </row>
        <row r="101">
          <cell r="B101">
            <v>3263</v>
          </cell>
          <cell r="C101" t="str">
            <v>TEE HD EXTREMO LISO 10"x6" (Suministro e Instalación)</v>
          </cell>
          <cell r="D101" t="str">
            <v>UN</v>
          </cell>
          <cell r="E101">
            <v>1196069</v>
          </cell>
        </row>
        <row r="102">
          <cell r="B102">
            <v>3264</v>
          </cell>
          <cell r="C102" t="str">
            <v>TEE HD EXTREMO LISO 10"x8" (Suministro e Instalación)</v>
          </cell>
          <cell r="D102" t="str">
            <v>UN</v>
          </cell>
          <cell r="E102">
            <v>1387576</v>
          </cell>
        </row>
        <row r="103">
          <cell r="B103">
            <v>3265</v>
          </cell>
          <cell r="C103" t="str">
            <v>TEE HD EXTREMO LISO 10"x10" (Suministro e Instalación)</v>
          </cell>
          <cell r="D103" t="str">
            <v>UN</v>
          </cell>
          <cell r="E103">
            <v>1527246</v>
          </cell>
        </row>
        <row r="104">
          <cell r="B104">
            <v>3267</v>
          </cell>
          <cell r="C104" t="str">
            <v>TEE HD EXTREMO LISO 12"x3" (Suministro e Instalación)</v>
          </cell>
          <cell r="D104" t="str">
            <v>UN</v>
          </cell>
          <cell r="E104">
            <v>1623412</v>
          </cell>
        </row>
        <row r="105">
          <cell r="B105">
            <v>3268</v>
          </cell>
          <cell r="C105" t="str">
            <v>TEE HD EXTREMO LISO 12"x4" (Suministro e Instalación)</v>
          </cell>
          <cell r="D105" t="str">
            <v>UN</v>
          </cell>
          <cell r="E105">
            <v>1660850</v>
          </cell>
        </row>
        <row r="106">
          <cell r="B106">
            <v>3269</v>
          </cell>
          <cell r="C106" t="str">
            <v>TEE HD EXTREMO LISO 12"x6" (Suministro e Instalación)</v>
          </cell>
          <cell r="D106" t="str">
            <v>UN</v>
          </cell>
          <cell r="E106">
            <v>2006426</v>
          </cell>
        </row>
        <row r="107">
          <cell r="B107">
            <v>3270</v>
          </cell>
          <cell r="C107" t="str">
            <v>TEE HD EXTREMO LISO 12"x8" (Suministro e Instalación)</v>
          </cell>
          <cell r="D107" t="str">
            <v>UN</v>
          </cell>
          <cell r="E107">
            <v>2199372</v>
          </cell>
        </row>
        <row r="108">
          <cell r="B108">
            <v>3271</v>
          </cell>
          <cell r="C108" t="str">
            <v>TEE HD EXTREMO LISO 12"x10" (Suministro e Instalación)</v>
          </cell>
          <cell r="D108" t="str">
            <v>UN</v>
          </cell>
          <cell r="E108">
            <v>2583826</v>
          </cell>
        </row>
        <row r="109">
          <cell r="B109">
            <v>3272</v>
          </cell>
          <cell r="C109" t="str">
            <v>TEE HD EXTREMO LISO 12"x12" (Suministro e Instalación)</v>
          </cell>
          <cell r="D109" t="str">
            <v>UN</v>
          </cell>
          <cell r="E109">
            <v>2968279</v>
          </cell>
        </row>
        <row r="110">
          <cell r="B110">
            <v>3273</v>
          </cell>
          <cell r="C110" t="str">
            <v>TEE HD EXTREMO LISO 24"x8" (Suministro e Instalación)</v>
          </cell>
          <cell r="D110" t="str">
            <v>UN</v>
          </cell>
          <cell r="E110">
            <v>8389577</v>
          </cell>
        </row>
        <row r="111">
          <cell r="B111">
            <v>3274</v>
          </cell>
          <cell r="C111" t="str">
            <v>TEE HD EXTREMO LISO 24"x10" (Suministro e Instalación)</v>
          </cell>
          <cell r="D111" t="str">
            <v>UN</v>
          </cell>
          <cell r="E111">
            <v>9162804</v>
          </cell>
        </row>
        <row r="112">
          <cell r="B112">
            <v>3275</v>
          </cell>
          <cell r="C112" t="str">
            <v>TEE HD EXTREMO LISO 24"x12" (Suministro e Instalación)</v>
          </cell>
          <cell r="D112" t="str">
            <v>UN</v>
          </cell>
          <cell r="E112">
            <v>9381669</v>
          </cell>
        </row>
        <row r="113">
          <cell r="B113">
            <v>3276</v>
          </cell>
          <cell r="C113" t="str">
            <v>TEE HD EXTREMO LISO 24"x14" (Suministro e Instalación)</v>
          </cell>
          <cell r="D113" t="str">
            <v>UN</v>
          </cell>
          <cell r="E113">
            <v>9757482</v>
          </cell>
        </row>
        <row r="114">
          <cell r="B114">
            <v>3277</v>
          </cell>
          <cell r="C114" t="str">
            <v>TEE HD EXTREMO LISO 24"x16" (Suministro e Instalación)</v>
          </cell>
          <cell r="D114" t="str">
            <v>UN</v>
          </cell>
          <cell r="E114">
            <v>11105229</v>
          </cell>
        </row>
        <row r="115">
          <cell r="B115">
            <v>3278</v>
          </cell>
          <cell r="C115" t="str">
            <v>TEE HD EXTREMO LISO 24"x18" (Suministro e Instalación)</v>
          </cell>
          <cell r="D115" t="str">
            <v>UN</v>
          </cell>
          <cell r="E115">
            <v>12414098</v>
          </cell>
        </row>
        <row r="116">
          <cell r="B116">
            <v>3279</v>
          </cell>
          <cell r="C116" t="str">
            <v>TEE HD EXTREMO LISO 24"x20" (Suministro e Instalación)</v>
          </cell>
          <cell r="D116" t="str">
            <v>UN</v>
          </cell>
          <cell r="E116">
            <v>13841039</v>
          </cell>
        </row>
        <row r="117">
          <cell r="B117">
            <v>3280</v>
          </cell>
          <cell r="C117" t="str">
            <v>TEE HD EXTREMO LISO 24"x24" (Suministro e Instalación)</v>
          </cell>
          <cell r="D117" t="str">
            <v>UN</v>
          </cell>
          <cell r="E117">
            <v>15170067</v>
          </cell>
        </row>
        <row r="118">
          <cell r="B118">
            <v>3281</v>
          </cell>
          <cell r="C118" t="str">
            <v>TEE HD EXTREMO LISO 4"x3" (Suministro e Instalación)</v>
          </cell>
          <cell r="D118" t="str">
            <v>UN</v>
          </cell>
          <cell r="E118">
            <v>264931</v>
          </cell>
        </row>
        <row r="119">
          <cell r="B119">
            <v>3282</v>
          </cell>
          <cell r="C119" t="str">
            <v>TEE HD EXTREMO LISO 4"x4" (Suministro e Instalación)</v>
          </cell>
          <cell r="D119" t="str">
            <v>UN</v>
          </cell>
          <cell r="E119">
            <v>262422</v>
          </cell>
        </row>
        <row r="120">
          <cell r="B120">
            <v>3283</v>
          </cell>
          <cell r="C120" t="str">
            <v>TUBERIA CONDUIT PVC D=1" (Incluye Suministro e Instalación)</v>
          </cell>
          <cell r="D120" t="str">
            <v>M</v>
          </cell>
          <cell r="E120">
            <v>4933</v>
          </cell>
        </row>
        <row r="121">
          <cell r="B121">
            <v>3284</v>
          </cell>
          <cell r="C121" t="str">
            <v>TUBERIA CONDUIT PVC D=1 1/2" (Incluye Suministro e Instalación)</v>
          </cell>
          <cell r="D121" t="str">
            <v>M</v>
          </cell>
          <cell r="E121">
            <v>7767</v>
          </cell>
        </row>
        <row r="122">
          <cell r="B122">
            <v>3285</v>
          </cell>
          <cell r="C122" t="str">
            <v>TUBERIA CONDUIT PVC D=1 1/4" (Incluye Suministro e Instalación)</v>
          </cell>
          <cell r="D122" t="str">
            <v>M</v>
          </cell>
          <cell r="E122">
            <v>6527</v>
          </cell>
        </row>
        <row r="123">
          <cell r="B123">
            <v>3286</v>
          </cell>
          <cell r="C123" t="str">
            <v>TUBERIA CONDUIT PVC D=2" (Incluye Suministro e Instalación)</v>
          </cell>
          <cell r="D123" t="str">
            <v>M</v>
          </cell>
          <cell r="E123">
            <v>10865</v>
          </cell>
        </row>
        <row r="124">
          <cell r="B124">
            <v>3287</v>
          </cell>
          <cell r="C124" t="str">
            <v>TUBERIA CONDUIT METALICO D=1 1/2" TIPO RMC (Incluye Suministro e Instalación)</v>
          </cell>
          <cell r="D124" t="str">
            <v>M</v>
          </cell>
          <cell r="E124">
            <v>43215</v>
          </cell>
        </row>
        <row r="125">
          <cell r="B125">
            <v>3288</v>
          </cell>
          <cell r="C125" t="str">
            <v>TUBERIA CONDUIT METALICO D=1" TIPO RMC (Incluye Suministro e Instalación)</v>
          </cell>
          <cell r="D125" t="str">
            <v>M</v>
          </cell>
          <cell r="E125">
            <v>26766</v>
          </cell>
        </row>
        <row r="126">
          <cell r="B126">
            <v>3291</v>
          </cell>
          <cell r="C126" t="str">
            <v>CODO HD 90° EXTREMO LISO PARA PVC D=2" (Suministro e Instalación)</v>
          </cell>
          <cell r="D126" t="str">
            <v>UN</v>
          </cell>
          <cell r="E126">
            <v>96025</v>
          </cell>
        </row>
        <row r="127">
          <cell r="B127">
            <v>3292</v>
          </cell>
          <cell r="C127" t="str">
            <v>CODO HD 90° EXTREMO LISO PARA PVC D=3" (Suministro e Instalación)</v>
          </cell>
          <cell r="D127" t="str">
            <v>UN</v>
          </cell>
          <cell r="E127">
            <v>132044</v>
          </cell>
        </row>
        <row r="128">
          <cell r="B128">
            <v>3293</v>
          </cell>
          <cell r="C128" t="str">
            <v>CODO HD 90° EXTREMO LISO PARA PVC D=4" (Suministro e Instalación)</v>
          </cell>
          <cell r="D128" t="str">
            <v>UN</v>
          </cell>
          <cell r="E128">
            <v>207335</v>
          </cell>
        </row>
        <row r="129">
          <cell r="B129">
            <v>3294</v>
          </cell>
          <cell r="C129" t="str">
            <v>CODO HD 90° EXTREMO LISO PARA PVC D=6" (Suministro e Instalación)</v>
          </cell>
          <cell r="D129" t="str">
            <v>UN</v>
          </cell>
          <cell r="E129">
            <v>412005</v>
          </cell>
        </row>
        <row r="130">
          <cell r="B130">
            <v>3295</v>
          </cell>
          <cell r="C130" t="str">
            <v>CODO HD 90° EXTREMO LISO PARA PVC D=8" (Suministro e Instalación)</v>
          </cell>
          <cell r="D130" t="str">
            <v>UN</v>
          </cell>
          <cell r="E130">
            <v>763879</v>
          </cell>
        </row>
        <row r="131">
          <cell r="B131">
            <v>3296</v>
          </cell>
          <cell r="C131" t="str">
            <v>CODO HD 90° EXTREMO LISO PARA PVC D=10" (Suministro e Instalación)</v>
          </cell>
          <cell r="D131" t="str">
            <v>UN</v>
          </cell>
          <cell r="E131">
            <v>1393494</v>
          </cell>
        </row>
        <row r="132">
          <cell r="B132">
            <v>3297</v>
          </cell>
          <cell r="C132" t="str">
            <v>CODO HD 90° EXTREMO LISO PARA PVC D=12" (Suministro e Instalación)</v>
          </cell>
          <cell r="D132" t="str">
            <v>UN</v>
          </cell>
          <cell r="E132">
            <v>1660949</v>
          </cell>
        </row>
        <row r="133">
          <cell r="B133">
            <v>3298</v>
          </cell>
          <cell r="C133" t="str">
            <v>CODO HD 90° EXTREMO LISO PARA PVC D=14" (Suministro e Instalación)</v>
          </cell>
          <cell r="D133" t="str">
            <v>UN</v>
          </cell>
          <cell r="E133">
            <v>2561164</v>
          </cell>
        </row>
        <row r="134">
          <cell r="B134">
            <v>3299</v>
          </cell>
          <cell r="C134" t="str">
            <v>CODO HD 90° EXTREMO LISO PARA PVC D=16" (Suministro e Instalación)</v>
          </cell>
          <cell r="D134" t="str">
            <v>UN</v>
          </cell>
          <cell r="E134">
            <v>3583407</v>
          </cell>
        </row>
        <row r="135">
          <cell r="B135">
            <v>3300</v>
          </cell>
          <cell r="C135" t="str">
            <v>CODO HD 90° EXTREMO LISO PARA PVC D=18" (Suministro e Instalación)</v>
          </cell>
          <cell r="D135" t="str">
            <v>UN</v>
          </cell>
          <cell r="E135">
            <v>4280736</v>
          </cell>
        </row>
        <row r="136">
          <cell r="B136">
            <v>3301</v>
          </cell>
          <cell r="C136" t="str">
            <v>CODO HD 90° EXTREMO LISO PARA PVC D=20" (Suministro e Instalación)</v>
          </cell>
          <cell r="D136" t="str">
            <v>UN</v>
          </cell>
          <cell r="E136">
            <v>5358650</v>
          </cell>
        </row>
        <row r="137">
          <cell r="B137">
            <v>3303</v>
          </cell>
          <cell r="C137" t="str">
            <v>CODO HD 45° EXTREMO LISO PARA PVC D=2" (Suministro e Instalación)</v>
          </cell>
          <cell r="D137" t="str">
            <v>UN</v>
          </cell>
          <cell r="E137">
            <v>111864</v>
          </cell>
        </row>
        <row r="138">
          <cell r="B138">
            <v>3304</v>
          </cell>
          <cell r="C138" t="str">
            <v>CODO HD 45° EXTREMO LISO PARA PVC D=3" (Suministro e Instalación)</v>
          </cell>
          <cell r="D138" t="str">
            <v>UN</v>
          </cell>
          <cell r="E138">
            <v>134924</v>
          </cell>
        </row>
        <row r="139">
          <cell r="B139">
            <v>3305</v>
          </cell>
          <cell r="C139" t="str">
            <v>CODO HD 45° EXTREMO LISO PARA PVC D=4" (Suministro e Instalación)</v>
          </cell>
          <cell r="D139" t="str">
            <v>UN</v>
          </cell>
          <cell r="E139">
            <v>172778</v>
          </cell>
        </row>
        <row r="140">
          <cell r="B140">
            <v>3306</v>
          </cell>
          <cell r="C140" t="str">
            <v>CODO HD 45° EXTREMO LISO PARA PVC D=6" (Suministro e Instalación)</v>
          </cell>
          <cell r="D140" t="str">
            <v>UN</v>
          </cell>
          <cell r="E140">
            <v>344330</v>
          </cell>
        </row>
        <row r="141">
          <cell r="B141">
            <v>3307</v>
          </cell>
          <cell r="C141" t="str">
            <v>CODO HD 45° EXTREMO LISO PARA PVC D=8" (Suministro e Instalación)</v>
          </cell>
          <cell r="D141" t="str">
            <v>UN</v>
          </cell>
          <cell r="E141">
            <v>730761</v>
          </cell>
        </row>
        <row r="142">
          <cell r="B142">
            <v>3308</v>
          </cell>
          <cell r="C142" t="str">
            <v>CODO HD 45° EXTREMO LISO PARA PVC D=10" (Suministro e Instalación)</v>
          </cell>
          <cell r="D142" t="str">
            <v>UN</v>
          </cell>
          <cell r="E142">
            <v>1184609</v>
          </cell>
        </row>
        <row r="143">
          <cell r="B143">
            <v>3309</v>
          </cell>
          <cell r="C143" t="str">
            <v>CODO HD 45° EXTREMO LISO PARA PVC D=12" (Suministro e Instalación)</v>
          </cell>
          <cell r="D143" t="str">
            <v>UN</v>
          </cell>
          <cell r="E143">
            <v>1295214</v>
          </cell>
        </row>
        <row r="144">
          <cell r="B144">
            <v>3310</v>
          </cell>
          <cell r="C144" t="str">
            <v>CODO HD 45° EXTREMO LISO PARA PVC D=14" (Suministro e Instalación)</v>
          </cell>
          <cell r="D144" t="str">
            <v>UN</v>
          </cell>
          <cell r="E144">
            <v>1841568</v>
          </cell>
        </row>
        <row r="145">
          <cell r="B145">
            <v>3311</v>
          </cell>
          <cell r="C145" t="str">
            <v>CODO HD 45° EXTREMO LISO PARA PVC D=16" (Suministro e Instalación)</v>
          </cell>
          <cell r="D145" t="str">
            <v>UN</v>
          </cell>
          <cell r="E145">
            <v>2709388</v>
          </cell>
        </row>
        <row r="146">
          <cell r="B146">
            <v>3312</v>
          </cell>
          <cell r="C146" t="str">
            <v>CODO HD 45° EXTREMO LISO PARA PVC D=18" (Suministro e Instalación)</v>
          </cell>
          <cell r="D146" t="str">
            <v>UN</v>
          </cell>
          <cell r="E146">
            <v>3583824</v>
          </cell>
        </row>
        <row r="147">
          <cell r="B147">
            <v>3313</v>
          </cell>
          <cell r="C147" t="str">
            <v>CODO HD 45° EXTREMO LISO PARA PVC D=20" (Suministro e Instalación)</v>
          </cell>
          <cell r="D147" t="str">
            <v>UN</v>
          </cell>
          <cell r="E147">
            <v>5178663</v>
          </cell>
        </row>
        <row r="148">
          <cell r="B148">
            <v>3315</v>
          </cell>
          <cell r="C148" t="str">
            <v>CODO HD 22.5° EXTREMO LISO PARA PVC D=6" (Suministro e Instalación)</v>
          </cell>
          <cell r="D148" t="str">
            <v>UN</v>
          </cell>
          <cell r="E148">
            <v>298253</v>
          </cell>
        </row>
        <row r="149">
          <cell r="B149">
            <v>3316</v>
          </cell>
          <cell r="C149" t="str">
            <v>CODO HD 22.5° EXTREMO LISO PARA PVC D=12" (Suministro e Instalación)</v>
          </cell>
          <cell r="D149" t="str">
            <v>UN</v>
          </cell>
          <cell r="E149">
            <v>1381608</v>
          </cell>
        </row>
        <row r="150">
          <cell r="B150">
            <v>3317</v>
          </cell>
          <cell r="C150" t="str">
            <v>CODO HD 11.25° EXTREMO LISO PARA PVC D=6" (Suministro e Instalación)</v>
          </cell>
          <cell r="D150" t="str">
            <v>UN</v>
          </cell>
          <cell r="E150">
            <v>286734</v>
          </cell>
        </row>
        <row r="151">
          <cell r="B151">
            <v>3318</v>
          </cell>
          <cell r="C151" t="str">
            <v>CODO HD 11.25° EXTREMO LISO PARA PVC D=12" (Suministro e Instalación)</v>
          </cell>
          <cell r="D151" t="str">
            <v>UN</v>
          </cell>
          <cell r="E151">
            <v>1207380</v>
          </cell>
        </row>
        <row r="152">
          <cell r="B152">
            <v>3320</v>
          </cell>
          <cell r="C152" t="str">
            <v>TAPON HD EXTREMO LISO D=6" (Suministro e Instalación)</v>
          </cell>
          <cell r="D152" t="str">
            <v>UN</v>
          </cell>
          <cell r="E152">
            <v>276654</v>
          </cell>
        </row>
        <row r="153">
          <cell r="B153">
            <v>3321</v>
          </cell>
          <cell r="C153" t="str">
            <v>TAPON HD EXTREMO LISO D=12" (Suministro e Instalación)</v>
          </cell>
          <cell r="D153" t="str">
            <v>UN</v>
          </cell>
          <cell r="E153">
            <v>1179823</v>
          </cell>
        </row>
        <row r="154">
          <cell r="B154">
            <v>3322</v>
          </cell>
          <cell r="C154" t="str">
            <v>VALVULA COMPUERTA ELASTICA VASTAGO NO ASCENDENTE EXTREMO LISO D=2" (Suministro e Instalación)</v>
          </cell>
          <cell r="D154" t="str">
            <v>UN</v>
          </cell>
          <cell r="E154">
            <v>392568</v>
          </cell>
        </row>
        <row r="155">
          <cell r="B155">
            <v>3323</v>
          </cell>
          <cell r="C155" t="str">
            <v>VALVULA COMPUERTA ELASTICA VASTAGO NO ASCENDENTE EXTREMO LISO D=3" (Suministro e Instalación)</v>
          </cell>
          <cell r="D155" t="str">
            <v>UN</v>
          </cell>
          <cell r="E155">
            <v>572255</v>
          </cell>
        </row>
        <row r="156">
          <cell r="B156">
            <v>3324</v>
          </cell>
          <cell r="C156" t="str">
            <v>VALVULA COMPUERTA ELASTICA VASTAGO NO ASCENDENTE EXTREMO LISO D=6" (Suministro e Instalación)</v>
          </cell>
          <cell r="D156" t="str">
            <v>UN</v>
          </cell>
          <cell r="E156">
            <v>1349363</v>
          </cell>
        </row>
        <row r="157">
          <cell r="B157">
            <v>3325</v>
          </cell>
          <cell r="C157" t="str">
            <v>VALVULA COMPUERTA ELASTICA VASTAGO NO ASCENDENTE EXTREMO LISO D=8" (Suministro e Instalación)</v>
          </cell>
          <cell r="D157" t="str">
            <v>UN</v>
          </cell>
          <cell r="E157">
            <v>1992571</v>
          </cell>
        </row>
        <row r="158">
          <cell r="B158">
            <v>3327</v>
          </cell>
          <cell r="C158" t="str">
            <v>HIDRANTE EXTREMO BRIDA D=3" (Suministro e Instalación. No incluye kit de nivelación)</v>
          </cell>
          <cell r="D158" t="str">
            <v>UN</v>
          </cell>
          <cell r="E158">
            <v>2461295</v>
          </cell>
        </row>
        <row r="159">
          <cell r="B159">
            <v>3328</v>
          </cell>
          <cell r="C159" t="str">
            <v>HIDRANTE EXTREMO BRIDA D=4" TIPO POSTE (Suministro e Instalación. No incluye kit de nivelación)</v>
          </cell>
          <cell r="D159" t="str">
            <v>UN</v>
          </cell>
          <cell r="E159">
            <v>2294581</v>
          </cell>
        </row>
        <row r="160">
          <cell r="B160">
            <v>3329</v>
          </cell>
          <cell r="C160" t="str">
            <v>HIDRANTE EXTREMO BRIDA D=6" TIPO POSTE (Suministro e Instalación. No incluye kit de nivelación)</v>
          </cell>
          <cell r="D160" t="str">
            <v>UN</v>
          </cell>
          <cell r="E160">
            <v>3206351</v>
          </cell>
        </row>
        <row r="161">
          <cell r="B161">
            <v>3330</v>
          </cell>
          <cell r="C161" t="str">
            <v>HIDRANTE EXTREMO BRIDA D=4" TIPO TRÁFICO (Suministro e Instalación. No incluye kit de nivelación)</v>
          </cell>
          <cell r="D161" t="str">
            <v>UN</v>
          </cell>
          <cell r="E161">
            <v>3531455</v>
          </cell>
        </row>
        <row r="162">
          <cell r="B162">
            <v>3331</v>
          </cell>
          <cell r="C162" t="str">
            <v>HIDRANTE EXTREMO BRIDA D=6" TIPO TRAFICO (Suministro e Instalación. No incluye kit de nivelación)</v>
          </cell>
          <cell r="D162" t="str">
            <v>UN</v>
          </cell>
          <cell r="E162">
            <v>4711047</v>
          </cell>
        </row>
        <row r="163">
          <cell r="B163">
            <v>3347</v>
          </cell>
          <cell r="C163" t="str">
            <v>POSTE EN CONCRETO AP, H=8m, CR=510 Kg (Inc. Suministro, Izaje, Hincado, Aplomado y Cimentación según Norma LA009)</v>
          </cell>
          <cell r="D163" t="str">
            <v>UN</v>
          </cell>
          <cell r="E163">
            <v>779448</v>
          </cell>
        </row>
        <row r="164">
          <cell r="B164">
            <v>3348</v>
          </cell>
          <cell r="C164" t="str">
            <v>POSTE EN CONCRETO AP, H=8m, CR=750 Kg (Inc. Suministro, Izaje, Hincado, Aplomado y Cimentación según Norma LA009)</v>
          </cell>
          <cell r="D164" t="str">
            <v>UN</v>
          </cell>
          <cell r="E164">
            <v>759468</v>
          </cell>
        </row>
        <row r="165">
          <cell r="B165">
            <v>3350</v>
          </cell>
          <cell r="C165" t="str">
            <v>POSTE EN CONCRETO AP, H=10m, CR=510 Kg (Inc. Suministro, Izaje, Hincado, Aplomado y Cimentación según Norma LA009)</v>
          </cell>
          <cell r="D165" t="str">
            <v>UN</v>
          </cell>
          <cell r="E165">
            <v>779448</v>
          </cell>
        </row>
        <row r="166">
          <cell r="B166">
            <v>3351</v>
          </cell>
          <cell r="C166" t="str">
            <v>POSTE EN CONCRETO AP, H=10m, CR=750 Kg (Inc. Suministro, Izaje, Hincado, Aplomado y Cimentación según Norma LA009)</v>
          </cell>
          <cell r="D166" t="str">
            <v>UN</v>
          </cell>
          <cell r="E166">
            <v>915094</v>
          </cell>
        </row>
        <row r="167">
          <cell r="B167">
            <v>3352</v>
          </cell>
          <cell r="C167" t="str">
            <v>POSTE EN CONCRETO AP, H=10m, CR=1050 Kg (Inc. Suministro, Izaje, Hincado, Aplomado y Cimentación según Norma LA009)</v>
          </cell>
          <cell r="D167" t="str">
            <v>UN</v>
          </cell>
          <cell r="E167">
            <v>1039831</v>
          </cell>
        </row>
        <row r="168">
          <cell r="B168">
            <v>3353</v>
          </cell>
          <cell r="C168" t="str">
            <v>POSTE EN CONCRETO AP, H=12m, CR=510 Kg (Inc. Suministro, Izaje, Hincado, Aplomado y Cimentación según Norma LA009)</v>
          </cell>
          <cell r="D168" t="str">
            <v>UN</v>
          </cell>
          <cell r="E168">
            <v>937527</v>
          </cell>
        </row>
        <row r="169">
          <cell r="B169">
            <v>3354</v>
          </cell>
          <cell r="C169" t="str">
            <v>POSTE EN CONCRETO AP, H=12m, CR=1050 Kg (Inc. Suministro, Izaje, Hincado, Aplomado y Cimentación según Norma LA009)</v>
          </cell>
          <cell r="D169" t="str">
            <v>UN</v>
          </cell>
          <cell r="E169">
            <v>1324197</v>
          </cell>
        </row>
        <row r="170">
          <cell r="B170">
            <v>3355</v>
          </cell>
          <cell r="C170" t="str">
            <v>POSTE EN CONCRETO AP, H=14m, CR=750 Kg (Inc. Suministro, Izaje, Hincado, Aplomado y Cimentación según Norma LA009)</v>
          </cell>
          <cell r="D170" t="str">
            <v>UN</v>
          </cell>
          <cell r="E170">
            <v>1351295</v>
          </cell>
        </row>
        <row r="171">
          <cell r="B171">
            <v>3356</v>
          </cell>
          <cell r="C171" t="str">
            <v>POSTE EN CONCRETO AP, H=14m, CR=1050 Kg (Inc. Suministro, Izaje, Hincado, Aplomado y Cimentación según Norma LA009)</v>
          </cell>
          <cell r="D171" t="str">
            <v>UN</v>
          </cell>
          <cell r="E171">
            <v>1696659</v>
          </cell>
        </row>
        <row r="172">
          <cell r="B172">
            <v>3357</v>
          </cell>
          <cell r="C172" t="str">
            <v>POSTE EN CONCRETO AP, H=14m, CR=1350 Kg (Inc. Suministro, Izaje, Hincado, Aplomado y Cimentación según Norma LA009)</v>
          </cell>
          <cell r="D172" t="str">
            <v>UN</v>
          </cell>
          <cell r="E172">
            <v>1843720</v>
          </cell>
        </row>
        <row r="173">
          <cell r="B173">
            <v>3358</v>
          </cell>
          <cell r="C173" t="str">
            <v>POSTE METALICO AP, H=6m TIPO M130 SENCILLO (Inc. Sumin., Izaje, Aplomado, Inst., Base según Norma AP330 y Luminaria 70W)</v>
          </cell>
          <cell r="D173" t="str">
            <v>UN</v>
          </cell>
          <cell r="E173">
            <v>1231077</v>
          </cell>
        </row>
        <row r="174">
          <cell r="B174">
            <v>3359</v>
          </cell>
          <cell r="C174" t="str">
            <v>POSTE METALICO AP, H=6m TIPO M130 DOBLE (Inc. Sumin., Izaje, Aplomado, Inst., Base según Norma AP330 y Luminarias 70W)</v>
          </cell>
          <cell r="D174" t="str">
            <v>UN</v>
          </cell>
          <cell r="E174">
            <v>1617476</v>
          </cell>
        </row>
        <row r="175">
          <cell r="B175">
            <v>3360</v>
          </cell>
          <cell r="C175" t="str">
            <v>POSTE METALICO AP, H=9m (Inc. Suministro, Izaje, Aplomado e Instalación. Inc. Brazo Sencillo y Base según Norma AP802)</v>
          </cell>
          <cell r="D175" t="str">
            <v>UN</v>
          </cell>
          <cell r="E175">
            <v>2045074</v>
          </cell>
        </row>
        <row r="176">
          <cell r="B176">
            <v>3361</v>
          </cell>
          <cell r="C176" t="str">
            <v>POSTE METALICO AP, H=10m (Inc. Suministro, Izaje, Aplomado e Instalación. Incluye Brazo Doble y Base según Norma AP802)</v>
          </cell>
          <cell r="D176" t="str">
            <v>UN</v>
          </cell>
          <cell r="E176">
            <v>2366209</v>
          </cell>
        </row>
        <row r="177">
          <cell r="B177">
            <v>3363</v>
          </cell>
          <cell r="C177" t="str">
            <v>POSTE METALICO AP, H=12m (Inc. Suministro, Izaje, Aplomado e Instalación. Inc. Brazo Doble y Base según Norma AP802)</v>
          </cell>
          <cell r="D177" t="str">
            <v>UN</v>
          </cell>
          <cell r="E177">
            <v>2710902</v>
          </cell>
        </row>
        <row r="178">
          <cell r="B178">
            <v>3364</v>
          </cell>
          <cell r="C178" t="str">
            <v>POSTE EN CONCRETO LA, H=8m, CR=510 Kg (Inc. Suministro, Izaje, Hincado, Aplomado y Cimentación según Norma LA009)</v>
          </cell>
          <cell r="D178" t="str">
            <v>UN</v>
          </cell>
          <cell r="E178">
            <v>633078</v>
          </cell>
        </row>
        <row r="179">
          <cell r="B179">
            <v>3365</v>
          </cell>
          <cell r="C179" t="str">
            <v>POSTE EN CONCRETO LA, H=8m, CR=750 Kg (Inc. Suministro, Izaje, Hincado, Aplomado y Cimentación según Norma LA009)</v>
          </cell>
          <cell r="D179" t="str">
            <v>UN</v>
          </cell>
          <cell r="E179">
            <v>765418</v>
          </cell>
        </row>
        <row r="180">
          <cell r="B180">
            <v>3366</v>
          </cell>
          <cell r="C180" t="str">
            <v>POSTE EN CONCRETO LA, H=8m, CR=1050 Kg (Inc. Suministro, Izaje, Hincado, Aplomado y Cimentación según Norma LA009)</v>
          </cell>
          <cell r="D180" t="str">
            <v>UN</v>
          </cell>
          <cell r="E180">
            <v>887518</v>
          </cell>
        </row>
        <row r="181">
          <cell r="B181">
            <v>3368</v>
          </cell>
          <cell r="C181" t="str">
            <v>POSTE EN CONCRETO LA, H=10m, CR=510 Kg (Inc. Suministro, Izaje, Hincado, Aplomado y Cimentación según Norma LA009)</v>
          </cell>
          <cell r="D181" t="str">
            <v>UN</v>
          </cell>
          <cell r="E181">
            <v>768959</v>
          </cell>
        </row>
        <row r="182">
          <cell r="B182">
            <v>3369</v>
          </cell>
          <cell r="C182" t="str">
            <v>POSTE EN CONCRETO LA, H=10m, CR=750 Kg (Inc. Suministro, Izaje, Hincado, Aplomado y Cimentación según Norma LA009)</v>
          </cell>
          <cell r="D182" t="str">
            <v>UN</v>
          </cell>
          <cell r="E182">
            <v>892484</v>
          </cell>
        </row>
        <row r="183">
          <cell r="B183">
            <v>3370</v>
          </cell>
          <cell r="C183" t="str">
            <v>POSTE EN CONCRETO LA, H=10m, CR=1050 Kg (Inc. Suministro, Izaje, Hincado, Aplomado y Cimentación según Norma LA009)</v>
          </cell>
          <cell r="D183" t="str">
            <v>UN</v>
          </cell>
          <cell r="E183">
            <v>982116</v>
          </cell>
        </row>
        <row r="184">
          <cell r="B184">
            <v>3371</v>
          </cell>
          <cell r="C184" t="str">
            <v>POSTE EN CONCRETO LA, H=12m, CR=510 Kg (Inc. Suministro, Izaje, Hincado, Aplomado y Cimentación según Norma LA009)</v>
          </cell>
          <cell r="D184" t="str">
            <v>UN</v>
          </cell>
          <cell r="E184">
            <v>924437</v>
          </cell>
        </row>
        <row r="185">
          <cell r="B185">
            <v>3372</v>
          </cell>
          <cell r="C185" t="str">
            <v>POSTE EN CONCRETO LA, H=12m, CR=750 Kg (Inc. Suministro, Izaje, Hincado, Aplomado y Cimentación según Norma LA009)</v>
          </cell>
          <cell r="D185" t="str">
            <v>UN</v>
          </cell>
          <cell r="E185">
            <v>1033271</v>
          </cell>
        </row>
        <row r="186">
          <cell r="B186">
            <v>3373</v>
          </cell>
          <cell r="C186" t="str">
            <v>POSTE EN CONCRETO LA, H=12m, CR=1050 Kg (Inc. Suministro, Izaje, Hincado, Aplomado y Cimentación según Norma LA009)</v>
          </cell>
          <cell r="D186" t="str">
            <v>UN</v>
          </cell>
          <cell r="E186">
            <v>1293852</v>
          </cell>
        </row>
        <row r="187">
          <cell r="B187">
            <v>3374</v>
          </cell>
          <cell r="C187" t="str">
            <v>POSTE EN CONCRETO LA, H=14m, CR=750 Kg (Inc. Suministro, Izaje, Hincado, Aplomado y Cimentación según Norma LA009)</v>
          </cell>
          <cell r="D187" t="str">
            <v>UN</v>
          </cell>
          <cell r="E187">
            <v>1325115</v>
          </cell>
        </row>
        <row r="188">
          <cell r="B188">
            <v>3375</v>
          </cell>
          <cell r="C188" t="str">
            <v>POSTE EN CONCRETO LA, H=14m, CR=1050 Kg (Inc. Suministro, Izaje, Hincado, Aplomado y Cimentación según Norma LA009)</v>
          </cell>
          <cell r="D188" t="str">
            <v>UN</v>
          </cell>
          <cell r="E188">
            <v>1544339</v>
          </cell>
        </row>
        <row r="189">
          <cell r="B189">
            <v>3376</v>
          </cell>
          <cell r="C189" t="str">
            <v>POSTE EN CONCRETO LA, H=14m, CR=1350 Kg (Inc. Suministro, Izaje, Hincado, Aplomado y Cimentación según Norma LA009)</v>
          </cell>
          <cell r="D189" t="str">
            <v>UN</v>
          </cell>
          <cell r="E189">
            <v>1702110</v>
          </cell>
        </row>
        <row r="190">
          <cell r="B190">
            <v>3378</v>
          </cell>
          <cell r="C190" t="str">
            <v>DESCAPOTE A MANO EN MATERIAL COMUN (e=0.1m. Incluye Cargue)</v>
          </cell>
          <cell r="D190" t="str">
            <v>M2</v>
          </cell>
          <cell r="E190">
            <v>2317</v>
          </cell>
        </row>
        <row r="191">
          <cell r="B191">
            <v>3379</v>
          </cell>
          <cell r="C191" t="str">
            <v>4 DUCTOS D=6" PVC-TDP (Incluye Suministro e Instalación. No Incluye Rellenos). NORMA CS217.</v>
          </cell>
          <cell r="D191" t="str">
            <v>M</v>
          </cell>
          <cell r="E191">
            <v>122670</v>
          </cell>
        </row>
        <row r="192">
          <cell r="B192">
            <v>3380</v>
          </cell>
          <cell r="C192" t="str">
            <v>4 DUCTOS D=4" PVC-TDP (Incluye Suministro e Instalación. No Incluye Rellenos) NORMA CS209.</v>
          </cell>
          <cell r="D192" t="str">
            <v>M</v>
          </cell>
          <cell r="E192">
            <v>55881</v>
          </cell>
        </row>
        <row r="193">
          <cell r="B193">
            <v>3382</v>
          </cell>
          <cell r="C193" t="str">
            <v>1 DUCTO D=3" PVC-TDP (Incluye Suministro e Instalación. No Incluye Rellenos) NORMA CS220.</v>
          </cell>
          <cell r="D193" t="str">
            <v>M</v>
          </cell>
          <cell r="E193">
            <v>13404</v>
          </cell>
        </row>
        <row r="194">
          <cell r="B194">
            <v>3385</v>
          </cell>
          <cell r="C194" t="str">
            <v>6 DUCTOS D=4" PVC-TDP (Incluye Suministro e Instalación. No Incluye Rellenos)</v>
          </cell>
          <cell r="D194" t="str">
            <v>M</v>
          </cell>
          <cell r="E194">
            <v>82490</v>
          </cell>
        </row>
        <row r="195">
          <cell r="B195">
            <v>3388</v>
          </cell>
          <cell r="C195" t="str">
            <v>9  DUCTOS D=6" PVC-TDP (Incluye Suministro e Instalación. No Incluye Rellenos) NORMA CS213.</v>
          </cell>
          <cell r="D195" t="str">
            <v>M</v>
          </cell>
          <cell r="E195">
            <v>272680</v>
          </cell>
        </row>
        <row r="196">
          <cell r="B196">
            <v>3391</v>
          </cell>
          <cell r="C196" t="str">
            <v>CODO HD 22.5° EXTREMO LISO PARA PVC D=4" (Suministro e Instalación)</v>
          </cell>
          <cell r="D196" t="str">
            <v>UN</v>
          </cell>
          <cell r="E196">
            <v>192936</v>
          </cell>
        </row>
        <row r="197">
          <cell r="B197">
            <v>3393</v>
          </cell>
          <cell r="C197" t="str">
            <v>UNION DE REPARACION PVC TIPO U.M. D=12" (Suministro e Instalación)</v>
          </cell>
          <cell r="D197" t="str">
            <v>UN</v>
          </cell>
          <cell r="E197">
            <v>781515</v>
          </cell>
        </row>
        <row r="198">
          <cell r="B198">
            <v>3394</v>
          </cell>
          <cell r="C198" t="str">
            <v>LOSA DE CONCRETO MR41 (Suministro, Formaleteado, Colocación y Acabado. No Incluye Acero, Curado, Juntas)</v>
          </cell>
          <cell r="D198" t="str">
            <v>M3</v>
          </cell>
          <cell r="E198">
            <v>491873</v>
          </cell>
        </row>
        <row r="199">
          <cell r="B199">
            <v>3396</v>
          </cell>
          <cell r="C199" t="str">
            <v>BANCA EN CONCRETO TIPO M30 (Suministro e Instalación. No Incluye material de base)</v>
          </cell>
          <cell r="D199" t="str">
            <v>UN</v>
          </cell>
          <cell r="E199">
            <v>625135</v>
          </cell>
        </row>
        <row r="200">
          <cell r="B200">
            <v>3397</v>
          </cell>
          <cell r="C200" t="str">
            <v>CANECA TIPO M120 (En malla metálica. Incluye Suministro e Instalación. Incluye base en Concreto 1500 PSI, Hecho en Obra)</v>
          </cell>
          <cell r="D200" t="str">
            <v>UN</v>
          </cell>
          <cell r="E200">
            <v>304022</v>
          </cell>
        </row>
        <row r="201">
          <cell r="B201">
            <v>3400</v>
          </cell>
          <cell r="C201" t="str">
            <v>BANCA EN CONCRETO TIPO M40 (Suministro e Instalación)</v>
          </cell>
          <cell r="D201" t="str">
            <v>UN</v>
          </cell>
          <cell r="E201">
            <v>131820</v>
          </cell>
        </row>
        <row r="202">
          <cell r="B202">
            <v>3401</v>
          </cell>
          <cell r="C202" t="str">
            <v>BANCA EN CONCRETO TIPO M31 (Suministro e Instalación)</v>
          </cell>
          <cell r="D202" t="str">
            <v>UN</v>
          </cell>
          <cell r="E202">
            <v>298960</v>
          </cell>
        </row>
        <row r="203">
          <cell r="B203">
            <v>3403</v>
          </cell>
          <cell r="C203" t="str">
            <v>CONTENEDOR DE RAICES TIPO B20 (TIPO A) (1.2x1.2x1.40m. Inc. Suministro, Construcción y filtro en gravilla. No Inc. Tierra)</v>
          </cell>
          <cell r="D203" t="str">
            <v>UN</v>
          </cell>
          <cell r="E203">
            <v>564147</v>
          </cell>
        </row>
        <row r="204">
          <cell r="B204">
            <v>3404</v>
          </cell>
          <cell r="C204" t="str">
            <v>TAPON HD EXTREMO LISO D=4"  (Suministro e Instalación)</v>
          </cell>
          <cell r="D204" t="str">
            <v>UN</v>
          </cell>
          <cell r="E204">
            <v>119501</v>
          </cell>
        </row>
        <row r="205">
          <cell r="B205">
            <v>3405</v>
          </cell>
          <cell r="C205" t="str">
            <v>UNION DE REPARACION HD EL D=6" (Suministro e Instalación)</v>
          </cell>
          <cell r="D205" t="str">
            <v>UN</v>
          </cell>
          <cell r="E205">
            <v>291853</v>
          </cell>
        </row>
        <row r="206">
          <cell r="B206">
            <v>3408</v>
          </cell>
          <cell r="C206" t="str">
            <v>6  DUCTOS D=6" PVC-TDP (Incluye Suministro e Instalación. No Incluye Rellenos). NORMA CS212.</v>
          </cell>
          <cell r="D206" t="str">
            <v>M</v>
          </cell>
          <cell r="E206">
            <v>182674</v>
          </cell>
        </row>
        <row r="207">
          <cell r="B207">
            <v>3410</v>
          </cell>
          <cell r="C207" t="str">
            <v>CAMARA DE INSPECCIÓN T-14A ETB (H=2.3m. Incluye Base, Muros, Cubierta, Aro-Base y Aro-Tapa)</v>
          </cell>
          <cell r="D207" t="str">
            <v>UN</v>
          </cell>
          <cell r="E207">
            <v>4630692</v>
          </cell>
        </row>
        <row r="208">
          <cell r="B208">
            <v>3411</v>
          </cell>
          <cell r="C208" t="str">
            <v>CAMARA DE INSPECCIÓN T-18A ETB (H=2.3m. Incluye Base, Muros, Cubierta, Aro-Base y Aro-Tapa)</v>
          </cell>
          <cell r="D208" t="str">
            <v>UN</v>
          </cell>
          <cell r="E208">
            <v>4811719</v>
          </cell>
        </row>
        <row r="209">
          <cell r="B209">
            <v>3412</v>
          </cell>
          <cell r="C209" t="str">
            <v>UNION DE REPARACION PVC TIPO U.M. D=8" (Suministro e Instalación)</v>
          </cell>
          <cell r="D209" t="str">
            <v>UN</v>
          </cell>
          <cell r="E209">
            <v>254695</v>
          </cell>
        </row>
        <row r="210">
          <cell r="B210">
            <v>3413</v>
          </cell>
          <cell r="C210" t="str">
            <v>ADAPTADOR TERMINAL CAMPANA PVC D=3" (Suministro e Instalación)</v>
          </cell>
          <cell r="D210" t="str">
            <v>UN</v>
          </cell>
          <cell r="E210">
            <v>6960</v>
          </cell>
        </row>
        <row r="211">
          <cell r="B211">
            <v>3414</v>
          </cell>
          <cell r="C211" t="str">
            <v>ADAPTADOR TERMINAL CAMPANA PVC D=4" (Suministro e Instalación)</v>
          </cell>
          <cell r="D211" t="str">
            <v>UN</v>
          </cell>
          <cell r="E211">
            <v>7704</v>
          </cell>
        </row>
        <row r="212">
          <cell r="B212">
            <v>3415</v>
          </cell>
          <cell r="C212" t="str">
            <v>2 DUCTOS D=3" PVC-TDP (Incluye Suministro e Instalación. No Incluye Rellenos)</v>
          </cell>
          <cell r="D212" t="str">
            <v>M</v>
          </cell>
          <cell r="E212">
            <v>24145</v>
          </cell>
        </row>
        <row r="213">
          <cell r="B213">
            <v>3425</v>
          </cell>
          <cell r="C213" t="str">
            <v>ANDEN CONCRETO 3000 PSI (210 Kg/cm2) PREMEZCLADO e=0.10m (Incluye Suministro, Formaleteo, Fundida y Curado)</v>
          </cell>
          <cell r="D213" t="str">
            <v>M2</v>
          </cell>
          <cell r="E213">
            <v>50273</v>
          </cell>
        </row>
        <row r="214">
          <cell r="B214">
            <v>3426</v>
          </cell>
          <cell r="C214" t="str">
            <v>SARDINEL H=0.40m, e=0.15m CONCRETO 3000 PSI (Fundido en Sitio, Concreto Hecho en Obra. Inc. Sumin, Formalet. y Const.)</v>
          </cell>
          <cell r="D214" t="str">
            <v>M</v>
          </cell>
          <cell r="E214">
            <v>26846</v>
          </cell>
        </row>
        <row r="215">
          <cell r="B215">
            <v>3429</v>
          </cell>
          <cell r="C215" t="str">
            <v>SEÑAL DOBLE DE CICLORUTA (Incluye Suministro e Instalación)</v>
          </cell>
          <cell r="D215" t="str">
            <v>UN</v>
          </cell>
          <cell r="E215">
            <v>406936</v>
          </cell>
        </row>
        <row r="216">
          <cell r="B216">
            <v>3430</v>
          </cell>
          <cell r="C216" t="str">
            <v>SEÑAL VERTICAL GRUPO I (60x60cm) (Incluye Suministro e Instalación)</v>
          </cell>
          <cell r="D216" t="str">
            <v>UN</v>
          </cell>
          <cell r="E216">
            <v>151086</v>
          </cell>
        </row>
        <row r="217">
          <cell r="B217">
            <v>3431</v>
          </cell>
          <cell r="C217" t="str">
            <v>SEÑAL VERTICAL GRUPO I (75x75cm) (Incluye Suministro e Instalación)</v>
          </cell>
          <cell r="D217" t="str">
            <v>UN</v>
          </cell>
          <cell r="E217">
            <v>151086</v>
          </cell>
        </row>
        <row r="218">
          <cell r="B218">
            <v>3432</v>
          </cell>
          <cell r="C218" t="str">
            <v>SEÑAL VERTICAL GRUPO I (90x90cm) (Incluye Suministro e Instalación)</v>
          </cell>
          <cell r="D218" t="str">
            <v>UN</v>
          </cell>
          <cell r="E218">
            <v>406936</v>
          </cell>
        </row>
        <row r="219">
          <cell r="B219">
            <v>3433</v>
          </cell>
          <cell r="C219" t="str">
            <v>TACHA REFLECTIVA UNIDIRECCIONAL (Incluye Suministro e Instalación)</v>
          </cell>
          <cell r="D219" t="str">
            <v>UN</v>
          </cell>
          <cell r="E219">
            <v>4769</v>
          </cell>
        </row>
        <row r="220">
          <cell r="B220">
            <v>3434</v>
          </cell>
          <cell r="C220" t="str">
            <v>TACHON EN CONCRETO L=0.40m Hi=0.15m, Hs=0.08m (Incluye Suminitro e Instalación) INCLUYE PINTURA PARA INSTALAR</v>
          </cell>
          <cell r="D220" t="str">
            <v>UN</v>
          </cell>
          <cell r="E220">
            <v>32805</v>
          </cell>
        </row>
        <row r="221">
          <cell r="B221">
            <v>3436</v>
          </cell>
          <cell r="C221" t="str">
            <v>RELLENO PARA REDES EN SUBBASE GRANULAR B-400 (Suministro, Extendido, Humedecimiento y Compactación)</v>
          </cell>
          <cell r="D221" t="str">
            <v>M3</v>
          </cell>
          <cell r="E221">
            <v>70134</v>
          </cell>
        </row>
        <row r="222">
          <cell r="B222">
            <v>3442</v>
          </cell>
          <cell r="C222" t="str">
            <v>CONCRETO 2000 PSI PARA REDES (Suministro y Colocación)</v>
          </cell>
          <cell r="D222" t="str">
            <v>M3</v>
          </cell>
          <cell r="E222">
            <v>341050</v>
          </cell>
        </row>
        <row r="223">
          <cell r="B223">
            <v>3443</v>
          </cell>
          <cell r="C223" t="str">
            <v>SUBBASE GRANULAR B-200 (Suministro, Extendido, Nivelación, Humedecimiento y Compactación con vibrocompactador)</v>
          </cell>
          <cell r="D223" t="str">
            <v>M3</v>
          </cell>
          <cell r="E223">
            <v>54484</v>
          </cell>
        </row>
        <row r="224">
          <cell r="B224">
            <v>3450</v>
          </cell>
          <cell r="C224" t="str">
            <v>LUMINARIA DE SODIO 70W PARA AP (Inc. Suministro e Instalación. Inc. Bombillo y Fotocelda con Base. No Inc Brazo Soporte)</v>
          </cell>
          <cell r="D224" t="str">
            <v>UN</v>
          </cell>
          <cell r="E224">
            <v>290338</v>
          </cell>
        </row>
        <row r="225">
          <cell r="B225">
            <v>3451</v>
          </cell>
          <cell r="C225" t="str">
            <v>LUMINARIA DE SODIO 250W PARA AP (Inc.Suministro e Instalación. Inc. Bombillo y Fotocelda con Base. No Inc Brazo Soporte)</v>
          </cell>
          <cell r="D225" t="str">
            <v>UN</v>
          </cell>
          <cell r="E225">
            <v>423672</v>
          </cell>
        </row>
        <row r="226">
          <cell r="B226">
            <v>3452</v>
          </cell>
          <cell r="C226" t="str">
            <v>LUMINARIA DE SODIO 150W PARA AP (Inc.Suministro e Instalación. Inc. Bombillo y Fotocelda con Base. No Inc Brazo Soporte)</v>
          </cell>
          <cell r="D226" t="str">
            <v>UN</v>
          </cell>
          <cell r="E226">
            <v>332490</v>
          </cell>
        </row>
        <row r="227">
          <cell r="B227">
            <v>3454</v>
          </cell>
          <cell r="C227" t="str">
            <v>ESTABILIZACIÓN DE SUBRASANTE CON RAJÓN (Suministro, Extendido, Nivelación y Compactación Manual)</v>
          </cell>
          <cell r="D227" t="str">
            <v>M3</v>
          </cell>
          <cell r="E227">
            <v>61261</v>
          </cell>
        </row>
        <row r="228">
          <cell r="B228">
            <v>3463</v>
          </cell>
          <cell r="C228" t="str">
            <v>UNION DE REPARACION PVC TIPO U.M. D=6"  (Suministro e Instalación)</v>
          </cell>
          <cell r="D228" t="str">
            <v>UN</v>
          </cell>
          <cell r="E228">
            <v>140981</v>
          </cell>
        </row>
        <row r="229">
          <cell r="B229">
            <v>3464</v>
          </cell>
          <cell r="C229" t="str">
            <v>EXCAVACION MANUAL EN MATERIAL COMUN. Incluye cargue.</v>
          </cell>
          <cell r="D229" t="str">
            <v>M3</v>
          </cell>
          <cell r="E229">
            <v>26499</v>
          </cell>
        </row>
        <row r="230">
          <cell r="B230">
            <v>3465</v>
          </cell>
          <cell r="C230" t="str">
            <v>CONCRETO 3000 PSI (Hecho en Obra 1:2:2 con arena de río y triturado de 3/4")</v>
          </cell>
          <cell r="D230" t="str">
            <v>M3</v>
          </cell>
          <cell r="E230">
            <v>306420</v>
          </cell>
        </row>
        <row r="231">
          <cell r="B231">
            <v>3466</v>
          </cell>
          <cell r="C231" t="str">
            <v>CONCRETO 4000 PSI (Hecho en Obra con arena de río y triturado de 3/4")</v>
          </cell>
          <cell r="D231" t="str">
            <v>M3</v>
          </cell>
          <cell r="E231">
            <v>316921</v>
          </cell>
        </row>
        <row r="232">
          <cell r="B232">
            <v>3467</v>
          </cell>
          <cell r="C232" t="str">
            <v>CONCRETO 3500 PSI (Hecho en Obra con arena de río y triturado de 3/4")</v>
          </cell>
          <cell r="D232" t="str">
            <v>M3</v>
          </cell>
          <cell r="E232">
            <v>306101</v>
          </cell>
        </row>
        <row r="233">
          <cell r="B233">
            <v>3468</v>
          </cell>
          <cell r="C233" t="str">
            <v>CONCRETO 2000 PSI (Hecho en Obra 1:3:3 con arena de río y triturado de 3/4")</v>
          </cell>
          <cell r="D233" t="str">
            <v>M3</v>
          </cell>
          <cell r="E233">
            <v>258934</v>
          </cell>
        </row>
        <row r="234">
          <cell r="B234">
            <v>3470</v>
          </cell>
          <cell r="C234" t="str">
            <v>CILINDRO POZO INSP. EN MAMPOSTERIA e=0.37m  (Inc. Sumin. y Const, Acero para Escaleras, Geotextil y Pañete Impermeab.)</v>
          </cell>
          <cell r="D234" t="str">
            <v>M</v>
          </cell>
          <cell r="E234">
            <v>620669</v>
          </cell>
        </row>
        <row r="235">
          <cell r="B235">
            <v>3471</v>
          </cell>
          <cell r="C235" t="str">
            <v>CILINDRO POZO INSP. EN MAMPOSTERIA e=0.25m (Inc. Sumin. y Const, Acero para Escaleras, Geotextil y Pañete Impermeab.)</v>
          </cell>
          <cell r="D235" t="str">
            <v>M</v>
          </cell>
          <cell r="E235">
            <v>427104</v>
          </cell>
        </row>
        <row r="236">
          <cell r="B236">
            <v>3472</v>
          </cell>
          <cell r="C236" t="str">
            <v>PLACA CUBIERTA D=1.70m POZO INSPEC. (Fundida en Sitio. Inc. Suministro, Formaleteo, Refuerzo e Instalación. No Inc.Tapa)</v>
          </cell>
          <cell r="D236" t="str">
            <v>UN</v>
          </cell>
          <cell r="E236">
            <v>386717</v>
          </cell>
        </row>
        <row r="237">
          <cell r="B237">
            <v>3473</v>
          </cell>
          <cell r="C237" t="str">
            <v>PLACA FONDO D=1.70m POZO INSPEC. (Fundida en Sitio. Incl. Sumin, Formalet, Ref, Inst. Incl. Concreto 2000 PSI de base)</v>
          </cell>
          <cell r="D237" t="str">
            <v>UN</v>
          </cell>
          <cell r="E237">
            <v>515773</v>
          </cell>
        </row>
        <row r="238">
          <cell r="B238">
            <v>3474</v>
          </cell>
          <cell r="C238" t="str">
            <v>PLACA FONDO D=1.95m POZO INSPEC. (Fundida en Sitio. Incl. Sumin, Formalet, Ref, Inst. Incl. Concreto 2000 PSI de base)</v>
          </cell>
          <cell r="D238" t="str">
            <v>UN</v>
          </cell>
          <cell r="E238">
            <v>637002</v>
          </cell>
        </row>
        <row r="239">
          <cell r="B239">
            <v>3475</v>
          </cell>
          <cell r="C239" t="str">
            <v>MORTERO 1:4 (Hecho en Obra)</v>
          </cell>
          <cell r="D239" t="str">
            <v>M3</v>
          </cell>
          <cell r="E239">
            <v>250445</v>
          </cell>
        </row>
        <row r="240">
          <cell r="B240">
            <v>3476</v>
          </cell>
          <cell r="C240" t="str">
            <v>MORTERO 1:3 (Hecho en Obra)</v>
          </cell>
          <cell r="D240" t="str">
            <v>M3</v>
          </cell>
          <cell r="E240">
            <v>283643</v>
          </cell>
        </row>
        <row r="241">
          <cell r="B241">
            <v>3477</v>
          </cell>
          <cell r="C241" t="str">
            <v>MORTERO 1:2 (Hecho en Obra)</v>
          </cell>
          <cell r="D241" t="str">
            <v>M3</v>
          </cell>
          <cell r="E241">
            <v>351069</v>
          </cell>
        </row>
        <row r="242">
          <cell r="B242">
            <v>3478</v>
          </cell>
          <cell r="C242" t="str">
            <v>RELLENO PARA REDES EN GRAVILLA 1/2" (Suministro, disposición y Extendido manual)</v>
          </cell>
          <cell r="D242" t="str">
            <v>M3</v>
          </cell>
          <cell r="E242">
            <v>74370</v>
          </cell>
        </row>
        <row r="243">
          <cell r="B243">
            <v>3486</v>
          </cell>
          <cell r="C243" t="str">
            <v>DEMOLICIÓN CONCRETO ESTRUCTURAL (Incluye Cargue manual). No incluye transporte y disposición final de sobrantes.</v>
          </cell>
          <cell r="D243" t="str">
            <v>M3</v>
          </cell>
          <cell r="E243">
            <v>134198</v>
          </cell>
        </row>
        <row r="244">
          <cell r="B244">
            <v>3487</v>
          </cell>
          <cell r="C244" t="str">
            <v>LUMINARIA DE SODIO 400W PARA AP (Inc.Suministro e Instalación. Inc. Bombillo y Fotocelda con Base. No Inc Brazo Soporte)</v>
          </cell>
          <cell r="D244" t="str">
            <v>UN</v>
          </cell>
          <cell r="E244">
            <v>688178</v>
          </cell>
        </row>
        <row r="245">
          <cell r="B245">
            <v>3490</v>
          </cell>
          <cell r="C245" t="str">
            <v>FLECHA DIRECCIONAL "A LA DERECHA" (e=15 mils, Acrílica Base Agua. Inc. Sumin. y Aplic. con Equipo. Incl. Microesferas)</v>
          </cell>
          <cell r="D245" t="str">
            <v>UN</v>
          </cell>
          <cell r="E245">
            <v>26425</v>
          </cell>
        </row>
        <row r="246">
          <cell r="B246">
            <v>3491</v>
          </cell>
          <cell r="C246" t="str">
            <v>FLECHA DIRECCIONAL "DE FRENTE" (e=15 mils, Acrílica Base Agua. Inc. Sumin. y Aplic. con Equipo. Incl. Microesferas)</v>
          </cell>
          <cell r="D246" t="str">
            <v>UN</v>
          </cell>
          <cell r="E246">
            <v>21000</v>
          </cell>
        </row>
        <row r="247">
          <cell r="B247">
            <v>3492</v>
          </cell>
          <cell r="C247" t="str">
            <v>FLECHA DIRECCIONAL "DE FRENTE A LA DERECHA" (e=15 mils, Acrílica Base Agua. Inc. Sumin. y Aplic. con Equipo. Incl. Micr</v>
          </cell>
          <cell r="D247" t="str">
            <v>UN</v>
          </cell>
          <cell r="E247">
            <v>38150</v>
          </cell>
        </row>
        <row r="248">
          <cell r="B248">
            <v>3499</v>
          </cell>
          <cell r="C248" t="str">
            <v>UNION DE REPARACION HD EL D=8" (Suministro e Instalación)</v>
          </cell>
          <cell r="D248" t="str">
            <v>UN</v>
          </cell>
          <cell r="E248">
            <v>445021</v>
          </cell>
        </row>
        <row r="249">
          <cell r="B249">
            <v>3500</v>
          </cell>
          <cell r="C249" t="str">
            <v>UNION DE REPARACION HD EL D=10" (Suministro e Instalación)</v>
          </cell>
          <cell r="D249" t="str">
            <v>UN</v>
          </cell>
          <cell r="E249">
            <v>648167</v>
          </cell>
        </row>
        <row r="250">
          <cell r="B250">
            <v>3501</v>
          </cell>
          <cell r="C250" t="str">
            <v>UNION DE REPARACION HD EL D=12" (Suministro e Instalación)</v>
          </cell>
          <cell r="D250" t="str">
            <v>UN</v>
          </cell>
          <cell r="E250">
            <v>1026454</v>
          </cell>
        </row>
        <row r="251">
          <cell r="B251">
            <v>3502</v>
          </cell>
          <cell r="C251" t="str">
            <v>UNION DE REPARACION HD EL D=14" (Suministro e Instalación)</v>
          </cell>
          <cell r="D251" t="str">
            <v>UN</v>
          </cell>
          <cell r="E251">
            <v>1365108</v>
          </cell>
        </row>
        <row r="252">
          <cell r="B252">
            <v>3503</v>
          </cell>
          <cell r="C252" t="str">
            <v>UNION DE REPARACION HD EL D=16" (Suministro e Instalación)</v>
          </cell>
          <cell r="D252" t="str">
            <v>UN</v>
          </cell>
          <cell r="E252">
            <v>1748027</v>
          </cell>
        </row>
        <row r="253">
          <cell r="B253">
            <v>3504</v>
          </cell>
          <cell r="C253" t="str">
            <v>YEE EN CONCRETO 8" x 6" x 0.60m (Incluye Suministro e Instalación)</v>
          </cell>
          <cell r="D253" t="str">
            <v>UN</v>
          </cell>
          <cell r="E253">
            <v>79887</v>
          </cell>
        </row>
        <row r="254">
          <cell r="B254">
            <v>3505</v>
          </cell>
          <cell r="C254" t="str">
            <v>YEE EN CONCRETO 10" x 6" x 1.25m (Incluye Suministro e Instalación)</v>
          </cell>
          <cell r="D254" t="str">
            <v>UN</v>
          </cell>
          <cell r="E254">
            <v>163730</v>
          </cell>
        </row>
        <row r="255">
          <cell r="B255">
            <v>3506</v>
          </cell>
          <cell r="C255" t="str">
            <v>YEE EN CONCRETO 12" x 6" x 1.25 m (Incluye Suministro e Instalación)</v>
          </cell>
          <cell r="D255" t="str">
            <v>UN</v>
          </cell>
          <cell r="E255">
            <v>212217</v>
          </cell>
        </row>
        <row r="256">
          <cell r="B256">
            <v>3507</v>
          </cell>
          <cell r="C256" t="str">
            <v>YEE EN CONCRETO 14" x 6" x 1.25m (Incluye Suministro e Instalación)</v>
          </cell>
          <cell r="D256" t="str">
            <v>UN</v>
          </cell>
          <cell r="E256">
            <v>252364</v>
          </cell>
        </row>
        <row r="257">
          <cell r="B257">
            <v>3508</v>
          </cell>
          <cell r="C257" t="str">
            <v>YEE EN CONCRETO 16" x 6" x 1.25 m (Incluye Suministro e Instalación)</v>
          </cell>
          <cell r="D257" t="str">
            <v>UN</v>
          </cell>
          <cell r="E257">
            <v>317015</v>
          </cell>
        </row>
        <row r="258">
          <cell r="B258">
            <v>3509</v>
          </cell>
          <cell r="C258" t="str">
            <v>YEE EN CONCRETO 18" x 6" x 1.25m (Incluye Suministro e Instalación)</v>
          </cell>
          <cell r="D258" t="str">
            <v>UN</v>
          </cell>
          <cell r="E258">
            <v>367171</v>
          </cell>
        </row>
        <row r="259">
          <cell r="B259">
            <v>3510</v>
          </cell>
          <cell r="C259" t="str">
            <v>YEE EN CONCRETO 20" x 6" x 1.25m (Incluye Suministro e Instalación)</v>
          </cell>
          <cell r="D259" t="str">
            <v>UN</v>
          </cell>
          <cell r="E259">
            <v>456240</v>
          </cell>
        </row>
        <row r="260">
          <cell r="B260">
            <v>3511</v>
          </cell>
          <cell r="C260" t="str">
            <v>YEE EN CONCRETO 24" x 6" x 1.25m (Incluye Suministro e Instalación)</v>
          </cell>
          <cell r="D260" t="str">
            <v>UN</v>
          </cell>
          <cell r="E260">
            <v>697232</v>
          </cell>
        </row>
        <row r="261">
          <cell r="B261">
            <v>3512</v>
          </cell>
          <cell r="C261" t="str">
            <v>CODO G.RAD. PVC 90º TIPO U.M. D=2" (Suministro e Instalación)</v>
          </cell>
          <cell r="D261" t="str">
            <v>UN</v>
          </cell>
          <cell r="E261">
            <v>12340</v>
          </cell>
        </row>
        <row r="262">
          <cell r="B262">
            <v>3513</v>
          </cell>
          <cell r="C262" t="str">
            <v>CODO G.RAD. PVC 90º TIPO U.M. D=2 1/2" (Suministro e Instalación)</v>
          </cell>
          <cell r="D262" t="str">
            <v>UN</v>
          </cell>
          <cell r="E262">
            <v>28164</v>
          </cell>
        </row>
        <row r="263">
          <cell r="B263">
            <v>3514</v>
          </cell>
          <cell r="C263" t="str">
            <v>CODO G.RAD. PVC 90º TIPO U.M. D=3" (Suministro e Instalación)</v>
          </cell>
          <cell r="D263" t="str">
            <v>UN</v>
          </cell>
          <cell r="E263">
            <v>58089</v>
          </cell>
        </row>
        <row r="264">
          <cell r="B264">
            <v>3515</v>
          </cell>
          <cell r="C264" t="str">
            <v>CODO G.RAD. PVC 90º TIPO U.M. D=4" (Suministro e Instalación)</v>
          </cell>
          <cell r="D264" t="str">
            <v>UN</v>
          </cell>
          <cell r="E264">
            <v>90357</v>
          </cell>
        </row>
        <row r="265">
          <cell r="B265">
            <v>3516</v>
          </cell>
          <cell r="C265" t="str">
            <v>CODO G.RAD. PVC 90º TIPO U.M. D=6" (Suministro e Instalación)</v>
          </cell>
          <cell r="D265" t="str">
            <v>UN</v>
          </cell>
          <cell r="E265">
            <v>191256</v>
          </cell>
        </row>
        <row r="266">
          <cell r="B266">
            <v>3517</v>
          </cell>
          <cell r="C266" t="str">
            <v>CODO G.RAD. PVC 90º TIPO U.M. D=8" (Suministro e Instalación)</v>
          </cell>
          <cell r="D266" t="str">
            <v>UN</v>
          </cell>
          <cell r="E266">
            <v>670358</v>
          </cell>
        </row>
        <row r="267">
          <cell r="B267">
            <v>3518</v>
          </cell>
          <cell r="C267" t="str">
            <v>CODO G.RAD. PVC 90º TIPO U.M. D=10" (Suministro e Instalación)</v>
          </cell>
          <cell r="D267" t="str">
            <v>UN</v>
          </cell>
          <cell r="E267">
            <v>1450087</v>
          </cell>
        </row>
        <row r="268">
          <cell r="B268">
            <v>3519</v>
          </cell>
          <cell r="C268" t="str">
            <v>CODO G.RAD. PVC 90º TIPO U.M. D=12" (Suministro e Instalación)</v>
          </cell>
          <cell r="D268" t="str">
            <v>UN</v>
          </cell>
          <cell r="E268">
            <v>1614597</v>
          </cell>
        </row>
        <row r="269">
          <cell r="B269">
            <v>3520</v>
          </cell>
          <cell r="C269" t="str">
            <v>CODO G.RAD. PVC 45º TIPO U.M. D=2" (Suministro e Instalación)</v>
          </cell>
          <cell r="D269" t="str">
            <v>UN</v>
          </cell>
          <cell r="E269">
            <v>23726</v>
          </cell>
        </row>
        <row r="270">
          <cell r="B270">
            <v>3521</v>
          </cell>
          <cell r="C270" t="str">
            <v>CODO G.RAD. PVC 45º TIPO U.M. D=2 1/2" (Suministro e Instalación)</v>
          </cell>
          <cell r="D270" t="str">
            <v>UN</v>
          </cell>
          <cell r="E270">
            <v>26590</v>
          </cell>
        </row>
        <row r="271">
          <cell r="B271">
            <v>3522</v>
          </cell>
          <cell r="C271" t="str">
            <v>CODO G.RAD. PVC 45º TIPO U.M. D=3" (Suministro e Instalación)</v>
          </cell>
          <cell r="D271" t="str">
            <v>UN</v>
          </cell>
          <cell r="E271">
            <v>40209</v>
          </cell>
        </row>
        <row r="272">
          <cell r="B272">
            <v>3523</v>
          </cell>
          <cell r="C272" t="str">
            <v>CODO G.RAD. PVC 45º TIPO U.M. D=4" (Suministro e Instalación)</v>
          </cell>
          <cell r="D272" t="str">
            <v>UN</v>
          </cell>
          <cell r="E272">
            <v>78714</v>
          </cell>
        </row>
        <row r="273">
          <cell r="B273">
            <v>3524</v>
          </cell>
          <cell r="C273" t="str">
            <v>CODO G.RAD. PVC 45º TIPO U.M. D=6" (Suministro e Instalación)</v>
          </cell>
          <cell r="D273" t="str">
            <v>UN</v>
          </cell>
          <cell r="E273">
            <v>166989</v>
          </cell>
        </row>
        <row r="274">
          <cell r="B274">
            <v>3525</v>
          </cell>
          <cell r="C274" t="str">
            <v>CODO G.RAD. PVC 45º TIPO U.M. D=8" (Suministro e Instalación)</v>
          </cell>
          <cell r="D274" t="str">
            <v>UN</v>
          </cell>
          <cell r="E274">
            <v>448432</v>
          </cell>
        </row>
        <row r="275">
          <cell r="B275">
            <v>3526</v>
          </cell>
          <cell r="C275" t="str">
            <v>CODO G.RAD. PVC 45º TIPO U.M. D=10" (Suministro e Instalación)</v>
          </cell>
          <cell r="D275" t="str">
            <v>UN</v>
          </cell>
          <cell r="E275">
            <v>952754</v>
          </cell>
        </row>
        <row r="276">
          <cell r="B276">
            <v>3527</v>
          </cell>
          <cell r="C276" t="str">
            <v>CODO G.RAD. PVC 45º TIPO U.M. D=12" (Suministro e Instalación)</v>
          </cell>
          <cell r="D276" t="str">
            <v>UN</v>
          </cell>
          <cell r="E276">
            <v>1334337</v>
          </cell>
        </row>
        <row r="277">
          <cell r="B277">
            <v>3528</v>
          </cell>
          <cell r="C277" t="str">
            <v>CODO G.RAD. PVC 22.5° TIPO U.M. D=2" (Suministro e Instalación)</v>
          </cell>
          <cell r="D277" t="str">
            <v>UN</v>
          </cell>
          <cell r="E277">
            <v>21301</v>
          </cell>
        </row>
        <row r="278">
          <cell r="B278">
            <v>3529</v>
          </cell>
          <cell r="C278" t="str">
            <v>CODO G.RAD. PVC 22.5° TIPO U.M. D=2 1/2" (Suministro e Instalación)</v>
          </cell>
          <cell r="D278" t="str">
            <v>UN</v>
          </cell>
          <cell r="E278">
            <v>27162</v>
          </cell>
        </row>
        <row r="279">
          <cell r="B279">
            <v>3530</v>
          </cell>
          <cell r="C279" t="str">
            <v>CODO G.RAD. PVC 22.5° TIPO U.M. D=3" (Suministro e Instalación)</v>
          </cell>
          <cell r="D279" t="str">
            <v>UN</v>
          </cell>
          <cell r="E279">
            <v>39709</v>
          </cell>
        </row>
        <row r="280">
          <cell r="B280">
            <v>3531</v>
          </cell>
          <cell r="C280" t="str">
            <v>CODO G.RAD. PVC 22.5° TIPO U.M. D=4" (Suministro e Instalación)</v>
          </cell>
          <cell r="D280" t="str">
            <v>UN</v>
          </cell>
          <cell r="E280">
            <v>70706</v>
          </cell>
        </row>
        <row r="281">
          <cell r="B281">
            <v>3532</v>
          </cell>
          <cell r="C281" t="str">
            <v>CODO G.RAD. PVC 22.5° TIPO U.M D=6" (Suministro e Instalación)</v>
          </cell>
          <cell r="D281" t="str">
            <v>UN</v>
          </cell>
          <cell r="E281">
            <v>168996</v>
          </cell>
        </row>
        <row r="282">
          <cell r="B282">
            <v>3533</v>
          </cell>
          <cell r="C282" t="str">
            <v>CODO G.RAD. PVC 22.5° TIPO U.M. D=8" (Suministro e Instalación)</v>
          </cell>
          <cell r="D282" t="str">
            <v>UN</v>
          </cell>
          <cell r="E282">
            <v>350996</v>
          </cell>
        </row>
        <row r="283">
          <cell r="B283">
            <v>3534</v>
          </cell>
          <cell r="C283" t="str">
            <v>CODO G.RAD. PVC 22.5° TIPO U.M. D=10" (Suministro e Instalación)</v>
          </cell>
          <cell r="D283" t="str">
            <v>UN</v>
          </cell>
          <cell r="E283">
            <v>777991</v>
          </cell>
        </row>
        <row r="284">
          <cell r="B284">
            <v>3535</v>
          </cell>
          <cell r="C284" t="str">
            <v>CODO G.RAD. PVC 22.5° TIPO U.M. D=12" (Suministro e Instalación)</v>
          </cell>
          <cell r="D284" t="str">
            <v>UN</v>
          </cell>
          <cell r="E284">
            <v>1045292</v>
          </cell>
        </row>
        <row r="285">
          <cell r="B285">
            <v>3536</v>
          </cell>
          <cell r="C285" t="str">
            <v>CODO G.RAD. PVC 11.25° TIPO U.M. D=2" (Suministro e Instalación)</v>
          </cell>
          <cell r="D285" t="str">
            <v>UN</v>
          </cell>
          <cell r="E285">
            <v>24068</v>
          </cell>
        </row>
        <row r="286">
          <cell r="B286">
            <v>3537</v>
          </cell>
          <cell r="C286" t="str">
            <v>CODO G.RAD. PVC 11.25° TIPO U.M. D=2 1/2" (Suministro e Instalación)</v>
          </cell>
          <cell r="D286" t="str">
            <v>UN</v>
          </cell>
          <cell r="E286">
            <v>27144</v>
          </cell>
        </row>
        <row r="287">
          <cell r="B287">
            <v>3538</v>
          </cell>
          <cell r="C287" t="str">
            <v>CODO G.RAD. PVC 11.25° TIPO U.M. D=3" (Suministro e Instalación)</v>
          </cell>
          <cell r="D287" t="str">
            <v>UN</v>
          </cell>
          <cell r="E287">
            <v>36532</v>
          </cell>
        </row>
        <row r="288">
          <cell r="B288">
            <v>3539</v>
          </cell>
          <cell r="C288" t="str">
            <v>CODO G.RAD. PVC 11.25° TIPO U.M. D=4" (Suministro e Instalación)</v>
          </cell>
          <cell r="D288" t="str">
            <v>UN</v>
          </cell>
          <cell r="E288">
            <v>67424</v>
          </cell>
        </row>
        <row r="289">
          <cell r="B289">
            <v>3540</v>
          </cell>
          <cell r="C289" t="str">
            <v>CODO G.RAD. PVC 11.25° TIPO U.M. D=6" (Suministro e Instalación)</v>
          </cell>
          <cell r="D289" t="str">
            <v>UN</v>
          </cell>
          <cell r="E289">
            <v>125915</v>
          </cell>
        </row>
        <row r="290">
          <cell r="B290">
            <v>3541</v>
          </cell>
          <cell r="C290" t="str">
            <v>CODO G.RAD. PVC 11.25° TIPO U.M. D=8" (Suministro e Instalación)</v>
          </cell>
          <cell r="D290" t="str">
            <v>UN</v>
          </cell>
          <cell r="E290">
            <v>302684</v>
          </cell>
        </row>
        <row r="291">
          <cell r="B291">
            <v>3542</v>
          </cell>
          <cell r="C291" t="str">
            <v>CODO G.RAD. PVC 11.25° TIPO U.M. D=10" (Suministro e Instalación)</v>
          </cell>
          <cell r="D291" t="str">
            <v>UN</v>
          </cell>
          <cell r="E291">
            <v>638631</v>
          </cell>
        </row>
        <row r="292">
          <cell r="B292">
            <v>3543</v>
          </cell>
          <cell r="C292" t="str">
            <v>CODO G.RAD. PVC 11.25° TIPO U.M. D=12" (Suministro e Instalación)</v>
          </cell>
          <cell r="D292" t="str">
            <v>UN</v>
          </cell>
          <cell r="E292">
            <v>828414</v>
          </cell>
        </row>
        <row r="293">
          <cell r="B293">
            <v>3544</v>
          </cell>
          <cell r="C293" t="str">
            <v>ADAPTADOR AC-PVC TIPO U.S. D=3" (Suministro e Instalación) REVISAR LIMPIADOR SOLDADURA</v>
          </cell>
          <cell r="D293" t="str">
            <v>UN</v>
          </cell>
          <cell r="E293">
            <v>23376</v>
          </cell>
        </row>
        <row r="294">
          <cell r="B294">
            <v>3545</v>
          </cell>
          <cell r="C294" t="str">
            <v>ADAPTADOR AC-PVC TIPO U.S. D=4" (Suministro e Instalación) REVISAR SOLDADURA LIMPIADOR</v>
          </cell>
          <cell r="D294" t="str">
            <v>UN</v>
          </cell>
          <cell r="E294">
            <v>39223</v>
          </cell>
        </row>
        <row r="295">
          <cell r="B295">
            <v>3546</v>
          </cell>
          <cell r="C295" t="str">
            <v>ADAPTADOR AC-PVC TIPO U.S. D=2" (Suministro e Instalación) REVISAR SOLDADURA LIMPIADOR</v>
          </cell>
          <cell r="D295" t="str">
            <v>UN</v>
          </cell>
          <cell r="E295">
            <v>9704</v>
          </cell>
        </row>
        <row r="296">
          <cell r="B296">
            <v>3548</v>
          </cell>
          <cell r="C296" t="str">
            <v>BOLARDO EN HIERRO TIPO M63 (Suministro e Instalación. Incluye base en Concreto 1500 PSI, hecho en obra)</v>
          </cell>
          <cell r="D296" t="str">
            <v>UN</v>
          </cell>
          <cell r="E296">
            <v>134253</v>
          </cell>
        </row>
        <row r="297">
          <cell r="B297">
            <v>3549</v>
          </cell>
          <cell r="C297" t="str">
            <v>BOLARDO EN CONCRETO TIPO M60 (Suministro e Instalación. Incluye base en Concreto 1500 PSI, Premezclado)</v>
          </cell>
          <cell r="D297" t="str">
            <v>UN</v>
          </cell>
          <cell r="E297">
            <v>105303</v>
          </cell>
        </row>
        <row r="298">
          <cell r="B298">
            <v>3550</v>
          </cell>
          <cell r="C298" t="str">
            <v>BANCA EN MADERA TIPO M50 (Suministro e Instalación)</v>
          </cell>
          <cell r="D298" t="str">
            <v>UN</v>
          </cell>
          <cell r="E298">
            <v>500038</v>
          </cell>
        </row>
        <row r="299">
          <cell r="B299">
            <v>3551</v>
          </cell>
          <cell r="C299" t="str">
            <v>PROTECTOR DE ARBOL TIPO M90 (Incluye Suministro e Instalación. No Incluye bases)</v>
          </cell>
          <cell r="D299" t="str">
            <v>UN</v>
          </cell>
          <cell r="E299">
            <v>544567</v>
          </cell>
        </row>
        <row r="300">
          <cell r="B300">
            <v>3552</v>
          </cell>
          <cell r="C300" t="str">
            <v>PROTECTOR DE ARBOL DE DOS TUBOS TIPO M91 (Incluye Suministro e Instalación. No Incluye bases)</v>
          </cell>
          <cell r="D300" t="str">
            <v>UN</v>
          </cell>
          <cell r="E300">
            <v>153687</v>
          </cell>
        </row>
        <row r="301">
          <cell r="B301">
            <v>3554</v>
          </cell>
          <cell r="C301" t="str">
            <v>CICLO-PARQUEADERO TIPO M100 (TIPO 1) (H=1m, L=2m. Incluye Suministro e Instalación. No Incluye bases)</v>
          </cell>
          <cell r="D301" t="str">
            <v>UN</v>
          </cell>
          <cell r="E301">
            <v>395088</v>
          </cell>
        </row>
        <row r="302">
          <cell r="B302">
            <v>3555</v>
          </cell>
          <cell r="C302" t="str">
            <v>CICLO-PARQUEADERO TIPO M101 (TIPO 2) (H=0.6m, L=2m, A=0.6m. Incluye Suministro e Instalación. No Incluye bases)</v>
          </cell>
          <cell r="D302" t="str">
            <v>UN</v>
          </cell>
          <cell r="E302">
            <v>595987</v>
          </cell>
        </row>
        <row r="303">
          <cell r="B303">
            <v>3556</v>
          </cell>
          <cell r="C303" t="str">
            <v>TELEFONO PUBLICO DE PEDESTAL TIPO M20 (Incluye Suministro e Instalación. No Incluye base)</v>
          </cell>
          <cell r="D303" t="str">
            <v>UN</v>
          </cell>
          <cell r="E303">
            <v>4696547</v>
          </cell>
        </row>
        <row r="304">
          <cell r="B304">
            <v>3557</v>
          </cell>
          <cell r="C304" t="str">
            <v>PARADERO TIPO M10 (Inc. Sum. e Inst. Inc. bases en Concreto 3000 PSI, Hecho en Obra. No incluye losas de Concreto)</v>
          </cell>
          <cell r="D304" t="str">
            <v>UN</v>
          </cell>
          <cell r="E304">
            <v>10733256</v>
          </cell>
        </row>
        <row r="305">
          <cell r="B305">
            <v>3559</v>
          </cell>
          <cell r="C305" t="str">
            <v>POSTE LUMINARIA HISTORICA TIPO M131 H=5m (Inc. Suministro e Instalación. No Inc.: Luminarias, Cableado y Base Pedestal)</v>
          </cell>
          <cell r="D305" t="str">
            <v>UN</v>
          </cell>
          <cell r="E305">
            <v>3400666</v>
          </cell>
        </row>
        <row r="306">
          <cell r="B306">
            <v>3560</v>
          </cell>
          <cell r="C306" t="str">
            <v>BOLARDO EN CONCRETO TIPO M61 (Suministro e Instalación. Incluye base en Concreto 1500 PSI, Premezclado)</v>
          </cell>
          <cell r="D306" t="str">
            <v>UN</v>
          </cell>
          <cell r="E306">
            <v>96797</v>
          </cell>
        </row>
        <row r="307">
          <cell r="B307">
            <v>3561</v>
          </cell>
          <cell r="C307" t="str">
            <v>BOLARDO EN HIERRO TIPO M62 (Suministro e Instalación. Incluye base en Concreto 1500 PSI, Premezclado)</v>
          </cell>
          <cell r="D307" t="str">
            <v>UN</v>
          </cell>
          <cell r="E307">
            <v>141295</v>
          </cell>
        </row>
        <row r="308">
          <cell r="B308">
            <v>3562</v>
          </cell>
          <cell r="C308" t="str">
            <v>9 DUCTOS D=4" PVC-TDP (Incluye Suministro e Instalacion. NORMA CS211.</v>
          </cell>
          <cell r="D308" t="str">
            <v>M</v>
          </cell>
          <cell r="E308">
            <v>122404</v>
          </cell>
        </row>
        <row r="309">
          <cell r="B309">
            <v>3567</v>
          </cell>
          <cell r="C309" t="str">
            <v>MURO EN BLOQUE ESTRUCTURAL TIPO PIEDRA GRIS (Referencia: PI-16. Incluye Suministro y Construcción)</v>
          </cell>
          <cell r="D309" t="str">
            <v>M2</v>
          </cell>
          <cell r="E309">
            <v>69263</v>
          </cell>
        </row>
        <row r="310">
          <cell r="B310">
            <v>3569</v>
          </cell>
          <cell r="C310" t="str">
            <v>POSTE METALICO AP, H=10m (Inc. Suministro, Izaje, Aplomado e Instalación. Inc. Brazo Sencillo y Base según Norma AP802)</v>
          </cell>
          <cell r="D310" t="str">
            <v>UN</v>
          </cell>
          <cell r="E310">
            <v>2295404</v>
          </cell>
        </row>
        <row r="311">
          <cell r="B311">
            <v>3589</v>
          </cell>
          <cell r="C311" t="str">
            <v>TAPON HD EXTREMO LISO D=8" (Suministro e Instalación)</v>
          </cell>
          <cell r="D311" t="str">
            <v>UN</v>
          </cell>
          <cell r="E311">
            <v>534935</v>
          </cell>
        </row>
        <row r="312">
          <cell r="B312">
            <v>3591</v>
          </cell>
          <cell r="C312" t="str">
            <v>2 DUCTOS D=4" PVC-TDP (Incluye Suministro e Instalación. No Incluye Rellenos). NORMA CS208.</v>
          </cell>
          <cell r="D312" t="str">
            <v>M</v>
          </cell>
          <cell r="E312">
            <v>29272</v>
          </cell>
        </row>
        <row r="313">
          <cell r="B313">
            <v>3599</v>
          </cell>
          <cell r="C313" t="str">
            <v>36 DUCTOS D=4" PVC-TDP (Incluye Suministro e Instalación. No Incluye Rellenos). SUMINISTRO Y COLOCACION SIN EXCAVACION.</v>
          </cell>
          <cell r="D313" t="str">
            <v>M</v>
          </cell>
          <cell r="E313">
            <v>489731</v>
          </cell>
        </row>
        <row r="314">
          <cell r="B314">
            <v>3600</v>
          </cell>
          <cell r="C314" t="str">
            <v>UNION PVC TIPO U.M. D= 2" (Suministro e Instalación)</v>
          </cell>
          <cell r="D314" t="str">
            <v>UN</v>
          </cell>
          <cell r="E314">
            <v>20344</v>
          </cell>
        </row>
        <row r="315">
          <cell r="B315">
            <v>3601</v>
          </cell>
          <cell r="C315" t="str">
            <v>UNION PVC TIPO U.M. D= 3" (Suministro e Instalación)</v>
          </cell>
          <cell r="D315" t="str">
            <v>UN</v>
          </cell>
          <cell r="E315">
            <v>32860</v>
          </cell>
        </row>
        <row r="316">
          <cell r="B316">
            <v>3602</v>
          </cell>
          <cell r="C316" t="str">
            <v>UNION PVC TIPO U.M. D= 4" (Suministro e Instalación)</v>
          </cell>
          <cell r="D316" t="str">
            <v>UN</v>
          </cell>
          <cell r="E316">
            <v>52236</v>
          </cell>
        </row>
        <row r="317">
          <cell r="B317">
            <v>3603</v>
          </cell>
          <cell r="C317" t="str">
            <v>UNION PVC TIPO U.M. D= 6" (Suministro e Instalación)</v>
          </cell>
          <cell r="D317" t="str">
            <v>UN</v>
          </cell>
          <cell r="E317">
            <v>117648</v>
          </cell>
        </row>
        <row r="318">
          <cell r="B318">
            <v>3604</v>
          </cell>
          <cell r="C318" t="str">
            <v>UNION PVC TIPO U.M. D= 8" (Suministro e Instalación)</v>
          </cell>
          <cell r="D318" t="str">
            <v>UN</v>
          </cell>
          <cell r="E318">
            <v>214081</v>
          </cell>
        </row>
        <row r="319">
          <cell r="B319">
            <v>3605</v>
          </cell>
          <cell r="C319" t="str">
            <v>UNION PVC TIPO U.M. D= 10" (Suministro e Instalación)</v>
          </cell>
          <cell r="D319" t="str">
            <v>UN</v>
          </cell>
          <cell r="E319">
            <v>386304</v>
          </cell>
        </row>
        <row r="320">
          <cell r="B320">
            <v>3606</v>
          </cell>
          <cell r="C320" t="str">
            <v>UNION PVC TIPO U.M. D= 12" (Suministro e Instalación)</v>
          </cell>
          <cell r="D320" t="str">
            <v>UN</v>
          </cell>
          <cell r="E320">
            <v>593896</v>
          </cell>
        </row>
        <row r="321">
          <cell r="B321">
            <v>3607</v>
          </cell>
          <cell r="C321" t="str">
            <v>UNION PVC TIPO U.M. D= 2 1/2" (Suministro e Instalación)</v>
          </cell>
          <cell r="D321" t="str">
            <v>UN</v>
          </cell>
          <cell r="E321">
            <v>26470</v>
          </cell>
        </row>
        <row r="322">
          <cell r="B322">
            <v>3611</v>
          </cell>
          <cell r="C322" t="str">
            <v>CONCRETO 2500 PSI PARA ANCLAJE TUBERIA (Premezclado. Incluye Suministro, Formaleteo y Colocación)</v>
          </cell>
          <cell r="D322" t="str">
            <v>M3</v>
          </cell>
          <cell r="E322">
            <v>399262</v>
          </cell>
        </row>
        <row r="323">
          <cell r="B323">
            <v>3618</v>
          </cell>
          <cell r="C323" t="str">
            <v>CODO HD 11.25° EXTREMO LISO PARA PVC D=3" (Suministro e Instalación)</v>
          </cell>
          <cell r="D323" t="str">
            <v>UN</v>
          </cell>
          <cell r="E323">
            <v>130604</v>
          </cell>
        </row>
        <row r="324">
          <cell r="B324">
            <v>3619</v>
          </cell>
          <cell r="C324" t="str">
            <v>CODO HD 11.25° EXTREMO LISO PARA PVC D=2" (Suministro e Instalación)</v>
          </cell>
          <cell r="D324" t="str">
            <v>UN</v>
          </cell>
          <cell r="E324">
            <v>84506</v>
          </cell>
        </row>
        <row r="325">
          <cell r="B325">
            <v>3620</v>
          </cell>
          <cell r="C325" t="str">
            <v>CODO HD 11.25° EXTREMO LISO PARA PVC D=4" (Suministro e Instalación)</v>
          </cell>
          <cell r="D325" t="str">
            <v>UN</v>
          </cell>
          <cell r="E325">
            <v>161258</v>
          </cell>
        </row>
        <row r="326">
          <cell r="B326">
            <v>3621</v>
          </cell>
          <cell r="C326" t="str">
            <v>RAMPA TIPO A B10 incluye Base en Mortero 1:5,  Desarrollo: 1m.</v>
          </cell>
          <cell r="D326" t="str">
            <v>UN</v>
          </cell>
          <cell r="E326">
            <v>549622</v>
          </cell>
        </row>
        <row r="327">
          <cell r="B327">
            <v>3636</v>
          </cell>
          <cell r="C327" t="str">
            <v>CONCRETO 5000 PSI PARA SUPER ESTRUCTURA (Premezclado. Incluye Sumin, Formaleteo y Colocación. No incl. Refuerzo, Curado)</v>
          </cell>
          <cell r="D327" t="str">
            <v>M3</v>
          </cell>
          <cell r="E327">
            <v>706560</v>
          </cell>
        </row>
        <row r="328">
          <cell r="B328">
            <v>3637</v>
          </cell>
          <cell r="C328" t="str">
            <v>CONCRETO 4000 PSI PARA DADOS (Premezclado. Incluye Sumin., Formaleteo y Colocación. No incl. Refuerzo, Curado)</v>
          </cell>
          <cell r="D328" t="str">
            <v>M3</v>
          </cell>
          <cell r="E328">
            <v>571393</v>
          </cell>
        </row>
        <row r="329">
          <cell r="B329">
            <v>3639</v>
          </cell>
          <cell r="C329" t="str">
            <v>CONCRETO 3500 PSI PARA VIGA (Premezclado. Incluye Sumin., Formaleteo y Colocación. No incl. Refuerzo, Curado)</v>
          </cell>
          <cell r="D329" t="str">
            <v>M3</v>
          </cell>
          <cell r="E329">
            <v>701874</v>
          </cell>
        </row>
        <row r="330">
          <cell r="B330">
            <v>3640</v>
          </cell>
          <cell r="C330" t="str">
            <v>CONCRETO 3500 PSI PARA ZAPATAS (Premezclado. Incluye bombeo, Sumin., Formaleteo y Colocación. No incl. Refuerzo, Curado)</v>
          </cell>
          <cell r="D330" t="str">
            <v>M3</v>
          </cell>
          <cell r="E330">
            <v>539985</v>
          </cell>
        </row>
        <row r="331">
          <cell r="B331">
            <v>3641</v>
          </cell>
          <cell r="C331" t="str">
            <v>CONCRETO 3000 PSI PARA ESTR. DE TRANSICION (Premezclado. Incl. Sumin, Formalet. y Colocación. No incl. Refuerzo, Curado)</v>
          </cell>
          <cell r="D331" t="str">
            <v>M3</v>
          </cell>
          <cell r="E331">
            <v>584214</v>
          </cell>
        </row>
        <row r="332">
          <cell r="B332">
            <v>3642</v>
          </cell>
          <cell r="C332" t="str">
            <v>CONCRETO 3000 PSI PARA ESTRIBOS (Premezclado. Incluye Suministro, Formaleteo y Colocación. No incl. Refuerzo, Curado)</v>
          </cell>
          <cell r="D332" t="str">
            <v>M3</v>
          </cell>
          <cell r="E332">
            <v>584214</v>
          </cell>
        </row>
        <row r="333">
          <cell r="B333">
            <v>3643</v>
          </cell>
          <cell r="C333" t="str">
            <v>CONCRETO 3000 PSI PARA PUENTE CAJON (Premezclado. Incluye Sumin., Formaleteo y Colocación. No incl. Refuerzo, Curado)</v>
          </cell>
          <cell r="D333" t="str">
            <v>M3</v>
          </cell>
          <cell r="E333">
            <v>583114</v>
          </cell>
        </row>
        <row r="334">
          <cell r="B334">
            <v>3644</v>
          </cell>
          <cell r="C334" t="str">
            <v>CONCRETO 3000 PSI PARA MURO DE CONTENCIÓN (Premezclado. Incl. Sumin, Formaleteo y Colocación. No incl. Refuerzo, Curado)</v>
          </cell>
          <cell r="D334" t="str">
            <v>M3</v>
          </cell>
          <cell r="E334">
            <v>617396</v>
          </cell>
        </row>
        <row r="335">
          <cell r="B335">
            <v>3645</v>
          </cell>
          <cell r="C335" t="str">
            <v>CONCRETO 3000 PSI PARA BOX CULVERT (Premezclado. Incluye Sumin., Formaleteo y Colocación. No incl. Refuerzo, Curado)</v>
          </cell>
          <cell r="D335" t="str">
            <v>M3</v>
          </cell>
          <cell r="E335">
            <v>617396</v>
          </cell>
        </row>
        <row r="336">
          <cell r="B336">
            <v>3646</v>
          </cell>
          <cell r="C336" t="str">
            <v>CONCRETO 3000 PSI PARA ALETA VIGA SOLERA (Premezclado. Incl. Sumin., Formaleteo y Colocación. No incl. Refuerzo, Curado)</v>
          </cell>
          <cell r="D336" t="str">
            <v>M3</v>
          </cell>
          <cell r="E336">
            <v>679225</v>
          </cell>
        </row>
        <row r="337">
          <cell r="B337">
            <v>3647</v>
          </cell>
          <cell r="C337" t="str">
            <v>CONCRETO 2000 PSI PARA SUB-BASE PUENTE (Premezclado. Incluye Sumin., Formaleteo y Colocación. No incl. Refuerzo, Curado)</v>
          </cell>
          <cell r="D337" t="str">
            <v>M3</v>
          </cell>
          <cell r="E337">
            <v>462982</v>
          </cell>
        </row>
        <row r="338">
          <cell r="B338">
            <v>3649</v>
          </cell>
          <cell r="C338" t="str">
            <v>CONCRETO 2500 PSI (Hecho en Obra con arena de río y triturado de 3/4")</v>
          </cell>
          <cell r="D338" t="str">
            <v>M3</v>
          </cell>
          <cell r="E338">
            <v>259269</v>
          </cell>
        </row>
        <row r="339">
          <cell r="B339">
            <v>3650</v>
          </cell>
          <cell r="C339" t="str">
            <v>CONCRETO 1500 PSI (Hecho en Obra) 1:3:5 con arena de río y triturado de 3/4")</v>
          </cell>
          <cell r="D339" t="str">
            <v>M3</v>
          </cell>
          <cell r="E339">
            <v>231020</v>
          </cell>
        </row>
        <row r="340">
          <cell r="B340">
            <v>3652</v>
          </cell>
          <cell r="C340" t="str">
            <v>CAJA DE INSPECCIÓN TIPO VEHICULAR NORMA CODENSA CS 280  (Incluye Base, Muros, Pasos, Pañete, Cubierta, Aro y Tapa)</v>
          </cell>
          <cell r="D340" t="str">
            <v>UN</v>
          </cell>
          <cell r="E340">
            <v>2627775</v>
          </cell>
        </row>
        <row r="341">
          <cell r="B341">
            <v>3653</v>
          </cell>
          <cell r="C341" t="str">
            <v>CAMARA DE INSPECCIÓN T-16 ETB (H=2.3m. Incluye Base, Muros, Cubierta, Aro-Base y Aro-Tapa)</v>
          </cell>
          <cell r="D341" t="str">
            <v>UN</v>
          </cell>
          <cell r="E341">
            <v>3523025</v>
          </cell>
        </row>
        <row r="342">
          <cell r="B342">
            <v>3654</v>
          </cell>
          <cell r="C342" t="str">
            <v>CAMARA DE INSPECCIÓN T-18 ETB (H=2.3m. Incluye Base, Muros, Cubierta, Aro-Base y Aro-Tapa)</v>
          </cell>
          <cell r="D342" t="str">
            <v>UN</v>
          </cell>
          <cell r="E342">
            <v>2438480</v>
          </cell>
        </row>
        <row r="343">
          <cell r="B343">
            <v>3655</v>
          </cell>
          <cell r="C343" t="str">
            <v>CAMARA DE INSPECCIÓN T-16A ETB (H=2.3m. Incluye Base, Muros, Cubierta, Aro-Base y Aro-Tapa)</v>
          </cell>
          <cell r="D343" t="str">
            <v>UN</v>
          </cell>
          <cell r="E343">
            <v>4274101</v>
          </cell>
        </row>
        <row r="344">
          <cell r="B344">
            <v>3665</v>
          </cell>
          <cell r="C344" t="str">
            <v>CONCRETO CICLOPEO (60%-40%) (Concreto premezclado. Incluye Suministro y Colocación)</v>
          </cell>
          <cell r="D344" t="str">
            <v>M3</v>
          </cell>
          <cell r="E344">
            <v>252507</v>
          </cell>
        </row>
        <row r="345">
          <cell r="B345">
            <v>3684</v>
          </cell>
          <cell r="C345" t="str">
            <v>CODO HD 22.5° EXTREMO LISO PARA PVC D=3" (Suministro e Instalación)</v>
          </cell>
          <cell r="D345" t="str">
            <v>UN</v>
          </cell>
          <cell r="E345">
            <v>153642</v>
          </cell>
        </row>
        <row r="346">
          <cell r="B346">
            <v>3685</v>
          </cell>
          <cell r="C346" t="str">
            <v>CODO HD 11.25° EXTREMO LISO PARA PVC D=8" (Suministro e Instalación)</v>
          </cell>
          <cell r="D346" t="str">
            <v>UN</v>
          </cell>
          <cell r="E346">
            <v>468700</v>
          </cell>
        </row>
        <row r="347">
          <cell r="B347">
            <v>3687</v>
          </cell>
          <cell r="C347" t="str">
            <v>CAJA PARA VALVULA 0.4x0.4m H=0.8m (Incluye Marco y Tapa)</v>
          </cell>
          <cell r="D347" t="str">
            <v>UN</v>
          </cell>
          <cell r="E347">
            <v>147988</v>
          </cell>
        </row>
        <row r="348">
          <cell r="B348">
            <v>3688</v>
          </cell>
          <cell r="C348" t="str">
            <v>DESMONTE Y REINSTALACION DE SEÑALES VIALES (Incluye Dado de Anclaje)</v>
          </cell>
          <cell r="D348" t="str">
            <v>UN</v>
          </cell>
          <cell r="E348">
            <v>34748</v>
          </cell>
        </row>
        <row r="349">
          <cell r="B349">
            <v>3689</v>
          </cell>
          <cell r="C349" t="str">
            <v>BASE GRANULAR B-600 (Suministro, Extendido, Nivelación, Humedecimiento y Compactación con vibrocompactador)</v>
          </cell>
          <cell r="D349" t="str">
            <v>M3</v>
          </cell>
          <cell r="E349">
            <v>82330</v>
          </cell>
        </row>
        <row r="350">
          <cell r="B350">
            <v>3695</v>
          </cell>
          <cell r="C350" t="str">
            <v>TALA DE ARBOLES CLASE IV (20m&lt;H&lt;30m. Incluye Desenraíce, Retiro y Disposición Final)</v>
          </cell>
          <cell r="D350" t="str">
            <v>UN</v>
          </cell>
          <cell r="E350">
            <v>490879</v>
          </cell>
        </row>
        <row r="351">
          <cell r="B351">
            <v>3696</v>
          </cell>
          <cell r="C351" t="str">
            <v>PISO EN ADOQUIN DE ARCILLA 26x6x6cm (Suministro e Instalación. Incluye Base 4cm Arena Nivelación y Arena de Sello)</v>
          </cell>
          <cell r="D351" t="str">
            <v>M2</v>
          </cell>
          <cell r="E351">
            <v>40888</v>
          </cell>
        </row>
        <row r="352">
          <cell r="B352">
            <v>3698</v>
          </cell>
          <cell r="C352" t="str">
            <v>TALA DE ARBOLES CLASE III (10m &lt; H &lt;  20 m. Incluye Desenraíce, Retiro y Disposición Final)</v>
          </cell>
          <cell r="D352" t="str">
            <v>UN</v>
          </cell>
          <cell r="E352">
            <v>226117</v>
          </cell>
        </row>
        <row r="353">
          <cell r="B353">
            <v>3699</v>
          </cell>
          <cell r="C353" t="str">
            <v>TALA DE ARBOLES CLASE I (H&lt;5m. Incluye Desenraíce, Retiro y Disposición Final)</v>
          </cell>
          <cell r="D353" t="str">
            <v>UN</v>
          </cell>
          <cell r="E353">
            <v>129617</v>
          </cell>
        </row>
        <row r="354">
          <cell r="B354">
            <v>3704</v>
          </cell>
          <cell r="C354" t="str">
            <v>SUBDREN EN GRAVILLA 3/4", 0.5x1m  (Inc. Sumin. y Extendido manual. Inc. Geotextil NT CR=700N y Tubería PVC Corrug.-Filtro D=6")</v>
          </cell>
          <cell r="D354" t="str">
            <v>M</v>
          </cell>
          <cell r="E354">
            <v>160263</v>
          </cell>
        </row>
        <row r="355">
          <cell r="B355">
            <v>3708</v>
          </cell>
          <cell r="C355" t="str">
            <v>ACERO DE REFUERZO (Incluye Suministro, Figurado y Fijación)</v>
          </cell>
          <cell r="D355" t="str">
            <v>KG</v>
          </cell>
          <cell r="E355">
            <v>2990</v>
          </cell>
        </row>
        <row r="356">
          <cell r="B356">
            <v>3710</v>
          </cell>
          <cell r="C356" t="str">
            <v>EXCAVACION MECANICA EN MATERIAL COMUN (Incluye Cargue)</v>
          </cell>
          <cell r="D356" t="str">
            <v>M3</v>
          </cell>
          <cell r="E356">
            <v>4558</v>
          </cell>
        </row>
        <row r="357">
          <cell r="B357">
            <v>3712</v>
          </cell>
          <cell r="C357" t="str">
            <v>SUMIDERO LATERAL SL-100, H=0.85m (Prefabricado. Incluye Suministro e Instalación. Incluye Sobretapa y Tapa)</v>
          </cell>
          <cell r="D357" t="str">
            <v>UN</v>
          </cell>
          <cell r="E357">
            <v>1708816</v>
          </cell>
        </row>
        <row r="358">
          <cell r="B358">
            <v>3716</v>
          </cell>
          <cell r="C358" t="str">
            <v>CILINDRO POZO INSPECCION PREFABRICADO D=1.2m, H=1m, e=0.10m (Incluye Suministro e Instalación. No inc. Aro de Ajuste)</v>
          </cell>
          <cell r="D358" t="str">
            <v>UN</v>
          </cell>
          <cell r="E358">
            <v>955906</v>
          </cell>
        </row>
        <row r="359">
          <cell r="B359">
            <v>3721</v>
          </cell>
          <cell r="C359" t="str">
            <v>SIEMBRA DE GRAMA (incluye Suministro e Instalación. Incluye 10cm de Tierra Negra)</v>
          </cell>
          <cell r="D359" t="str">
            <v>M2</v>
          </cell>
          <cell r="E359">
            <v>14048</v>
          </cell>
        </row>
        <row r="360">
          <cell r="B360">
            <v>3722</v>
          </cell>
          <cell r="C360" t="str">
            <v>NIVELACIÓN DE POZO (Hasta rasante en Concreto 3000 PSI Hecho en Obra, h=0.15m. Incluye Suministro y Construcción)</v>
          </cell>
          <cell r="D360" t="str">
            <v>UN</v>
          </cell>
          <cell r="E360">
            <v>76486</v>
          </cell>
        </row>
        <row r="361">
          <cell r="B361">
            <v>3723</v>
          </cell>
          <cell r="C361" t="str">
            <v>LIMPIEZA DE POZOS (Incluye Cargue, Retiro y Disposición Final de Sobrantes)</v>
          </cell>
          <cell r="D361" t="str">
            <v>UN</v>
          </cell>
          <cell r="E361">
            <v>58320</v>
          </cell>
        </row>
        <row r="362">
          <cell r="B362">
            <v>3724</v>
          </cell>
          <cell r="C362" t="str">
            <v>LIMPIEZA DE SUMIDEROS (Incluye Cargue, Retiro y Disposición Final de Sobrantes)</v>
          </cell>
          <cell r="D362" t="str">
            <v>UN</v>
          </cell>
          <cell r="E362">
            <v>58320</v>
          </cell>
        </row>
        <row r="363">
          <cell r="B363">
            <v>3727</v>
          </cell>
          <cell r="C363" t="str">
            <v>CENEFA EN ADOQUIN DE ARCILLA a=6cm (Suministro e Instalación. No Incluye Material de Base)</v>
          </cell>
          <cell r="D363" t="str">
            <v>M</v>
          </cell>
          <cell r="E363">
            <v>4286</v>
          </cell>
        </row>
        <row r="364">
          <cell r="B364">
            <v>3729</v>
          </cell>
          <cell r="C364" t="str">
            <v>CONCRETO 1500 PSI PARA SOLADOS (Premezclado. Incluye Suministro y Colocación)</v>
          </cell>
          <cell r="D364" t="str">
            <v>M3</v>
          </cell>
          <cell r="E364">
            <v>379321</v>
          </cell>
        </row>
        <row r="365">
          <cell r="B365">
            <v>3730</v>
          </cell>
          <cell r="C365" t="str">
            <v>GROUTING 1500 PSI (Incluye Suministro y Colocación)</v>
          </cell>
          <cell r="D365" t="str">
            <v>M3</v>
          </cell>
          <cell r="E365">
            <v>397487</v>
          </cell>
        </row>
        <row r="366">
          <cell r="B366">
            <v>3733</v>
          </cell>
          <cell r="C366" t="str">
            <v>SUMIDERO TRANSVERSAL ST-1, H=1.9m (Fundido en Sitio, Concreto Hecho en Obra. Incl. Sum, Form, Ref. y Const. Incl. Reja)</v>
          </cell>
          <cell r="D366" t="str">
            <v>M</v>
          </cell>
          <cell r="E366">
            <v>1066707</v>
          </cell>
        </row>
        <row r="367">
          <cell r="B367">
            <v>3735</v>
          </cell>
          <cell r="C367" t="str">
            <v>TUBERIA PF D=1/2" PARA ACOMETIDA DOMICILIARIA (Suministro e Instalación)</v>
          </cell>
          <cell r="D367" t="str">
            <v>M</v>
          </cell>
          <cell r="E367">
            <v>1756</v>
          </cell>
        </row>
        <row r="368">
          <cell r="B368">
            <v>3745</v>
          </cell>
          <cell r="C368" t="str">
            <v>PISO EN ADOQUIN DE CONCRETO A25 20x10x6cm (Suministro e Instalación. Incluye Base 3cm Arena Nivelación y Arena de Sello)</v>
          </cell>
          <cell r="D368" t="str">
            <v>M2</v>
          </cell>
          <cell r="E368">
            <v>55384</v>
          </cell>
        </row>
        <row r="369">
          <cell r="B369">
            <v>3748</v>
          </cell>
          <cell r="C369" t="str">
            <v>LOSA DE CONCRETO MR45 (Suministro, Formaleteado, Colocación y Acabado. No Incluye Acero, Curado, Juntas)</v>
          </cell>
          <cell r="D369" t="str">
            <v>M3</v>
          </cell>
          <cell r="E369">
            <v>503681</v>
          </cell>
        </row>
        <row r="370">
          <cell r="B370">
            <v>3749</v>
          </cell>
          <cell r="C370" t="str">
            <v>LOSA DE CONCRETO MR50 (Suministro, Formaleteado, Colocación y Acabado. No Incluye Acero, Curado, Juntas)</v>
          </cell>
          <cell r="D370" t="str">
            <v>M3</v>
          </cell>
          <cell r="E370">
            <v>508928</v>
          </cell>
        </row>
        <row r="371">
          <cell r="B371">
            <v>3751</v>
          </cell>
          <cell r="C371" t="str">
            <v>CAÑUELA TIPO A120 (Suministro e Instalación. Incluye 3cm Mortero 1:5)</v>
          </cell>
          <cell r="D371" t="str">
            <v>M</v>
          </cell>
          <cell r="E371">
            <v>36770</v>
          </cell>
        </row>
        <row r="372">
          <cell r="B372">
            <v>3753</v>
          </cell>
          <cell r="C372" t="str">
            <v>SARDINEL H=0.20m, e=0.15m CONCRETO 3000 PSI (Fundido en Sitio, Concreto Hecho en Obra. Inc. Sumin, Formalet. y Const.)</v>
          </cell>
          <cell r="D372" t="str">
            <v>M</v>
          </cell>
          <cell r="E372">
            <v>17194</v>
          </cell>
        </row>
        <row r="373">
          <cell r="B373">
            <v>3754</v>
          </cell>
          <cell r="C373" t="str">
            <v>FRESADO PAVIMENTO ASFÁLTICO Profundidad de Fresado 0 - 18 cm. (Incluye Cargue). Incluye agua, puntas. No incluye transporte de maquinaria, transporte del fresado ni disposición final.</v>
          </cell>
          <cell r="D373" t="str">
            <v>M3</v>
          </cell>
          <cell r="E373">
            <v>68619</v>
          </cell>
        </row>
        <row r="374">
          <cell r="B374">
            <v>3758</v>
          </cell>
          <cell r="C374" t="str">
            <v>PILOTE D=40 CM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v>
          </cell>
          <cell r="D374" t="str">
            <v>M</v>
          </cell>
          <cell r="E374">
            <v>316139</v>
          </cell>
        </row>
        <row r="375">
          <cell r="B375">
            <v>3760</v>
          </cell>
          <cell r="C375" t="str">
            <v>PILOTE D=50 CM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v>
          </cell>
          <cell r="D375" t="str">
            <v>M</v>
          </cell>
          <cell r="E375">
            <v>379861</v>
          </cell>
        </row>
        <row r="376">
          <cell r="B376">
            <v>3761</v>
          </cell>
          <cell r="C376" t="str">
            <v>PILOTE D=60 CM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v>
          </cell>
          <cell r="D376" t="str">
            <v>M</v>
          </cell>
          <cell r="E376">
            <v>461264</v>
          </cell>
        </row>
        <row r="377">
          <cell r="B377">
            <v>3770</v>
          </cell>
          <cell r="C377" t="str">
            <v>CUADRILLA (OFICIAL + 6 AYUDANTES). INCLUYE FACTOR DE PRESTACIONES.</v>
          </cell>
          <cell r="D377" t="str">
            <v>JR</v>
          </cell>
          <cell r="E377">
            <v>338104</v>
          </cell>
        </row>
        <row r="378">
          <cell r="B378">
            <v>3776</v>
          </cell>
          <cell r="C378" t="str">
            <v>ENTIBADO TIPO ED1, DISCONTINUO EN MADERA (Incluye Suministro e Instalación)</v>
          </cell>
          <cell r="D378" t="str">
            <v>M2</v>
          </cell>
          <cell r="E378">
            <v>29253</v>
          </cell>
        </row>
        <row r="379">
          <cell r="B379">
            <v>3777</v>
          </cell>
          <cell r="C379" t="str">
            <v>CIMENTACION DE POSTES H=8m, CR=510Kg (Incluye Izaje, Aplomado e Hincado. Incluye Rellenos). NORMA LA009.</v>
          </cell>
          <cell r="D379" t="str">
            <v>UN</v>
          </cell>
          <cell r="E379">
            <v>288848</v>
          </cell>
        </row>
        <row r="380">
          <cell r="B380">
            <v>3779</v>
          </cell>
          <cell r="C380" t="str">
            <v>CAJA DE INSPECCIÓN DE 0.6x0.6m (H=0.6m. Incluye Suministro y Construcción. Incluye Marco y Tapa. No Inc. Base y Cañuela)</v>
          </cell>
          <cell r="D380" t="str">
            <v>UN</v>
          </cell>
          <cell r="E380">
            <v>293110</v>
          </cell>
        </row>
        <row r="381">
          <cell r="B381">
            <v>3780</v>
          </cell>
          <cell r="C381" t="str">
            <v>3 DUCTOS D=4" PVC-TDP (Incluye Suministro e Instalación. No Incluye Rellenos)</v>
          </cell>
          <cell r="D381" t="str">
            <v>M</v>
          </cell>
          <cell r="E381">
            <v>42577</v>
          </cell>
        </row>
        <row r="382">
          <cell r="B382">
            <v>3784</v>
          </cell>
          <cell r="C382" t="str">
            <v>SARDINEL H=0.25m, e=0.15m CONCRETO 3000 PSI (Fundido en Sitio, Concreto Hecho en Obra. Inc. Sumin, Formalet. y Const.)</v>
          </cell>
          <cell r="D382" t="str">
            <v>M</v>
          </cell>
          <cell r="E382">
            <v>19615</v>
          </cell>
        </row>
        <row r="383">
          <cell r="B383">
            <v>3787</v>
          </cell>
          <cell r="C383" t="str">
            <v>TUBERIA PVC PARA DRENAJE D=2 1/2" CON FILTRO (Incluye Suministro e Instalación)</v>
          </cell>
          <cell r="D383" t="str">
            <v>M</v>
          </cell>
          <cell r="E383">
            <v>15800</v>
          </cell>
        </row>
        <row r="384">
          <cell r="B384">
            <v>3795</v>
          </cell>
          <cell r="C384" t="str">
            <v>8 DUCTOS D=4" PVC-EB (Incluye Suministro e Instalación. No Incluye Rellenos)</v>
          </cell>
          <cell r="D384" t="str">
            <v>M</v>
          </cell>
          <cell r="E384">
            <v>118419</v>
          </cell>
        </row>
        <row r="385">
          <cell r="B385">
            <v>3796</v>
          </cell>
          <cell r="C385" t="str">
            <v>12 DUCTOS D=4" PVC-EB (LIVIANO) (Incluye Suministro e instal</v>
          </cell>
          <cell r="D385" t="str">
            <v>M</v>
          </cell>
          <cell r="E385">
            <v>177564</v>
          </cell>
        </row>
        <row r="386">
          <cell r="B386">
            <v>3797</v>
          </cell>
          <cell r="C386" t="str">
            <v>16 DUCTOS D=4" PVC-EB (LIVIANO) (Incluye Suministro e Instalación. No Incluye Rellenos)</v>
          </cell>
          <cell r="D386" t="str">
            <v>M</v>
          </cell>
          <cell r="E386">
            <v>235442</v>
          </cell>
        </row>
        <row r="387">
          <cell r="B387">
            <v>3798</v>
          </cell>
          <cell r="C387" t="str">
            <v>24 DUCTOS D=4" PVC-EB (LIVIANO) (Incluye Suministro e Instalación. No Incluye Rellenos)</v>
          </cell>
          <cell r="D387" t="str">
            <v>M</v>
          </cell>
          <cell r="E387">
            <v>352175</v>
          </cell>
        </row>
        <row r="388">
          <cell r="B388">
            <v>3800</v>
          </cell>
          <cell r="C388" t="str">
            <v>NIVELACION Y COMPACTACIÓN DE SUBRASANTE</v>
          </cell>
          <cell r="D388" t="str">
            <v>M2</v>
          </cell>
          <cell r="E388">
            <v>1125</v>
          </cell>
        </row>
        <row r="389">
          <cell r="B389">
            <v>3806</v>
          </cell>
          <cell r="C389" t="str">
            <v>CURADO DE LOSAS DE CONCRETO (Suministro y Aplicación)</v>
          </cell>
          <cell r="D389" t="str">
            <v>M2</v>
          </cell>
          <cell r="E389">
            <v>1399</v>
          </cell>
        </row>
        <row r="390">
          <cell r="B390">
            <v>3811</v>
          </cell>
          <cell r="C390" t="str">
            <v>CORTE DE PAVIMENTO - INCLUYE EQUIPO: CORTADORA DE CONCRETO INCLUYE OPERARIO Y COMBUSTIBLE.  INCLUYE DISCO DIAMANTADO ASFALTO-CONCRETO 350 mm, AGUA Y MANO DE OBRA</v>
          </cell>
          <cell r="D390" t="str">
            <v>M</v>
          </cell>
          <cell r="E390">
            <v>1643</v>
          </cell>
        </row>
        <row r="391">
          <cell r="B391">
            <v>3819</v>
          </cell>
          <cell r="C391" t="str">
            <v>PINTURA EN ESMALTE URETANO GRIS (e=1mil. Inc. Sumin. y Aplic. No Inc. Imprimante, Barrera, Esmalte Epóxico o Similares)</v>
          </cell>
          <cell r="D391" t="str">
            <v>M</v>
          </cell>
          <cell r="E391">
            <v>3685</v>
          </cell>
        </row>
        <row r="392">
          <cell r="B392">
            <v>3837</v>
          </cell>
          <cell r="C392" t="str">
            <v>SELLADO DE JUNTAS EN PAVIMENTO DE CONCRETO HIDRAULICO (Incluye Limpieza, Suministro e Instalación de Fondo y Sellante)</v>
          </cell>
          <cell r="D392" t="str">
            <v>M</v>
          </cell>
          <cell r="E392">
            <v>7313</v>
          </cell>
        </row>
        <row r="393">
          <cell r="B393">
            <v>3841</v>
          </cell>
          <cell r="C393" t="str">
            <v>MEZCLA DENSA EN CALIENTE MD20 Asfalto 80-100 (Suministro, Extendido, Nivelación y Compactación)</v>
          </cell>
          <cell r="D393" t="str">
            <v>M3</v>
          </cell>
          <cell r="E393">
            <v>647988</v>
          </cell>
        </row>
        <row r="394">
          <cell r="B394">
            <v>3847</v>
          </cell>
          <cell r="C394" t="str">
            <v>RELLENO PARA REDES EN BASE GRANULAR B-600 (Suministro, Extendido, Humedecimiento y Compactación)</v>
          </cell>
          <cell r="D394" t="str">
            <v>M3</v>
          </cell>
          <cell r="E394">
            <v>91019</v>
          </cell>
        </row>
        <row r="395">
          <cell r="B395">
            <v>3851</v>
          </cell>
          <cell r="C395" t="str">
            <v>RELLENO PARA ANDENES EN SUBBASE GRANULAR B-400 (Suministro, Extendido, Humedecimiento y Compactación)</v>
          </cell>
          <cell r="D395" t="str">
            <v>M3</v>
          </cell>
          <cell r="E395">
            <v>64535</v>
          </cell>
        </row>
        <row r="396">
          <cell r="B396">
            <v>3864</v>
          </cell>
          <cell r="C396" t="str">
            <v>IMPRIMACION CON EMULSION ASFALTICA CRL-0 (Suministro, Barrido Superficie y Riego)</v>
          </cell>
          <cell r="D396" t="str">
            <v>M2</v>
          </cell>
          <cell r="E396">
            <v>1717</v>
          </cell>
        </row>
        <row r="397">
          <cell r="B397">
            <v>3866</v>
          </cell>
          <cell r="C397" t="str">
            <v>RIEGO DE LIGA CON EMULSION ASFALTICA CRR-1 (Suministro, Barrido Superficie y Riego)</v>
          </cell>
          <cell r="D397" t="str">
            <v>M2</v>
          </cell>
          <cell r="E397">
            <v>1429</v>
          </cell>
        </row>
        <row r="398">
          <cell r="B398">
            <v>3867</v>
          </cell>
          <cell r="C398" t="str">
            <v>RIEGO DE LIGA CON EMULSION ASFALTICA CRR-2 (Suministro, Barrido Superficie y Riego)</v>
          </cell>
          <cell r="D398" t="str">
            <v>M2</v>
          </cell>
          <cell r="E398">
            <v>1505</v>
          </cell>
        </row>
        <row r="399">
          <cell r="B399">
            <v>3872</v>
          </cell>
          <cell r="C399" t="str">
            <v>DEMARCACION LINEA DISCONTINUA A=0.12m (e=15 mils, Acrílica Base Agua. Inc. Sumin. y Aplic. con Equipo. Inc Microesferas)</v>
          </cell>
          <cell r="D399" t="str">
            <v>M</v>
          </cell>
          <cell r="E399">
            <v>980</v>
          </cell>
        </row>
        <row r="400">
          <cell r="B400">
            <v>3873</v>
          </cell>
          <cell r="C400" t="str">
            <v>CONCRETO CICLOPEO (60%-40%) (Concreto hecho en Obra. Incluye Suministro y Colocación)</v>
          </cell>
          <cell r="D400" t="str">
            <v>M3</v>
          </cell>
          <cell r="E400">
            <v>197240</v>
          </cell>
        </row>
        <row r="401">
          <cell r="B401">
            <v>3874</v>
          </cell>
          <cell r="C401" t="str">
            <v>MORTERO 1:5 (Hecho en Obra)</v>
          </cell>
          <cell r="D401" t="str">
            <v>M3</v>
          </cell>
          <cell r="E401">
            <v>226129</v>
          </cell>
        </row>
        <row r="402">
          <cell r="B402">
            <v>3875</v>
          </cell>
          <cell r="C402" t="str">
            <v>CONCRETO 2500 PSI PARA ANCLAJE TUBERIA (Hecho en Obra. Incluye Suministro, Formaleteo y Colocación)</v>
          </cell>
          <cell r="D402" t="str">
            <v>M3</v>
          </cell>
          <cell r="E402">
            <v>301960</v>
          </cell>
        </row>
        <row r="403">
          <cell r="B403">
            <v>3876</v>
          </cell>
          <cell r="C403" t="str">
            <v>SUBDREN EN GRAVILLA 1/2", 0.4x0.8m (Inc. Sumin. y Compact. Inc. Geotextil NT CR=700N y Tubería PVC Corrug.-Filtro D=4")</v>
          </cell>
          <cell r="D403" t="str">
            <v>M</v>
          </cell>
          <cell r="E403">
            <v>101612</v>
          </cell>
        </row>
        <row r="404">
          <cell r="B404">
            <v>3877</v>
          </cell>
          <cell r="C404" t="str">
            <v>SUBDREN EN GRAVILLA 1/2", 0.5x1m  (Inc. Sumin. y Compact. Inc. Geotextil NT CR=700N y Tubería PVC Corrug.-Filtro D=6")</v>
          </cell>
          <cell r="D404" t="str">
            <v>M</v>
          </cell>
          <cell r="E404">
            <v>157192</v>
          </cell>
        </row>
        <row r="405">
          <cell r="B405">
            <v>3878</v>
          </cell>
          <cell r="C405" t="str">
            <v>PLACA CUBIERTA D=1.70m POZO INSPEC. (Prefabricada. Incluye Suministro e Instalación. Incluye Tapa)</v>
          </cell>
          <cell r="D405" t="str">
            <v>UN</v>
          </cell>
          <cell r="E405">
            <v>881895</v>
          </cell>
        </row>
        <row r="406">
          <cell r="B406">
            <v>3879</v>
          </cell>
          <cell r="C406" t="str">
            <v>PLACA FONDO D=1.70m POZO INSPEC. (Prefabricada. Incl. Sumin, Inst.)</v>
          </cell>
          <cell r="D406" t="str">
            <v>UN</v>
          </cell>
          <cell r="E406">
            <v>572496</v>
          </cell>
        </row>
        <row r="407">
          <cell r="B407">
            <v>3880</v>
          </cell>
          <cell r="C407" t="str">
            <v>CILINDRO POZO INSPECCION PREFABRICADO D=1.2m, H=0.5m, e=0.10m (Incluye Suministro e Instalación. No inc. Aro de Ajuste)</v>
          </cell>
          <cell r="D407" t="str">
            <v>UN</v>
          </cell>
          <cell r="E407">
            <v>516656</v>
          </cell>
        </row>
        <row r="408">
          <cell r="B408">
            <v>3881</v>
          </cell>
          <cell r="C408" t="str">
            <v>CILINDRO POZO INSPECCION PREFABRICADO D=1.2m, H=0.25m, e=0.10m (Incluye Suministro e Instalación. No inc. Aro de Ajuste)</v>
          </cell>
          <cell r="D408" t="str">
            <v>UN</v>
          </cell>
          <cell r="E408">
            <v>367430</v>
          </cell>
        </row>
        <row r="409">
          <cell r="B409">
            <v>3882</v>
          </cell>
          <cell r="C409" t="str">
            <v>SUMIDERO LATERAL SL-100, H=1.25m (Fundido en Sitio, Concreto Hecho en Obra. Incl. Sumin, Form, Ref. y Const. Incl. Tapa)</v>
          </cell>
          <cell r="D409" t="str">
            <v>UN</v>
          </cell>
          <cell r="E409">
            <v>1475729</v>
          </cell>
        </row>
        <row r="410">
          <cell r="B410">
            <v>3883</v>
          </cell>
          <cell r="C410" t="str">
            <v>SUMIDERO LATERAL SL-150A, H=1.7m (Fundido en Sitio, Concreto Premezclado. Incl. Sumin, Form, Ref. y Constr. Incl. Tapa)</v>
          </cell>
          <cell r="D410" t="str">
            <v>UN</v>
          </cell>
          <cell r="E410">
            <v>2229281</v>
          </cell>
        </row>
        <row r="411">
          <cell r="B411">
            <v>3884</v>
          </cell>
          <cell r="C411" t="str">
            <v>SUMIDERO LATERAL SL-150, H=1.25m (Fundido en Sitio, Concreto Hecho en Obra. Incl. Sumin, Form, Ref. y Const. Incl. Tapa)</v>
          </cell>
          <cell r="D411" t="str">
            <v>UN</v>
          </cell>
          <cell r="E411">
            <v>1875927</v>
          </cell>
        </row>
        <row r="412">
          <cell r="B412">
            <v>3885</v>
          </cell>
          <cell r="C412" t="str">
            <v>SUMIDERO LATERAL SL-200, H=1.25m (Fundido en Sitio, Concreto Premezclado. Incl. Sumin, Form, Ref. y Constr. Incl. Tapa)</v>
          </cell>
          <cell r="D412" t="str">
            <v>UN</v>
          </cell>
          <cell r="E412">
            <v>2537881</v>
          </cell>
        </row>
        <row r="413">
          <cell r="B413">
            <v>3886</v>
          </cell>
          <cell r="C413" t="str">
            <v>SUMIDERO LATERAL SL-200, H=1.25m (Fundido en Sitio, Concreto Hecho en Obra. Incl. Sumin, Form, Ref. y Const. Incl. Tapa)</v>
          </cell>
          <cell r="D413" t="str">
            <v>UN</v>
          </cell>
          <cell r="E413">
            <v>2351199</v>
          </cell>
        </row>
        <row r="414">
          <cell r="B414">
            <v>3887</v>
          </cell>
          <cell r="C414" t="str">
            <v>SUMIDERO LATERAL SL-250, H=1.25m (Fundido en Sitio, Concreto Hecho en Obra. Incl. Sumin, Form, Ref. y Const. Incl. Tapa)</v>
          </cell>
          <cell r="D414" t="str">
            <v>UN</v>
          </cell>
          <cell r="E414">
            <v>2582194</v>
          </cell>
        </row>
        <row r="415">
          <cell r="B415">
            <v>3888</v>
          </cell>
          <cell r="C415" t="str">
            <v>SUMIDERO LATERAL SL-250, H=1.25m (Fundido en Sitio, Concreto Premezclado. Incl. Sumin, Form, Ref. y Constr. Incl. Tapa)</v>
          </cell>
          <cell r="D415" t="str">
            <v>UN</v>
          </cell>
          <cell r="E415">
            <v>2796656</v>
          </cell>
        </row>
        <row r="416">
          <cell r="B416">
            <v>3889</v>
          </cell>
          <cell r="C416" t="str">
            <v>SUMIDERO LATERAL SL-100A, H=1.7m (Fundido en Sitio, Concreto Hecho en Obra. Incl. Sum, Form, Ref. y Const. Incl. Tapa)</v>
          </cell>
          <cell r="D416" t="str">
            <v>UN</v>
          </cell>
          <cell r="E416">
            <v>1536148</v>
          </cell>
        </row>
        <row r="417">
          <cell r="B417">
            <v>3890</v>
          </cell>
          <cell r="C417" t="str">
            <v>SUMIDERO LATERAL SL-100A, H=1.7m (Fundido en Sitio, Concreto Premezclado. Incl. Sumin, Form, Ref. y Constr. Incl. Tapa)</v>
          </cell>
          <cell r="D417" t="str">
            <v>UN</v>
          </cell>
          <cell r="E417">
            <v>1650046</v>
          </cell>
        </row>
        <row r="418">
          <cell r="B418">
            <v>3891</v>
          </cell>
          <cell r="C418" t="str">
            <v>SUMIDERO LATERAL SL-150A, H=1.7m (Fundido en Sitio, Concreto Hecho en Obra. Incl. Sum, Form, Ref. y Const. Incl. Tapa)</v>
          </cell>
          <cell r="D418" t="str">
            <v>UN</v>
          </cell>
          <cell r="E418">
            <v>2050377</v>
          </cell>
        </row>
        <row r="419">
          <cell r="B419">
            <v>3892</v>
          </cell>
          <cell r="C419" t="str">
            <v>SUMIDERO LATERAL SL-200A, H=1.7m (Fundido en Sitio, Concreto Hecho en Obra. Incl. Sum, Form, Ref. y Const. Incl. Tapa)</v>
          </cell>
          <cell r="D419" t="str">
            <v>UN</v>
          </cell>
          <cell r="E419">
            <v>2548656</v>
          </cell>
        </row>
        <row r="420">
          <cell r="B420">
            <v>3893</v>
          </cell>
          <cell r="C420" t="str">
            <v>SUMIDERO LATERAL SL-200A, H=1.7m (Fundido en Sitio, Concreto Premezclado. Incl. Sumin, Form, Ref. y Constr. Incl. Tapa)</v>
          </cell>
          <cell r="D420" t="str">
            <v>UN</v>
          </cell>
          <cell r="E420">
            <v>2763118</v>
          </cell>
        </row>
        <row r="421">
          <cell r="B421">
            <v>3894</v>
          </cell>
          <cell r="C421" t="str">
            <v>SUMIDERO LATERAL SL-250A, H=1.7m (Fundido en Sitio, Concreto Hecho en Obra. Incl. Sum, Form, Ref. y Const. Incl. Tapa)</v>
          </cell>
          <cell r="D421" t="str">
            <v>UN</v>
          </cell>
          <cell r="E421">
            <v>2822160</v>
          </cell>
        </row>
        <row r="422">
          <cell r="B422">
            <v>3895</v>
          </cell>
          <cell r="C422" t="str">
            <v>SUMIDERO LATERAL SL-250A, H=1.7m (Fundido en Sitio, Concreto Premezclado. Incl. Sumin, Form, Ref. y Constr. Incl. Tapa)</v>
          </cell>
          <cell r="D422" t="str">
            <v>UN</v>
          </cell>
          <cell r="E422">
            <v>3064402</v>
          </cell>
        </row>
        <row r="423">
          <cell r="B423">
            <v>3896</v>
          </cell>
          <cell r="C423" t="str">
            <v>SUMIDERO LATERAL SL-150, H=1.25m (Fundido en Sitio, Concreto Premezclado. Incl. Sumin, Form, Ref. y Constr. Incl. Tapa)</v>
          </cell>
          <cell r="D423" t="str">
            <v>UN</v>
          </cell>
          <cell r="E423">
            <v>2027051</v>
          </cell>
        </row>
        <row r="424">
          <cell r="B424">
            <v>3897</v>
          </cell>
          <cell r="C424" t="str">
            <v>SUMIDERO LATERAL SL-150, H=0.85m (Prefabricado. Incluye Suministro e Instalación. Incluye Sobretapa y Tapa)</v>
          </cell>
          <cell r="D424" t="str">
            <v>UN</v>
          </cell>
          <cell r="E424">
            <v>2435578</v>
          </cell>
        </row>
        <row r="425">
          <cell r="B425">
            <v>3898</v>
          </cell>
          <cell r="C425" t="str">
            <v>SUMIDERO LATERAL SL-200, H=0.85m (Prefabricado. Incluye Suministro e Instalación. Incluye Sobretapa y Tapa)</v>
          </cell>
          <cell r="D425" t="str">
            <v>UN</v>
          </cell>
          <cell r="E425">
            <v>2804330</v>
          </cell>
        </row>
        <row r="426">
          <cell r="B426">
            <v>3899</v>
          </cell>
          <cell r="C426" t="str">
            <v>SUMIDERO LATERAL SL-250, H=0.85m (Prefabricado. Incluye Suministro e Instalación. Incluye Sobretapa y Tapa)</v>
          </cell>
          <cell r="D426" t="str">
            <v>UN</v>
          </cell>
          <cell r="E426">
            <v>3590742</v>
          </cell>
        </row>
        <row r="427">
          <cell r="B427">
            <v>3900</v>
          </cell>
          <cell r="C427" t="str">
            <v>SUMIDERO TRANSVERSAL ST-1, H=1.9m (Fundido en Sitio, Concreto Premezclado. Incl. Sumin, Form, Ref. y Const. Incl. Reja)</v>
          </cell>
          <cell r="D427" t="str">
            <v>M</v>
          </cell>
          <cell r="E427">
            <v>1152497</v>
          </cell>
        </row>
        <row r="428">
          <cell r="B428">
            <v>3901</v>
          </cell>
          <cell r="C428" t="str">
            <v>TUBERIA PVC PARA DRENAJE D=2 1/2" SIN FILTRO (Incluye Suministro e Instalación)</v>
          </cell>
          <cell r="D428" t="str">
            <v>M</v>
          </cell>
          <cell r="E428">
            <v>12625</v>
          </cell>
        </row>
        <row r="429">
          <cell r="B429">
            <v>3902</v>
          </cell>
          <cell r="C429" t="str">
            <v>TUBERIA PVC PARA DRENAJE D=4" CON FILTRO (Incluye Suministro e Instalación)</v>
          </cell>
          <cell r="D429" t="str">
            <v>M</v>
          </cell>
          <cell r="E429">
            <v>22628</v>
          </cell>
        </row>
        <row r="430">
          <cell r="B430">
            <v>3903</v>
          </cell>
          <cell r="C430" t="str">
            <v>TUBERIA PVC PARA DRENAJE D=6" SIN FILTRO (Incluye Suministro e Instalación)</v>
          </cell>
          <cell r="D430" t="str">
            <v>M</v>
          </cell>
          <cell r="E430">
            <v>39891</v>
          </cell>
        </row>
        <row r="431">
          <cell r="B431">
            <v>3904</v>
          </cell>
          <cell r="C431" t="str">
            <v>TUBERIA PVC PARA DRENAJE D=4" SIN FILTRO (Incluye Suministro e Instalación)</v>
          </cell>
          <cell r="D431" t="str">
            <v>M</v>
          </cell>
          <cell r="E431">
            <v>17831</v>
          </cell>
        </row>
        <row r="432">
          <cell r="B432">
            <v>3905</v>
          </cell>
          <cell r="C432" t="str">
            <v>TUBERIA PVC PARA DRENAJE D=6" CON FILTRO (Incluye Suministro e Instalación)</v>
          </cell>
          <cell r="D432" t="str">
            <v>M</v>
          </cell>
          <cell r="E432">
            <v>52923</v>
          </cell>
        </row>
        <row r="433">
          <cell r="B433">
            <v>3906</v>
          </cell>
          <cell r="C433" t="str">
            <v>SUMIDERO TRANSVERSAL ST-2, H=1.77m (Fundido en Sitio, Concreto Hecho en Obra. Incl. Sum, Form, Ref. y Const. Incl. Reja)</v>
          </cell>
          <cell r="D433" t="str">
            <v>M</v>
          </cell>
          <cell r="E433">
            <v>853347</v>
          </cell>
        </row>
        <row r="434">
          <cell r="B434">
            <v>3907</v>
          </cell>
          <cell r="C434" t="str">
            <v>SUMIDERO TRANSVERSAL ST-2, H=1.77m (Fundido en Sitio, Concreto Premezclado. Incl. Sumin, Form, Ref. y Const. Incl. Reja)</v>
          </cell>
          <cell r="D434" t="str">
            <v>M</v>
          </cell>
          <cell r="E434">
            <v>916043</v>
          </cell>
        </row>
        <row r="435">
          <cell r="B435">
            <v>3908</v>
          </cell>
          <cell r="C435" t="str">
            <v>SUMIDERO ESPECIAL TIPO 1, H=1.65m (Fundido en Sitio, Concreto Hecho en Obra. Incl. Sum, Form, Ref. y Const. Incl. Reja)</v>
          </cell>
          <cell r="D435" t="str">
            <v>UN</v>
          </cell>
          <cell r="E435">
            <v>1797111</v>
          </cell>
        </row>
        <row r="436">
          <cell r="B436">
            <v>3909</v>
          </cell>
          <cell r="C436" t="str">
            <v>SUMIDERO ESPECIAL TIPO 1, H=1.65m (Fundido en Sitio, Concreto Premezclado. Incl. Sum, Form, Ref. y Const. Incl. Reja)</v>
          </cell>
          <cell r="D436" t="str">
            <v>UN</v>
          </cell>
          <cell r="E436">
            <v>2004533</v>
          </cell>
        </row>
        <row r="437">
          <cell r="B437">
            <v>3910</v>
          </cell>
          <cell r="C437" t="str">
            <v>CONCRETO 4000 PSI IMPERMEABILIZADO (Hecho en Obra)</v>
          </cell>
          <cell r="D437" t="str">
            <v>M3</v>
          </cell>
          <cell r="E437">
            <v>393709</v>
          </cell>
        </row>
        <row r="438">
          <cell r="B438">
            <v>3919</v>
          </cell>
          <cell r="C438" t="str">
            <v>TUBERIA PVC  U.M. EXT/INT LISO NORMA NTC 5070 D=24" (Incluye Suministro e Instalación)</v>
          </cell>
          <cell r="D438" t="str">
            <v>M</v>
          </cell>
          <cell r="E438">
            <v>437184</v>
          </cell>
        </row>
        <row r="439">
          <cell r="B439">
            <v>3920</v>
          </cell>
          <cell r="C439" t="str">
            <v>TUBERIA PVC  U.M. EXT/INT LISO NORMA NTC 5070 D=27" (Incluye Suministro e Instalación)</v>
          </cell>
          <cell r="D439" t="str">
            <v>M</v>
          </cell>
          <cell r="E439">
            <v>497864</v>
          </cell>
        </row>
        <row r="440">
          <cell r="B440">
            <v>3921</v>
          </cell>
          <cell r="C440" t="str">
            <v>TUBERIA PVC  U.M. EXT/INT LISO NORMA NTC 5070 D=30" (Incluye Suministro e Instalación)</v>
          </cell>
          <cell r="D440" t="str">
            <v>M</v>
          </cell>
          <cell r="E440">
            <v>640559</v>
          </cell>
        </row>
        <row r="441">
          <cell r="B441">
            <v>3922</v>
          </cell>
          <cell r="C441" t="str">
            <v>TUBERIA PVC  U.M. EXT/INT LISO NORMA NTC 5070 D=33" (Incluye Suministro e Instalación)</v>
          </cell>
          <cell r="D441" t="str">
            <v>M</v>
          </cell>
          <cell r="E441">
            <v>814094</v>
          </cell>
        </row>
        <row r="442">
          <cell r="B442">
            <v>3923</v>
          </cell>
          <cell r="C442" t="str">
            <v>TUBERIA PVC  U.M. EXT/INT LISO NORMA NTC 5070 D=36" (Incluye Suministro e Instalación)</v>
          </cell>
          <cell r="D442" t="str">
            <v>M</v>
          </cell>
          <cell r="E442">
            <v>1163745</v>
          </cell>
        </row>
        <row r="443">
          <cell r="B443">
            <v>3924</v>
          </cell>
          <cell r="C443" t="str">
            <v>TUBERIA PVC  U.M. EXT/INT LISO NORMA NTC 5070 D=39" (Incluye Suministro e Instalación)</v>
          </cell>
          <cell r="D443" t="str">
            <v>M</v>
          </cell>
          <cell r="E443">
            <v>1543956</v>
          </cell>
        </row>
        <row r="444">
          <cell r="B444">
            <v>3925</v>
          </cell>
          <cell r="C444" t="str">
            <v>TUBERIA PVC  U.M. EXT/INT LISO NORMA NTC 5070 D=42" (Incluye Suministro e Instalación)</v>
          </cell>
          <cell r="D444" t="str">
            <v>M</v>
          </cell>
          <cell r="E444">
            <v>1758840</v>
          </cell>
        </row>
        <row r="445">
          <cell r="B445">
            <v>3932</v>
          </cell>
          <cell r="C445" t="str">
            <v>TUBERIA CONCRETO D=6" CL. II SIN REFUERZO (Incluye Suministro e Instalación)</v>
          </cell>
          <cell r="D445" t="str">
            <v>M</v>
          </cell>
          <cell r="E445">
            <v>40606</v>
          </cell>
        </row>
        <row r="446">
          <cell r="B446">
            <v>3933</v>
          </cell>
          <cell r="C446" t="str">
            <v>TUBERIA CONCRETO D=8" CL. II SIN REFUERZO (Incluye Suministro e Instalación)</v>
          </cell>
          <cell r="D446" t="str">
            <v>M</v>
          </cell>
          <cell r="E446">
            <v>61883</v>
          </cell>
        </row>
        <row r="447">
          <cell r="B447">
            <v>3934</v>
          </cell>
          <cell r="C447" t="str">
            <v>TUBERIA CONCRETO D=12" CL. II SIN REFUERZO (Incluye Suministro e Instalación)</v>
          </cell>
          <cell r="D447" t="str">
            <v>M</v>
          </cell>
          <cell r="E447">
            <v>113237</v>
          </cell>
        </row>
        <row r="448">
          <cell r="B448">
            <v>3935</v>
          </cell>
          <cell r="C448" t="str">
            <v>TUBERIA CONCRETO D=14" CL. II SIN REFUERZO (Incluye Suministro e Instalación)</v>
          </cell>
          <cell r="D448" t="str">
            <v>M</v>
          </cell>
          <cell r="E448">
            <v>133627</v>
          </cell>
        </row>
        <row r="449">
          <cell r="B449">
            <v>3936</v>
          </cell>
          <cell r="C449" t="str">
            <v>TUBERIA CONCRETO D=16" CL. II SIN REFUERZO (Incluye Suministro e Instalación)</v>
          </cell>
          <cell r="D449" t="str">
            <v>M</v>
          </cell>
          <cell r="E449">
            <v>171752</v>
          </cell>
        </row>
        <row r="450">
          <cell r="B450">
            <v>3937</v>
          </cell>
          <cell r="C450" t="str">
            <v>TUBERIA CONCRETO D=18" CL. II SIN REFUERZO (Incluye Suministro e Instalación)</v>
          </cell>
          <cell r="D450" t="str">
            <v>M</v>
          </cell>
          <cell r="E450">
            <v>226860</v>
          </cell>
        </row>
        <row r="451">
          <cell r="B451">
            <v>3938</v>
          </cell>
          <cell r="C451" t="str">
            <v>TUBERIA CONCRETO D=20" CL. II SIN REFUERZO (Incluye Suministro e Instalación)</v>
          </cell>
          <cell r="D451" t="str">
            <v>M</v>
          </cell>
          <cell r="E451">
            <v>280125</v>
          </cell>
        </row>
        <row r="452">
          <cell r="B452">
            <v>3939</v>
          </cell>
          <cell r="C452" t="str">
            <v>TUBERIA CONCRETO D=24" CL. II SIN REFUERZO (Incluye Suministro e Instalación)</v>
          </cell>
          <cell r="D452" t="str">
            <v>M</v>
          </cell>
          <cell r="E452">
            <v>393405</v>
          </cell>
        </row>
        <row r="453">
          <cell r="B453">
            <v>3944</v>
          </cell>
          <cell r="C453" t="str">
            <v>TUBERIA CONCRETO D=24" CL. I REFORZADO (Incluye Suministro e Instalación)</v>
          </cell>
          <cell r="D453" t="str">
            <v>M</v>
          </cell>
          <cell r="E453">
            <v>403829</v>
          </cell>
        </row>
        <row r="454">
          <cell r="B454">
            <v>3945</v>
          </cell>
          <cell r="C454" t="str">
            <v>TUBERIA CONCRETO D=27" CL. I REFORZADO (Incluye Suministro e Instalación)</v>
          </cell>
          <cell r="D454" t="str">
            <v>M</v>
          </cell>
          <cell r="E454">
            <v>488667</v>
          </cell>
        </row>
        <row r="455">
          <cell r="B455">
            <v>3946</v>
          </cell>
          <cell r="C455" t="str">
            <v>TUBERIA CONCRETO D=32" CL. I REFORZADO (Incluye Suministro e Instalación)</v>
          </cell>
          <cell r="D455" t="str">
            <v>M</v>
          </cell>
          <cell r="E455">
            <v>615304</v>
          </cell>
        </row>
        <row r="456">
          <cell r="B456">
            <v>3947</v>
          </cell>
          <cell r="C456" t="str">
            <v>TUBERIA CONCRETO D=36" CL. I REFORZADO (Incluye Suministro e Instalación)</v>
          </cell>
          <cell r="D456" t="str">
            <v>M</v>
          </cell>
          <cell r="E456">
            <v>772492</v>
          </cell>
        </row>
        <row r="457">
          <cell r="B457">
            <v>3948</v>
          </cell>
          <cell r="C457" t="str">
            <v>TUBERIA CONCRETO D=40" CL. I REFORZADO (Incluye Suministro e Instalación)</v>
          </cell>
          <cell r="D457" t="str">
            <v>M</v>
          </cell>
          <cell r="E457">
            <v>947593</v>
          </cell>
        </row>
        <row r="458">
          <cell r="B458">
            <v>3949</v>
          </cell>
          <cell r="C458" t="str">
            <v>TUBERIA CONCRETO D=44" CL. I REFORZADO (Incluye Suministro e Instalación)</v>
          </cell>
          <cell r="D458" t="str">
            <v>M</v>
          </cell>
          <cell r="E458">
            <v>1079390</v>
          </cell>
        </row>
        <row r="459">
          <cell r="B459">
            <v>3950</v>
          </cell>
          <cell r="C459" t="str">
            <v>TUBERIA CONCRETO D=48" CL. I REFORZADO (Incluye Suministro e Instalación)</v>
          </cell>
          <cell r="D459" t="str">
            <v>M</v>
          </cell>
          <cell r="E459">
            <v>1302828</v>
          </cell>
        </row>
        <row r="460">
          <cell r="B460">
            <v>3951</v>
          </cell>
          <cell r="C460" t="str">
            <v>TUBERIA CONCRETO D=52" CL. I REFORZADO (Incluye Suministro e Instalación)</v>
          </cell>
          <cell r="D460" t="str">
            <v>M</v>
          </cell>
          <cell r="E460">
            <v>1486691</v>
          </cell>
        </row>
        <row r="461">
          <cell r="B461">
            <v>3952</v>
          </cell>
          <cell r="C461" t="str">
            <v>TUBERIA CONCRETO D=56" CL. I REFORZADO (Incluye Suministro e Instalación)</v>
          </cell>
          <cell r="D461" t="str">
            <v>M</v>
          </cell>
          <cell r="E461">
            <v>1697359</v>
          </cell>
        </row>
        <row r="462">
          <cell r="B462">
            <v>3953</v>
          </cell>
          <cell r="C462" t="str">
            <v>TUBERIA CONCRETO D=60" CL. I REFORZADO (Incluye Suministro e Instalación)</v>
          </cell>
          <cell r="D462" t="str">
            <v>M</v>
          </cell>
          <cell r="E462">
            <v>1914575</v>
          </cell>
        </row>
        <row r="463">
          <cell r="B463">
            <v>3954</v>
          </cell>
          <cell r="C463" t="str">
            <v>TUBERIA CONCRETO D=64" CL. I REFORZADO (Incluye Suministro e Instalación)</v>
          </cell>
          <cell r="D463" t="str">
            <v>M</v>
          </cell>
          <cell r="E463">
            <v>2118973</v>
          </cell>
        </row>
        <row r="464">
          <cell r="B464">
            <v>3955</v>
          </cell>
          <cell r="C464" t="str">
            <v>TUBERIA CONCRETO D=68" CL. I REFORZADO (Incluye Suministro e Instalación)</v>
          </cell>
          <cell r="D464" t="str">
            <v>M</v>
          </cell>
          <cell r="E464">
            <v>2345336</v>
          </cell>
        </row>
        <row r="465">
          <cell r="B465">
            <v>3956</v>
          </cell>
          <cell r="C465" t="str">
            <v>TUBERIA CONCRETO D=72" CL. I REFORZADO (Incluye Suministro e Instalación)</v>
          </cell>
          <cell r="D465" t="str">
            <v>M</v>
          </cell>
          <cell r="E465">
            <v>2598927</v>
          </cell>
        </row>
        <row r="466">
          <cell r="B466">
            <v>3957</v>
          </cell>
          <cell r="C466" t="str">
            <v>TUBERIA CONCRETO D=80" CL. I REFORZADO (Incluye Suministro e Instalación)</v>
          </cell>
          <cell r="D466" t="str">
            <v>M</v>
          </cell>
          <cell r="E466">
            <v>3166559</v>
          </cell>
        </row>
        <row r="467">
          <cell r="B467">
            <v>3958</v>
          </cell>
          <cell r="C467" t="str">
            <v>TUBERIA CONCRETO D=86" CL. I REFORZADO (Incluye Suministro e Instalación)</v>
          </cell>
          <cell r="D467" t="str">
            <v>M</v>
          </cell>
          <cell r="E467">
            <v>3532063</v>
          </cell>
        </row>
        <row r="468">
          <cell r="B468">
            <v>3959</v>
          </cell>
          <cell r="C468" t="str">
            <v>TUBERIA CONCRETO D=92" CL. I REFORZADO (Incluye Suministro e Instalación)</v>
          </cell>
          <cell r="D468" t="str">
            <v>M</v>
          </cell>
          <cell r="E468">
            <v>3931029</v>
          </cell>
        </row>
        <row r="469">
          <cell r="B469">
            <v>3960</v>
          </cell>
          <cell r="C469" t="str">
            <v>TUBERIA CONCRETO D=24" CL. II REFORZADO (Incluye Suministro e Instalación)</v>
          </cell>
          <cell r="D469" t="str">
            <v>M</v>
          </cell>
          <cell r="E469">
            <v>403829</v>
          </cell>
        </row>
        <row r="470">
          <cell r="B470">
            <v>3961</v>
          </cell>
          <cell r="C470" t="str">
            <v>TUBERIA CONCRETO D=27" CL. II REFORZADO (Incluye Suministro e Instalación)</v>
          </cell>
          <cell r="D470" t="str">
            <v>M</v>
          </cell>
          <cell r="E470">
            <v>500948</v>
          </cell>
        </row>
        <row r="471">
          <cell r="B471">
            <v>3962</v>
          </cell>
          <cell r="C471" t="str">
            <v>TUBERIA CONCRETO D=30" CL. II REFORZADO (Incluye Suministro e Instalación)</v>
          </cell>
          <cell r="D471" t="str">
            <v>M</v>
          </cell>
          <cell r="E471">
            <v>630536</v>
          </cell>
        </row>
        <row r="472">
          <cell r="B472">
            <v>3963</v>
          </cell>
          <cell r="C472" t="str">
            <v>TUBERIA CONCRETO D=36" CL. II REFORZADO (Incluye Suministro e Instalación)</v>
          </cell>
          <cell r="D472" t="str">
            <v>M</v>
          </cell>
          <cell r="E472">
            <v>789533</v>
          </cell>
        </row>
        <row r="473">
          <cell r="B473">
            <v>3964</v>
          </cell>
          <cell r="C473" t="str">
            <v>TUBERIA CONCRETO D=40" CL. II REFORZADO (Incluye Suministro e Instalación)</v>
          </cell>
          <cell r="D473" t="str">
            <v>M</v>
          </cell>
          <cell r="E473">
            <v>969347</v>
          </cell>
        </row>
        <row r="474">
          <cell r="B474">
            <v>3965</v>
          </cell>
          <cell r="C474" t="str">
            <v>TUBERIA CONCRETO D=44" CL. II REFORZADO (Incluye Suministro e Instalación)</v>
          </cell>
          <cell r="D474" t="str">
            <v>M</v>
          </cell>
          <cell r="E474">
            <v>1099335</v>
          </cell>
        </row>
        <row r="475">
          <cell r="B475">
            <v>3966</v>
          </cell>
          <cell r="C475" t="str">
            <v>TUBERIA CONCRETO D=48" CL. II REFORZADO (Incluye Suministro e Instalación)</v>
          </cell>
          <cell r="D475" t="str">
            <v>M</v>
          </cell>
          <cell r="E475">
            <v>1331245</v>
          </cell>
        </row>
        <row r="476">
          <cell r="B476">
            <v>3967</v>
          </cell>
          <cell r="C476" t="str">
            <v>TUBERIA CONCRETO D=52" CL. II REFORZADO (Incluye Suministro e Instalación)</v>
          </cell>
          <cell r="D476" t="str">
            <v>M</v>
          </cell>
          <cell r="E476">
            <v>1520772</v>
          </cell>
        </row>
        <row r="477">
          <cell r="B477">
            <v>3968</v>
          </cell>
          <cell r="C477" t="str">
            <v>TUBERIA CONCRETO D=56" CL. II REFORZADO (Incluye Suministro e Instalación)</v>
          </cell>
          <cell r="D477" t="str">
            <v>M</v>
          </cell>
          <cell r="E477">
            <v>1717351</v>
          </cell>
        </row>
        <row r="478">
          <cell r="B478">
            <v>3969</v>
          </cell>
          <cell r="C478" t="str">
            <v>TUBERIA CONCRETO D=60" CL. III REFORZADO (Incluye Suministro e Instalación)</v>
          </cell>
          <cell r="D478" t="str">
            <v>M</v>
          </cell>
          <cell r="E478">
            <v>2141960</v>
          </cell>
        </row>
        <row r="479">
          <cell r="B479">
            <v>3970</v>
          </cell>
          <cell r="C479" t="str">
            <v>TUBERIA CONCRETO D=64" CL. II REFORZADO (Incluye Suministro e Instalación)</v>
          </cell>
          <cell r="D479" t="str">
            <v>M</v>
          </cell>
          <cell r="E479">
            <v>2162527</v>
          </cell>
        </row>
        <row r="480">
          <cell r="B480">
            <v>3971</v>
          </cell>
          <cell r="C480" t="str">
            <v>TUBERIA CONCRETO D=68" CL. III REFORZADO (Incluye Suministro e Instalación)</v>
          </cell>
          <cell r="D480" t="str">
            <v>M</v>
          </cell>
          <cell r="E480">
            <v>2484614</v>
          </cell>
        </row>
        <row r="481">
          <cell r="B481">
            <v>3972</v>
          </cell>
          <cell r="C481" t="str">
            <v>TUBERIA CONCRETO D=72" CL. II REFORZADO (Incluye Suministro e Instalación)</v>
          </cell>
          <cell r="D481" t="str">
            <v>M</v>
          </cell>
          <cell r="E481">
            <v>2609256</v>
          </cell>
        </row>
        <row r="482">
          <cell r="B482">
            <v>3973</v>
          </cell>
          <cell r="C482" t="str">
            <v>TUBERIA CONCRETO D=80" CL. II REFORZADO (Incluye Suministro e Instalación)</v>
          </cell>
          <cell r="D482" t="str">
            <v>M</v>
          </cell>
          <cell r="E482">
            <v>3179792</v>
          </cell>
        </row>
        <row r="483">
          <cell r="B483">
            <v>3974</v>
          </cell>
          <cell r="C483" t="str">
            <v>TUBERIA CONCRETO D=86" CL. II REFORZADO (Incluye Suministro e Instalación)</v>
          </cell>
          <cell r="D483" t="str">
            <v>M</v>
          </cell>
          <cell r="E483">
            <v>3583233</v>
          </cell>
        </row>
        <row r="484">
          <cell r="B484">
            <v>3975</v>
          </cell>
          <cell r="C484" t="str">
            <v>TUBERIA CONCRETO D=24" CL. III REFORZADO (Incluye Suministro e Instalación)</v>
          </cell>
          <cell r="D484" t="str">
            <v>M</v>
          </cell>
          <cell r="E484">
            <v>403829</v>
          </cell>
        </row>
        <row r="485">
          <cell r="B485">
            <v>3976</v>
          </cell>
          <cell r="C485" t="str">
            <v>TUBERIA CONCRETO D=27" CL. III REFORZADO (Incluye Suministro e Instalación)</v>
          </cell>
          <cell r="D485" t="str">
            <v>M</v>
          </cell>
          <cell r="E485">
            <v>526604</v>
          </cell>
        </row>
        <row r="486">
          <cell r="B486">
            <v>3977</v>
          </cell>
          <cell r="C486" t="str">
            <v>TUBERIA CONCRETO D=30" CL. III REFORZADO (Incluye Suministro e Instalación)</v>
          </cell>
          <cell r="D486" t="str">
            <v>M</v>
          </cell>
          <cell r="E486">
            <v>661762</v>
          </cell>
        </row>
        <row r="487">
          <cell r="B487">
            <v>3978</v>
          </cell>
          <cell r="C487" t="str">
            <v>TUBERIA CONCRETO D=36" CL. III REFORZADO (Incluye Suministro e Instalación)</v>
          </cell>
          <cell r="D487" t="str">
            <v>M</v>
          </cell>
          <cell r="E487">
            <v>828422</v>
          </cell>
        </row>
        <row r="488">
          <cell r="B488">
            <v>3979</v>
          </cell>
          <cell r="C488" t="str">
            <v>TUBERIA CONCRETO D=40" CL. III REFORZADO (Incluye Suministro e Instalación)</v>
          </cell>
          <cell r="D488" t="str">
            <v>M</v>
          </cell>
          <cell r="E488">
            <v>1019565</v>
          </cell>
        </row>
        <row r="489">
          <cell r="B489">
            <v>3980</v>
          </cell>
          <cell r="C489" t="str">
            <v>TUBERIA CONCRETO D=44" CL. III REFORZADO (Incluye Suministro e Instalación)</v>
          </cell>
          <cell r="D489" t="str">
            <v>M</v>
          </cell>
          <cell r="E489">
            <v>1154218</v>
          </cell>
        </row>
        <row r="490">
          <cell r="B490">
            <v>3981</v>
          </cell>
          <cell r="C490" t="str">
            <v>TUBERIA CONCRETO D=48" CL. III REFORZADO (Incluye Suministro e Instalación)</v>
          </cell>
          <cell r="D490" t="str">
            <v>M</v>
          </cell>
          <cell r="E490">
            <v>1396647</v>
          </cell>
        </row>
        <row r="491">
          <cell r="B491">
            <v>3982</v>
          </cell>
          <cell r="C491" t="str">
            <v>TUBERIA CONCRETO D=52" CL. III REFORZADO (Incluye Suministro e Instalación)</v>
          </cell>
          <cell r="D491" t="str">
            <v>M</v>
          </cell>
          <cell r="E491">
            <v>1592839</v>
          </cell>
        </row>
        <row r="492">
          <cell r="B492">
            <v>3983</v>
          </cell>
          <cell r="C492" t="str">
            <v>TUBERIA CONCRETO D=56" CL. III REFORZADO (Incluye Suministro e Instalación)</v>
          </cell>
          <cell r="D492" t="str">
            <v>M</v>
          </cell>
          <cell r="E492">
            <v>1795034</v>
          </cell>
        </row>
        <row r="493">
          <cell r="B493">
            <v>3984</v>
          </cell>
          <cell r="C493" t="str">
            <v>TUBERIA CONCRETO D=60" CL. II REFORZADO (Incluye Suministro e Instalación)</v>
          </cell>
          <cell r="D493" t="str">
            <v>M</v>
          </cell>
          <cell r="E493">
            <v>1945848</v>
          </cell>
        </row>
        <row r="494">
          <cell r="B494">
            <v>3985</v>
          </cell>
          <cell r="C494" t="str">
            <v>TUBERIA CONCRETO D=64" CL. III REFORZADO (Incluye Suministro e Instalación)</v>
          </cell>
          <cell r="D494" t="str">
            <v>M</v>
          </cell>
          <cell r="E494">
            <v>2241209</v>
          </cell>
        </row>
        <row r="495">
          <cell r="B495">
            <v>3986</v>
          </cell>
          <cell r="C495" t="str">
            <v>TUBERIA CONCRETO D=72" CL. III REFORZADO (Incluye Suministro e Instalación)</v>
          </cell>
          <cell r="D495" t="str">
            <v>M</v>
          </cell>
          <cell r="E495">
            <v>2837641</v>
          </cell>
        </row>
        <row r="496">
          <cell r="B496">
            <v>3987</v>
          </cell>
          <cell r="C496" t="str">
            <v>TUBERIA CONCRETO D=68" CL. II REFORZADO (Incluye Suministro e Instalación)</v>
          </cell>
          <cell r="D496" t="str">
            <v>M</v>
          </cell>
          <cell r="E496">
            <v>2394554</v>
          </cell>
        </row>
        <row r="497">
          <cell r="B497">
            <v>3988</v>
          </cell>
          <cell r="C497" t="str">
            <v>TUBERIA CONCRETO D=80" CL. III REFORZADO (Incluye Suministro e Instalación)</v>
          </cell>
          <cell r="D497" t="str">
            <v>M</v>
          </cell>
          <cell r="E497">
            <v>3300125</v>
          </cell>
        </row>
        <row r="498">
          <cell r="B498">
            <v>3989</v>
          </cell>
          <cell r="C498" t="str">
            <v>TUBERIA CONCRETO D=86" CL. III REFORZADO (Incluye Suministro e Instalación)</v>
          </cell>
          <cell r="D498" t="str">
            <v>M</v>
          </cell>
          <cell r="E498">
            <v>3665629</v>
          </cell>
        </row>
        <row r="499">
          <cell r="B499">
            <v>3990</v>
          </cell>
          <cell r="C499" t="str">
            <v>TUBERIA CONCRETO D=92" CL. II REFORZADO (Incluye Suministro e Instalación)</v>
          </cell>
          <cell r="D499" t="str">
            <v>M</v>
          </cell>
          <cell r="E499">
            <v>3987911</v>
          </cell>
        </row>
        <row r="500">
          <cell r="B500">
            <v>3991</v>
          </cell>
          <cell r="C500" t="str">
            <v>TUBERIA CONCRETO D=92" CL. III REFORZADO (Incluye Suministro e Instalación)</v>
          </cell>
          <cell r="D500" t="str">
            <v>M</v>
          </cell>
          <cell r="E500">
            <v>4049505</v>
          </cell>
        </row>
        <row r="501">
          <cell r="B501">
            <v>3992</v>
          </cell>
          <cell r="C501" t="str">
            <v>TUBERIA CONCRETO D=24" CL. IV REFORZADO (Incluye Suministro e Instalación)</v>
          </cell>
          <cell r="D501" t="str">
            <v>M</v>
          </cell>
          <cell r="E501">
            <v>450239</v>
          </cell>
        </row>
        <row r="502">
          <cell r="B502">
            <v>3993</v>
          </cell>
          <cell r="C502" t="str">
            <v>TUBERIA CONCRETO D=27" CL. IV REFORZADO (Incluye Suministro e Instalación)</v>
          </cell>
          <cell r="D502" t="str">
            <v>M</v>
          </cell>
          <cell r="E502">
            <v>590055</v>
          </cell>
        </row>
        <row r="503">
          <cell r="B503">
            <v>3994</v>
          </cell>
          <cell r="C503" t="str">
            <v>TUBERIA CONCRETO D=30" CL. IV REFORZADO (Incluye Suministro e Instalación)</v>
          </cell>
          <cell r="D503" t="str">
            <v>M</v>
          </cell>
          <cell r="E503">
            <v>744157</v>
          </cell>
        </row>
        <row r="504">
          <cell r="B504">
            <v>3995</v>
          </cell>
          <cell r="C504" t="str">
            <v>TUBERIA CONCRETO D=36" CL. IV REFORZADO (Incluye Suministro e Instalación)</v>
          </cell>
          <cell r="D504" t="str">
            <v>M</v>
          </cell>
          <cell r="E504">
            <v>931666</v>
          </cell>
        </row>
        <row r="505">
          <cell r="B505">
            <v>3996</v>
          </cell>
          <cell r="C505" t="str">
            <v>TUBERIA CONCRETO D=40" CL. IV REFORZADO (Incluye Suministro e Instalación)</v>
          </cell>
          <cell r="D505" t="str">
            <v>M</v>
          </cell>
          <cell r="E505">
            <v>1147513</v>
          </cell>
        </row>
        <row r="506">
          <cell r="B506">
            <v>3997</v>
          </cell>
          <cell r="C506" t="str">
            <v>TUBERIA CONCRETO D=44" CL. IV REFORZADO (Incluye Suministro e Instalación)</v>
          </cell>
          <cell r="D506" t="str">
            <v>M</v>
          </cell>
          <cell r="E506">
            <v>1298255</v>
          </cell>
        </row>
        <row r="507">
          <cell r="B507">
            <v>3998</v>
          </cell>
          <cell r="C507" t="str">
            <v>TUBERIA CONCRETO D=48" CL. IV REFORZADO (Incluye Suministro e Instalación)</v>
          </cell>
          <cell r="D507" t="str">
            <v>M</v>
          </cell>
          <cell r="E507">
            <v>1565389</v>
          </cell>
        </row>
        <row r="508">
          <cell r="B508">
            <v>3999</v>
          </cell>
          <cell r="C508" t="str">
            <v>TUBERIA CONCRETO D=52" CL. IV REFORZADO (Incluye Suministro e Instalación)</v>
          </cell>
          <cell r="D508" t="str">
            <v>M</v>
          </cell>
          <cell r="E508">
            <v>1791854</v>
          </cell>
        </row>
        <row r="509">
          <cell r="B509">
            <v>4000</v>
          </cell>
          <cell r="C509" t="str">
            <v>TUBERIA CONCRETO D=56" CL. IV REFORZADO (Incluye Suministro e Instalación)</v>
          </cell>
          <cell r="D509" t="str">
            <v>M</v>
          </cell>
          <cell r="E509">
            <v>1944736</v>
          </cell>
        </row>
        <row r="510">
          <cell r="B510">
            <v>4001</v>
          </cell>
          <cell r="C510" t="str">
            <v>TUBERIA CONCRETO D=60" CL. IV REFORZADO (Incluye Suministro e Instalación)</v>
          </cell>
          <cell r="D510" t="str">
            <v>M</v>
          </cell>
          <cell r="E510">
            <v>2245252</v>
          </cell>
        </row>
        <row r="511">
          <cell r="B511">
            <v>4002</v>
          </cell>
          <cell r="C511" t="str">
            <v>TUBERIA CONCRETO D=64" CL. IV REFORZADO (Incluye Suministro e Instalación)</v>
          </cell>
          <cell r="D511" t="str">
            <v>M</v>
          </cell>
          <cell r="E511">
            <v>2503676</v>
          </cell>
        </row>
        <row r="512">
          <cell r="B512">
            <v>4004</v>
          </cell>
          <cell r="C512" t="str">
            <v>TUBERIA CONCRETO D=68" CL. IV REFORZADO (Incluye Suministro e Instalación)</v>
          </cell>
          <cell r="D512" t="str">
            <v>M</v>
          </cell>
          <cell r="E512">
            <v>2783113</v>
          </cell>
        </row>
        <row r="513">
          <cell r="B513">
            <v>4005</v>
          </cell>
          <cell r="C513" t="str">
            <v>TUBERIA CONCRETO D=72" CL. IV REFORZADO (Incluye Suministro e Instalación)</v>
          </cell>
          <cell r="D513" t="str">
            <v>M</v>
          </cell>
          <cell r="E513">
            <v>3068977</v>
          </cell>
        </row>
        <row r="514">
          <cell r="B514">
            <v>4006</v>
          </cell>
          <cell r="C514" t="str">
            <v>TUBERIA CONCRETO D=80" CL. IV REFORZADO (Incluye Suministro e Instalación)</v>
          </cell>
          <cell r="D514" t="str">
            <v>M</v>
          </cell>
          <cell r="E514">
            <v>3711484</v>
          </cell>
        </row>
        <row r="515">
          <cell r="B515">
            <v>4007</v>
          </cell>
          <cell r="C515" t="str">
            <v>TUBERIA CONCRETO D=86" CL. IV REFORZADO (Incluye Suministro e Instalación)</v>
          </cell>
          <cell r="D515" t="str">
            <v>M</v>
          </cell>
          <cell r="E515">
            <v>4378201</v>
          </cell>
        </row>
        <row r="516">
          <cell r="B516">
            <v>4008</v>
          </cell>
          <cell r="C516" t="str">
            <v>TUBERIA CONCRETO D=92" CL. IV REFORZADO (Incluye Suministro e Instalación)</v>
          </cell>
          <cell r="D516" t="str">
            <v>M</v>
          </cell>
          <cell r="E516">
            <v>4754461</v>
          </cell>
        </row>
        <row r="517">
          <cell r="B517">
            <v>4009</v>
          </cell>
          <cell r="C517" t="str">
            <v>GEOTEXTIL NT 3000 PARA SUBDRENES/FILTROS (Incluye Suministro e Instalación)</v>
          </cell>
          <cell r="D517" t="str">
            <v>M2</v>
          </cell>
          <cell r="E517">
            <v>8404</v>
          </cell>
        </row>
        <row r="518">
          <cell r="B518">
            <v>4010</v>
          </cell>
          <cell r="C518" t="str">
            <v>GEOTEXTIL NT 4000 PARA SUBDRENES/FILTROS (Incluye Suministro e Instalación)</v>
          </cell>
          <cell r="D518" t="str">
            <v>M2</v>
          </cell>
          <cell r="E518">
            <v>12295</v>
          </cell>
        </row>
        <row r="519">
          <cell r="B519">
            <v>4011</v>
          </cell>
          <cell r="C519" t="str">
            <v>GEOTEXTIL NT 5000 PARA SUBDRENES/FILTROS (Incluye Suministro e Instalación)</v>
          </cell>
          <cell r="D519" t="str">
            <v>M2</v>
          </cell>
          <cell r="E519">
            <v>14752</v>
          </cell>
        </row>
        <row r="520">
          <cell r="B520">
            <v>4012</v>
          </cell>
          <cell r="C520" t="str">
            <v>GEOTEXTIL NT 6000 PARA SUBDRENES/FILTROS (Incluye Suministro e Instalación)</v>
          </cell>
          <cell r="D520" t="str">
            <v>M2</v>
          </cell>
          <cell r="E520">
            <v>16630</v>
          </cell>
        </row>
        <row r="521">
          <cell r="B521">
            <v>4013</v>
          </cell>
          <cell r="C521" t="str">
            <v>GEOTEXTIL NT 7000 PARA SEPARACION SUBRASANTE/CAPAS GRANULARES (Incluye Suministro e Instalación)</v>
          </cell>
          <cell r="D521" t="str">
            <v>M2</v>
          </cell>
          <cell r="E521">
            <v>20486</v>
          </cell>
        </row>
        <row r="522">
          <cell r="B522">
            <v>4014</v>
          </cell>
          <cell r="C522" t="str">
            <v>GEOTEXTIL NT 3000 PARA SEPARACION SUBRASANTE/CAPAS GRANULARES (Incluye Suministro e Instalación)</v>
          </cell>
          <cell r="D522" t="str">
            <v>M2</v>
          </cell>
          <cell r="E522">
            <v>8404</v>
          </cell>
        </row>
        <row r="523">
          <cell r="B523">
            <v>4015</v>
          </cell>
          <cell r="C523" t="str">
            <v>GEOTEXTIL NT 4000 PARA SEPARACION SUBRASANTE/CAPAS GRANULARES (Incluye Suministro e Instalación)</v>
          </cell>
          <cell r="D523" t="str">
            <v>M2</v>
          </cell>
          <cell r="E523">
            <v>12295</v>
          </cell>
        </row>
        <row r="524">
          <cell r="B524">
            <v>4016</v>
          </cell>
          <cell r="C524" t="str">
            <v>GEOTEXTIL NT 5000 PARA SEPARACION SUBRASANTE/CAPAS GRANULARES (Incluye Suministro e Instalación)</v>
          </cell>
          <cell r="D524" t="str">
            <v>M2</v>
          </cell>
          <cell r="E524">
            <v>14752</v>
          </cell>
        </row>
        <row r="525">
          <cell r="B525">
            <v>4017</v>
          </cell>
          <cell r="C525" t="str">
            <v>GEOTEXTIL NT 6000 PARA SEPARACION SUBRASANTE/CAPAS GRANULARES (Incluye Suministro e Instalación)</v>
          </cell>
          <cell r="D525" t="str">
            <v>M2</v>
          </cell>
          <cell r="E525">
            <v>16630</v>
          </cell>
        </row>
        <row r="526">
          <cell r="B526">
            <v>4018</v>
          </cell>
          <cell r="C526" t="str">
            <v>GEOTEXTIL NT 7000 PARA SUBDRENES/FILTROS (Incluye Suministro e Instalación)</v>
          </cell>
          <cell r="D526" t="str">
            <v>M2</v>
          </cell>
          <cell r="E526">
            <v>20486</v>
          </cell>
        </row>
        <row r="527">
          <cell r="B527">
            <v>4019</v>
          </cell>
          <cell r="C527" t="str">
            <v>GEOTEXTIL REPAV 400 PARA PAVIMENTACION Y REPAVIMENTACION (Incluye Suministro e Instalación)</v>
          </cell>
          <cell r="D527" t="str">
            <v>M2</v>
          </cell>
          <cell r="E527">
            <v>6426</v>
          </cell>
        </row>
        <row r="528">
          <cell r="B528">
            <v>4020</v>
          </cell>
          <cell r="C528" t="str">
            <v>GEOTEXTIL REPAV 450 PARA PAVIMENTACION Y REPAVIMENTACION (Incluye Suministro e Instalación)</v>
          </cell>
          <cell r="D528" t="str">
            <v>M2</v>
          </cell>
          <cell r="E528">
            <v>6218</v>
          </cell>
        </row>
        <row r="529">
          <cell r="B529">
            <v>4021</v>
          </cell>
          <cell r="C529" t="str">
            <v>GEOTEXTIL NT 4000 PARA ESTABILIZACION SUBRASANTE/CAPAS GRANULARES (Inc. Suministro e Instalación)</v>
          </cell>
          <cell r="D529" t="str">
            <v>M2</v>
          </cell>
          <cell r="E529">
            <v>12295</v>
          </cell>
        </row>
        <row r="530">
          <cell r="B530">
            <v>4022</v>
          </cell>
          <cell r="C530" t="str">
            <v>GEOTEXTIL NT 5000 PARA ESTABILIZACION SUBRASANTE/CAPAS GRANULARES (Inc. Suministro e Instalación)</v>
          </cell>
          <cell r="D530" t="str">
            <v>M2</v>
          </cell>
          <cell r="E530">
            <v>14752</v>
          </cell>
        </row>
        <row r="531">
          <cell r="B531">
            <v>4023</v>
          </cell>
          <cell r="C531" t="str">
            <v>GEOTEXTIL NT 6000 PARA ESTABILIZACION SUBRASANTE/CAPAS GRANULARES (Inc. Suministro e Instalación)</v>
          </cell>
          <cell r="D531" t="str">
            <v>M2</v>
          </cell>
          <cell r="E531">
            <v>16630</v>
          </cell>
        </row>
        <row r="532">
          <cell r="B532">
            <v>4024</v>
          </cell>
          <cell r="C532" t="str">
            <v>GEOTEXTIL NT 7000 PARA ESTABILIZACION SUBRASANTE/CAPAS GRANULARES (Inc. Suministro e Instalación)</v>
          </cell>
          <cell r="D532" t="str">
            <v>M2</v>
          </cell>
          <cell r="E532">
            <v>20486</v>
          </cell>
        </row>
        <row r="533">
          <cell r="B533">
            <v>4026</v>
          </cell>
          <cell r="C533" t="str">
            <v>GEOTEXTIL T, RESIST. ULTIMA (TIRA ANCHA)=30 kN/m PARA SUBDRENES/FILTROS (Incluye Suministro e Instalación)</v>
          </cell>
          <cell r="D533" t="str">
            <v>M2</v>
          </cell>
          <cell r="E533">
            <v>7453</v>
          </cell>
        </row>
        <row r="534">
          <cell r="B534">
            <v>4027</v>
          </cell>
          <cell r="C534" t="str">
            <v>GEOTEXTIL T, RESIST. ULTIMA (TIRA ANCHA)=40 kN/m PARA SUBDRENES/FILTROS (Incluye Suministro e Instalación)</v>
          </cell>
          <cell r="D534" t="str">
            <v>M2</v>
          </cell>
          <cell r="E534">
            <v>8322</v>
          </cell>
        </row>
        <row r="535">
          <cell r="B535">
            <v>4028</v>
          </cell>
          <cell r="C535" t="str">
            <v>GEOTEXTIL T, RESIST. ULTIMA (TIRA ANCHA)=60 kN/m PARA SUBDRENES/FILTROS (Incluye Suministro e Instalación)</v>
          </cell>
          <cell r="D535" t="str">
            <v>M2</v>
          </cell>
          <cell r="E535">
            <v>11677</v>
          </cell>
        </row>
        <row r="536">
          <cell r="B536">
            <v>4029</v>
          </cell>
          <cell r="C536" t="str">
            <v>GEOTEXTIL T, RESIST. ULTIMA (TIRA ANCHA)=90 kN/m PARA SUBDRENES/FILTROS (Incluye Suministro e Instalación)</v>
          </cell>
          <cell r="D536" t="str">
            <v>M2</v>
          </cell>
          <cell r="E536">
            <v>16536</v>
          </cell>
        </row>
        <row r="537">
          <cell r="B537">
            <v>4030</v>
          </cell>
          <cell r="C537" t="str">
            <v>GEOTEXTIL T, RESIST. ULTIMA (TIRA ANCHA)=30 kN/m PARA SEPARACION SUBRASANTE/CAPAS GRANULARES (Inc. Sumin. e Instalación)</v>
          </cell>
          <cell r="D537" t="str">
            <v>M2</v>
          </cell>
          <cell r="E537">
            <v>7453</v>
          </cell>
        </row>
        <row r="538">
          <cell r="B538">
            <v>4032</v>
          </cell>
          <cell r="C538" t="str">
            <v>GEOTEXTIL T, RESIST. ULTIMA (TIRA ANCHA)=40 kN/m PARA SEPARACION SUBRASANTE/CAPAS GRANULARES (Inc. Sumin. e Instalación)</v>
          </cell>
          <cell r="D538" t="str">
            <v>M2</v>
          </cell>
          <cell r="E538">
            <v>8322</v>
          </cell>
        </row>
        <row r="539">
          <cell r="B539">
            <v>4033</v>
          </cell>
          <cell r="C539" t="str">
            <v>GEOTEXTIL T, RESIST. ULTIMA (TIRA ANCHA)=60 kN/m PARA SEPARACION SUBRASANTE/CAPAS GRANULARES (Inc. Sumin. e Instalación)</v>
          </cell>
          <cell r="D539" t="str">
            <v>M2</v>
          </cell>
          <cell r="E539">
            <v>11677</v>
          </cell>
        </row>
        <row r="540">
          <cell r="B540">
            <v>4034</v>
          </cell>
          <cell r="C540" t="str">
            <v>GEOTEXTIL T, RESIST. ULTIMA (TIRA ANCHA)=90 kN/m PARA SEPARACION SUBRASANTE/CAPAS GRANULARES (Inc. Sumin. e Instalación)</v>
          </cell>
          <cell r="D540" t="str">
            <v>M2</v>
          </cell>
          <cell r="E540">
            <v>16536</v>
          </cell>
        </row>
        <row r="541">
          <cell r="B541">
            <v>4036</v>
          </cell>
          <cell r="C541" t="str">
            <v>GEOTEXTIL T, RESIST. ULTIMA (TIRA ANCHA)=40 kN/m PARA ESTABILIZACION SUBRASANTE/CAPAS GRANULARES (Inc. Sumin. e Inst.)</v>
          </cell>
          <cell r="D541" t="str">
            <v>M2</v>
          </cell>
          <cell r="E541">
            <v>8322</v>
          </cell>
        </row>
        <row r="542">
          <cell r="B542">
            <v>4037</v>
          </cell>
          <cell r="C542" t="str">
            <v>GEOTEXTIL T, RESIST. ULTIMA (TIRA ANCHA)=60 kN/m PARA ESTABILIZACION SUBRASANTE/CAPAS GRANULARES (Inc. Sumin. e Inst.)</v>
          </cell>
          <cell r="D542" t="str">
            <v>M2</v>
          </cell>
          <cell r="E542">
            <v>11677</v>
          </cell>
        </row>
        <row r="543">
          <cell r="B543">
            <v>4038</v>
          </cell>
          <cell r="C543" t="str">
            <v>GEOTEXTIL T, RESIST. ULTIMA (TIRA ANCHA)=90 kN/m PARA ESTABILIZACION SUBRASANTE/CAPAS GRANULARES (Inc. Sumin. e Inst.)</v>
          </cell>
          <cell r="D543" t="str">
            <v>M2</v>
          </cell>
          <cell r="E543">
            <v>16536</v>
          </cell>
        </row>
        <row r="544">
          <cell r="B544">
            <v>4039</v>
          </cell>
          <cell r="C544" t="str">
            <v>SARDINEL H=0.20m, e=0.15m CONCRETO 3000 PSI (Fundido en Sitio, Concreto Premezclado. Inc. Sumin, Formalet. y Const.)</v>
          </cell>
          <cell r="D544" t="str">
            <v>M</v>
          </cell>
          <cell r="E544">
            <v>18944</v>
          </cell>
        </row>
        <row r="545">
          <cell r="B545">
            <v>4040</v>
          </cell>
          <cell r="C545" t="str">
            <v>SARDINEL H=0.25m, e=0.15m CONCRETO 3000 PSI (Fundido en Sitio, Concreto Premezclado. Inc. Sumin, Formalet. y Const.)</v>
          </cell>
          <cell r="D545" t="str">
            <v>M</v>
          </cell>
          <cell r="E545">
            <v>21804</v>
          </cell>
        </row>
        <row r="546">
          <cell r="B546">
            <v>4041</v>
          </cell>
          <cell r="C546" t="str">
            <v>SARDINEL H=0.40m, e=0.15m CONCRETO 3000 PSI (Fundido en Sitio, Concreto Premezclado. Inc. Sumin, Formalet. y Const.)</v>
          </cell>
          <cell r="D546" t="str">
            <v>M</v>
          </cell>
          <cell r="E546">
            <v>30347</v>
          </cell>
        </row>
        <row r="547">
          <cell r="B547">
            <v>4042</v>
          </cell>
          <cell r="C547" t="str">
            <v>SARDINEL H=0.30m, e=0.15m CONCRETO 3000 PSI (Fundido en Sitio, Concreto Hecho en Obra. Inc. Sumin, Formalet. y Const.)</v>
          </cell>
          <cell r="D547" t="str">
            <v>M</v>
          </cell>
          <cell r="E547">
            <v>22036</v>
          </cell>
        </row>
        <row r="548">
          <cell r="B548">
            <v>4043</v>
          </cell>
          <cell r="C548" t="str">
            <v>SARDINEL H=0.30m, e=0.15m CONCRETO 3000 PSI (Fundido en Sitio, Concreto Premezclado. Inc. Sumin, Formalet. y Const.)</v>
          </cell>
          <cell r="D548" t="str">
            <v>M</v>
          </cell>
          <cell r="E548">
            <v>24664</v>
          </cell>
        </row>
        <row r="549">
          <cell r="B549">
            <v>4044</v>
          </cell>
          <cell r="C549" t="str">
            <v>BORDE SEPARADOR VERDE TIPO A170 (Suministro e Instalación. Incluye 3cm Mortero 2000 PSI)</v>
          </cell>
          <cell r="D549" t="str">
            <v>M</v>
          </cell>
          <cell r="E549">
            <v>175870</v>
          </cell>
        </row>
        <row r="550">
          <cell r="B550">
            <v>4045</v>
          </cell>
          <cell r="C550" t="str">
            <v>SEPARADOR 'NEW JERSEY' MONODIRECCIONAL 1.5m x 0.6m x 1.1m (Prefabricado. Incluye Sum. e Inst. No Inc. material de base)</v>
          </cell>
          <cell r="D550" t="str">
            <v>M</v>
          </cell>
          <cell r="E550">
            <v>269969</v>
          </cell>
        </row>
        <row r="551">
          <cell r="B551">
            <v>4046</v>
          </cell>
          <cell r="C551" t="str">
            <v>BORDE SEPARADOR VERDE TIPO A170 (Suministro e Instalación. No Incluye material de base)</v>
          </cell>
          <cell r="D551" t="str">
            <v>M</v>
          </cell>
          <cell r="E551">
            <v>171850</v>
          </cell>
        </row>
        <row r="552">
          <cell r="B552">
            <v>4047</v>
          </cell>
          <cell r="C552" t="str">
            <v>BORDILLO PREFABRICADO A80 (Suministro e Instalación. Incluye 3cm Mortero de Nivelación 1:5)</v>
          </cell>
          <cell r="D552" t="str">
            <v>M</v>
          </cell>
          <cell r="E552">
            <v>40307</v>
          </cell>
        </row>
        <row r="553">
          <cell r="B553">
            <v>4048</v>
          </cell>
          <cell r="C553" t="str">
            <v>BORDILLO PREFABRICADO A80 (Suministro e Instalación. No Incluye material de base)</v>
          </cell>
          <cell r="D553" t="str">
            <v>M</v>
          </cell>
          <cell r="E553">
            <v>38815</v>
          </cell>
        </row>
        <row r="554">
          <cell r="B554">
            <v>4049</v>
          </cell>
          <cell r="C554" t="str">
            <v>CAÑUELA TIPO A120 (Suministro e Instalación. Incluye 3cm Mortero 2000 PSI)</v>
          </cell>
          <cell r="D554" t="str">
            <v>M</v>
          </cell>
          <cell r="E554">
            <v>37933</v>
          </cell>
        </row>
        <row r="555">
          <cell r="B555">
            <v>4050</v>
          </cell>
          <cell r="C555" t="str">
            <v>CAÑUELA TIPO A120 (Suministro e Instalación. No Incluye material de base)</v>
          </cell>
          <cell r="D555" t="str">
            <v>M</v>
          </cell>
          <cell r="E555">
            <v>34531</v>
          </cell>
        </row>
        <row r="556">
          <cell r="B556">
            <v>4051</v>
          </cell>
          <cell r="C556" t="str">
            <v>ANDEN CONCRETO 3000 PSI (210 Kg/cm2) HECHO EN OBRA e=0.10m (Incluye Mezcla, Formaleteo, Fundida y Curado)</v>
          </cell>
          <cell r="D556" t="str">
            <v>M2</v>
          </cell>
          <cell r="E556">
            <v>44439</v>
          </cell>
        </row>
        <row r="557">
          <cell r="B557">
            <v>4052</v>
          </cell>
          <cell r="C557" t="str">
            <v>SARDINEL ESPECIAL A100 PARA RAMPA TIPO A (Suministro e Instalación. Incluye 3cm Mortero 2000 PSI)</v>
          </cell>
          <cell r="D557" t="str">
            <v>UN</v>
          </cell>
          <cell r="E557">
            <v>35189</v>
          </cell>
        </row>
        <row r="558">
          <cell r="B558">
            <v>4053</v>
          </cell>
          <cell r="C558" t="str">
            <v>SARDINEL ESPECIAL A100 PARA RAMPA TIPO A (Suministro e Instalación. No Incluye material de base)</v>
          </cell>
          <cell r="D558" t="str">
            <v>UN</v>
          </cell>
          <cell r="E558">
            <v>33815</v>
          </cell>
        </row>
        <row r="559">
          <cell r="B559">
            <v>4054</v>
          </cell>
          <cell r="C559" t="str">
            <v>SARDINEL TIPO A10 (Suministro e Instalación. Incluye 3cm Mortero 2000 PSI)</v>
          </cell>
          <cell r="D559" t="str">
            <v>M</v>
          </cell>
          <cell r="E559">
            <v>49435</v>
          </cell>
        </row>
        <row r="560">
          <cell r="B560">
            <v>4055</v>
          </cell>
          <cell r="C560" t="str">
            <v>SARDINEL TIPO A10 (Suministro e Instalación. No Incluye material de base)</v>
          </cell>
          <cell r="D560" t="str">
            <v>M</v>
          </cell>
          <cell r="E560">
            <v>47167</v>
          </cell>
        </row>
        <row r="561">
          <cell r="B561">
            <v>4061</v>
          </cell>
          <cell r="C561" t="str">
            <v>ADOQUIN DE ARCILLA TR. PESADO 20x10x8cm (Suministro e Instalación. Incluye Base 4cm Arena Nivelación y Arena de Sello)</v>
          </cell>
          <cell r="D561" t="str">
            <v>M2</v>
          </cell>
          <cell r="E561">
            <v>49749</v>
          </cell>
        </row>
        <row r="562">
          <cell r="B562">
            <v>4064</v>
          </cell>
          <cell r="C562" t="str">
            <v>PISO EN ADOQUIN DE ARCILLA 20x10x6cm (Suministro e Instalación. Incluye Base 3cm Arena Nivelacion y Arena de Sello)</v>
          </cell>
          <cell r="D562" t="str">
            <v>M2</v>
          </cell>
          <cell r="E562">
            <v>42748</v>
          </cell>
        </row>
        <row r="563">
          <cell r="B563">
            <v>4068</v>
          </cell>
          <cell r="C563" t="str">
            <v>PISO EN LOSETA PREFABRICADA A30 (Suministro e Instalación. Incluye Base 4cm Mortero 1:5 y Arena de Sello)</v>
          </cell>
          <cell r="D563" t="str">
            <v>M2</v>
          </cell>
          <cell r="E563">
            <v>62259</v>
          </cell>
        </row>
        <row r="564">
          <cell r="B564">
            <v>4069</v>
          </cell>
          <cell r="C564" t="str">
            <v>PISO EN LOSETA PREFABRICADA A30 (Suministro e Instalación. Incluye Base 4cm Mortero 2000 PSI y Arena de Sello)</v>
          </cell>
          <cell r="D564" t="str">
            <v>M2</v>
          </cell>
          <cell r="E564">
            <v>67428</v>
          </cell>
        </row>
        <row r="565">
          <cell r="B565">
            <v>4073</v>
          </cell>
          <cell r="C565" t="str">
            <v>PISO EN LOSETA PREFABRICADA A50 (Suministro e Instalación. Incluye Base 4cm Mortero 2000 PSI y Arena de Sello)</v>
          </cell>
          <cell r="D565" t="str">
            <v>M2</v>
          </cell>
          <cell r="E565">
            <v>63535</v>
          </cell>
        </row>
        <row r="566">
          <cell r="B566">
            <v>4074</v>
          </cell>
          <cell r="C566" t="str">
            <v>PISO EN LOSETA PREFABRICADA A50 (Suministro e Instalación. Incluye Base 4cm Arena Nivelacion y Arena de Sello)</v>
          </cell>
          <cell r="D566" t="str">
            <v>M2</v>
          </cell>
          <cell r="E566">
            <v>53070</v>
          </cell>
        </row>
        <row r="567">
          <cell r="B567">
            <v>4075</v>
          </cell>
          <cell r="C567" t="str">
            <v>PISO EN LOSETA PREFABRICADA A50 (Suministro e Instalación. Incluye Base 4cm Mortero 1:5 y Arena de Sello)</v>
          </cell>
          <cell r="D567" t="str">
            <v>M2</v>
          </cell>
          <cell r="E567">
            <v>59053</v>
          </cell>
        </row>
        <row r="568">
          <cell r="B568">
            <v>4077</v>
          </cell>
          <cell r="C568" t="str">
            <v>PISO EN LOSETA PREFABRICADA A60 (Suministro e Instalación. Incluye Base 4cm Arena Nivelacion y Arena de Sello)</v>
          </cell>
          <cell r="D568" t="str">
            <v>M2</v>
          </cell>
          <cell r="E568">
            <v>65876</v>
          </cell>
        </row>
        <row r="569">
          <cell r="B569">
            <v>4078</v>
          </cell>
          <cell r="C569" t="str">
            <v>PISO EN LOSETA PREFABRICADA A60 (Suministro e Instalación. Incluye Base 4cm Mortero 1:5 y Arena de Sello)</v>
          </cell>
          <cell r="D569" t="str">
            <v>M2</v>
          </cell>
          <cell r="E569">
            <v>71859</v>
          </cell>
        </row>
        <row r="570">
          <cell r="B570">
            <v>4079</v>
          </cell>
          <cell r="C570" t="str">
            <v>PISO EN LOSETA PREFABRICADA A60 (Suministro e Instalación. Incluye Base 4cm Mortero 2000 PSI y Arena de Sello)</v>
          </cell>
          <cell r="D570" t="str">
            <v>M2</v>
          </cell>
          <cell r="E570">
            <v>77028</v>
          </cell>
        </row>
        <row r="571">
          <cell r="B571">
            <v>4080</v>
          </cell>
          <cell r="C571" t="str">
            <v>BOLARDO EN CONCRETO TIPO M60 (Suministro e Instalación. Incluye base en Concreto 1500 PSI, Hecho en Obra)</v>
          </cell>
          <cell r="D571" t="str">
            <v>UN</v>
          </cell>
          <cell r="E571">
            <v>98208</v>
          </cell>
        </row>
        <row r="572">
          <cell r="B572">
            <v>4081</v>
          </cell>
          <cell r="C572" t="str">
            <v>BOLARDO EN CONCRETO TIPO M61 (Suministro e Instalación. Incluye base en Concreto 1500 PSI, Hecho en Obra)</v>
          </cell>
          <cell r="D572" t="str">
            <v>UN</v>
          </cell>
          <cell r="E572">
            <v>96797</v>
          </cell>
        </row>
        <row r="573">
          <cell r="B573">
            <v>4082</v>
          </cell>
          <cell r="C573" t="str">
            <v>BOLARDO EN HIERRO TIPO M62 (Suministro e Instalación. Incluye base en Concreto 1500 PSI, Hecho en Obra)</v>
          </cell>
          <cell r="D573" t="str">
            <v>UN</v>
          </cell>
          <cell r="E573">
            <v>139718</v>
          </cell>
        </row>
        <row r="574">
          <cell r="B574">
            <v>4083</v>
          </cell>
          <cell r="C574" t="str">
            <v>BOLARDO EN HIERRO TIPO M63 (Suministro e Instalación. Incluye base en Concreto 1500 PSI premezclado)</v>
          </cell>
          <cell r="D574" t="str">
            <v>UN</v>
          </cell>
          <cell r="E574">
            <v>136027</v>
          </cell>
        </row>
        <row r="575">
          <cell r="B575">
            <v>4085</v>
          </cell>
          <cell r="C575" t="str">
            <v>PIEZA REMATE A105 PARA RAMPA TIPO A (Suministro e Instalación. Incluye 3cm Mortero 2000 PSI)</v>
          </cell>
          <cell r="D575" t="str">
            <v>UN</v>
          </cell>
          <cell r="E575">
            <v>59292</v>
          </cell>
        </row>
        <row r="576">
          <cell r="B576">
            <v>4086</v>
          </cell>
          <cell r="C576" t="str">
            <v>PIEZA REMATE A105 PARA RAMPA TIPO A (Suministro e Instalación. No Incluye material de base)</v>
          </cell>
          <cell r="D576" t="str">
            <v>UN</v>
          </cell>
          <cell r="E576">
            <v>55615</v>
          </cell>
        </row>
        <row r="577">
          <cell r="B577">
            <v>4087</v>
          </cell>
          <cell r="C577" t="str">
            <v>PIEZA REMATE A105 PARA RAMPA TIPO A (Suministro e Instalación. Incluye 3cm Mortero 1:5)</v>
          </cell>
          <cell r="D577" t="str">
            <v>UN</v>
          </cell>
          <cell r="E577">
            <v>58035</v>
          </cell>
        </row>
        <row r="578">
          <cell r="B578">
            <v>4088</v>
          </cell>
          <cell r="C578" t="str">
            <v>SARDINEL BAJO A85 PARA RAMPAS (Suministro e Instalación. Incluye 3cm Mortero 2000 PSI)</v>
          </cell>
          <cell r="D578" t="str">
            <v>M</v>
          </cell>
          <cell r="E578">
            <v>36261</v>
          </cell>
        </row>
        <row r="579">
          <cell r="B579">
            <v>4089</v>
          </cell>
          <cell r="C579" t="str">
            <v>SARDINEL BAJO A85 PARA RAMPAS (Suministro e Instalación. Incluye 3cm Mortero 1:5)</v>
          </cell>
          <cell r="D579" t="str">
            <v>M</v>
          </cell>
          <cell r="E579">
            <v>35485</v>
          </cell>
        </row>
        <row r="580">
          <cell r="B580">
            <v>4090</v>
          </cell>
          <cell r="C580" t="str">
            <v>SARDINEL BAJO A85 PARA RAMPAS (Suministro e Instalación. No Incluye material de base)</v>
          </cell>
          <cell r="D580" t="str">
            <v>M</v>
          </cell>
          <cell r="E580">
            <v>33993</v>
          </cell>
        </row>
        <row r="581">
          <cell r="B581">
            <v>4091</v>
          </cell>
          <cell r="C581" t="str">
            <v>RAMPA TIPO A (B10) (Base en Mortero 2000 PSI, Desarrollo: 1 m.</v>
          </cell>
          <cell r="D581" t="str">
            <v>UN</v>
          </cell>
          <cell r="E581">
            <v>523724</v>
          </cell>
        </row>
        <row r="582">
          <cell r="B582">
            <v>4100</v>
          </cell>
          <cell r="C582" t="str">
            <v>TALA DE ARBOLES CLASE V (H&gt;30m. Incluye Desenraíce, Cargue, Transporte y Disposición Final)</v>
          </cell>
          <cell r="D582" t="str">
            <v>UN</v>
          </cell>
          <cell r="E582">
            <v>625329</v>
          </cell>
        </row>
        <row r="583">
          <cell r="B583">
            <v>4101</v>
          </cell>
          <cell r="C583" t="str">
            <v>TALA DE ARBOLES CLASE II (5m &lt; H &lt; 10m. Incluye Desenraíce, Retiro y Disposición Final)</v>
          </cell>
          <cell r="D583" t="str">
            <v>UN</v>
          </cell>
          <cell r="E583">
            <v>219017</v>
          </cell>
        </row>
        <row r="584">
          <cell r="B584">
            <v>4102</v>
          </cell>
          <cell r="C584" t="str">
            <v>3  DUCTOS D=4"  Y 3 DUCTOS D=3" PVC-TDP (Incluye Suministro e Instalación. No Incluye Rellenos) NORMA CS214</v>
          </cell>
          <cell r="D584" t="str">
            <v>M</v>
          </cell>
          <cell r="E584">
            <v>74800</v>
          </cell>
        </row>
        <row r="585">
          <cell r="B585">
            <v>4103</v>
          </cell>
          <cell r="C585" t="str">
            <v>6  DUCTOS D=4" PVC-TDP (Incluye Suministro e Instalación. No Incluye Rellenos) NORMA CS210.</v>
          </cell>
          <cell r="D585" t="str">
            <v>M</v>
          </cell>
          <cell r="E585">
            <v>82490</v>
          </cell>
        </row>
        <row r="586">
          <cell r="B586">
            <v>4104</v>
          </cell>
          <cell r="C586" t="str">
            <v>CAJA DE INSPECCIÓN PARA ALUMBRADO PÚBLICO NORMA CODENSA CS 274  (Anden. Incluye Base, Muros, Pañete, Marco y Tapa). Medidas Externas: 0.90 x 0.90m. Medidas Internas: 0.60 x 0.60m. Altura: 0.93m.</v>
          </cell>
          <cell r="D586" t="str">
            <v>UN</v>
          </cell>
          <cell r="E586">
            <v>400080</v>
          </cell>
        </row>
        <row r="587">
          <cell r="B587">
            <v>4105</v>
          </cell>
          <cell r="C587" t="str">
            <v>CAJA DE INSPECCIÓN SENCILLA PARA CANALIZACIÓN NORMA CODENSA CS 275  (ZVerde. Incluye Base, Muros, Pañete, Marco y Tapa). Medidas Externas: 1.49 x 0.99m. Medidas Internas: 1.19 x 0.69m. Altura: 1.37m.</v>
          </cell>
          <cell r="D587" t="str">
            <v>UN</v>
          </cell>
          <cell r="E587">
            <v>717990</v>
          </cell>
        </row>
        <row r="588">
          <cell r="B588">
            <v>4106</v>
          </cell>
          <cell r="C588" t="str">
            <v>CAJA DE INSPECCIÓN SENCILLA PARA CANALIZACIÓN NORMA CODENSA CS 275  (Anden. Incluye Base, Muros, Pañete, Marco y Tapa). Medidas Externas: 1.49 x 0.99m. Medidas Internas: 1.19 x 0.69m. Altura: 1.37m.</v>
          </cell>
          <cell r="D588" t="str">
            <v>UN</v>
          </cell>
          <cell r="E588">
            <v>699270</v>
          </cell>
        </row>
        <row r="589">
          <cell r="B589">
            <v>4107</v>
          </cell>
          <cell r="C589" t="str">
            <v>CAJA DE INSPECCIÓN DOBLE PARA CANALIZACIÓN NORMA CODENSA CS 276  (ZVerde. Incluye Base, Muros, Pañete, Marco y Tapas). Medidas Externas: 1.79 x 1.49m. Medidas Internas: 1.49 x 1.19m. Altura: 1.22m.</v>
          </cell>
          <cell r="D589" t="str">
            <v>UN</v>
          </cell>
          <cell r="E589">
            <v>1031857</v>
          </cell>
        </row>
        <row r="590">
          <cell r="B590">
            <v>4108</v>
          </cell>
          <cell r="C590" t="str">
            <v>CAJA DE INSPECCIÓN DOBLE PARA CANALIZACIÓN NORMA CODENSA CS 276  (Anden. Incluye Base, Muros, Pañete, Marco y Tapas). Medidas Externas: 1.79 x 1.49m. Medidas Internas: 1.49 x 1.19m. Altura: 1.22m.</v>
          </cell>
          <cell r="D590" t="str">
            <v>UN</v>
          </cell>
          <cell r="E590">
            <v>977457</v>
          </cell>
        </row>
        <row r="591">
          <cell r="B591">
            <v>4110</v>
          </cell>
          <cell r="C591" t="str">
            <v>CAJA DE INSPECCIÓN TRIPLE PARA CANALIZACIÓN NORMA CODENSA CS 277  (Incluye Base, Muros, Pañete, Marcos y Tapas). Medidas Externas: 2.59 x 1.69m. Medidas Internas: 2.29 x 1.19m. Altura: 1.37m.</v>
          </cell>
          <cell r="D591" t="str">
            <v>UN</v>
          </cell>
          <cell r="E591">
            <v>1799431</v>
          </cell>
        </row>
        <row r="592">
          <cell r="B592">
            <v>4111</v>
          </cell>
          <cell r="C592" t="str">
            <v>MORTERO 1:4 IMPERMEABILIZADO (Hecho en Obra)</v>
          </cell>
          <cell r="D592" t="str">
            <v>M3</v>
          </cell>
          <cell r="E592">
            <v>357948</v>
          </cell>
        </row>
        <row r="593">
          <cell r="B593">
            <v>4113</v>
          </cell>
          <cell r="C593" t="str">
            <v>CIMENTACION DE POSTES H=10m, CR=1050Kg (Incluye Izaje, Aplomado e Hincado. Incluye Rellenos) NORMA LA009.</v>
          </cell>
          <cell r="D593" t="str">
            <v>UN</v>
          </cell>
          <cell r="E593">
            <v>346336</v>
          </cell>
        </row>
        <row r="594">
          <cell r="B594">
            <v>4114</v>
          </cell>
          <cell r="C594" t="str">
            <v>CIMENTACION DE POSTES H=12m, CR=510Kg (Incluye Izaje, Aplomado e Hincado. Incluye Rellenos) NORMA LA009.</v>
          </cell>
          <cell r="D594" t="str">
            <v>UN</v>
          </cell>
          <cell r="E594">
            <v>295797</v>
          </cell>
        </row>
        <row r="595">
          <cell r="B595">
            <v>4115</v>
          </cell>
          <cell r="C595" t="str">
            <v>CIMENTACION DE POSTES H=12m, CR=750Kg (Incluye Izaje, Aplomado e Hincado. Incluye Rellenos) NORMA LA009.</v>
          </cell>
          <cell r="D595" t="str">
            <v>UN</v>
          </cell>
          <cell r="E595">
            <v>315381</v>
          </cell>
        </row>
        <row r="596">
          <cell r="B596">
            <v>4116</v>
          </cell>
          <cell r="C596" t="str">
            <v>CIMENTACION DE POSTES H=12m, CR=1050Kg (Incluye Izaje, Aplomado e Hincado. Incluye Rellenos) NORMA LA009.</v>
          </cell>
          <cell r="D596" t="str">
            <v>UN</v>
          </cell>
          <cell r="E596">
            <v>355812</v>
          </cell>
        </row>
        <row r="597">
          <cell r="B597">
            <v>4117</v>
          </cell>
          <cell r="C597" t="str">
            <v>CIMENTACION DE POSTES H=12m, CR=1350Kg (Incluye Izaje, Aplomado e Hincado. Incluye Rellenos) NORMA LA009.</v>
          </cell>
          <cell r="D597" t="str">
            <v>UN</v>
          </cell>
          <cell r="E597">
            <v>376027</v>
          </cell>
        </row>
        <row r="598">
          <cell r="B598">
            <v>4118</v>
          </cell>
          <cell r="C598" t="str">
            <v>CIMENTACION DE POSTES H=14m, CR=750Kg (Incluye Izaje, Aplomado e Hincado. Incluye Rellenos) NORMA LA009.</v>
          </cell>
          <cell r="D598" t="str">
            <v>UN</v>
          </cell>
          <cell r="E598">
            <v>320435</v>
          </cell>
        </row>
        <row r="599">
          <cell r="B599">
            <v>4119</v>
          </cell>
          <cell r="C599" t="str">
            <v>CIMENTACION DE POSTES H=14m, CR=1050Kg (Incluye Izaje, Aplomado e Hincado. Incluye Rellenos) NORMA LA009.</v>
          </cell>
          <cell r="D599" t="str">
            <v>UN</v>
          </cell>
          <cell r="E599">
            <v>365919</v>
          </cell>
        </row>
        <row r="600">
          <cell r="B600">
            <v>4120</v>
          </cell>
          <cell r="C600" t="str">
            <v>CIMENTACION DE POSTES H=14m, CR=1350Kg (Incluye Izaje, Aplomado e Hincado. Incluye Rellenos) NORMA LA009.</v>
          </cell>
          <cell r="D600" t="str">
            <v>UN</v>
          </cell>
          <cell r="E600">
            <v>388030</v>
          </cell>
        </row>
        <row r="601">
          <cell r="B601">
            <v>4121</v>
          </cell>
          <cell r="C601" t="str">
            <v>CIMENTACION DE POSTES H=10m, CR=750Kg (Incluye Izaje, Aplomado e Hincado. Incluye Rellenos) NORMA LA009.</v>
          </cell>
          <cell r="D601" t="str">
            <v>UN</v>
          </cell>
          <cell r="E601">
            <v>309064</v>
          </cell>
        </row>
        <row r="602">
          <cell r="B602">
            <v>4122</v>
          </cell>
          <cell r="C602" t="str">
            <v>CIMENTACION DE POSTES H=10m, CR=510Kg (Incluye Izaje, Aplomado e Hincado. Incluye Rellenos) NORMA LA009.</v>
          </cell>
          <cell r="D602" t="str">
            <v>UN</v>
          </cell>
          <cell r="E602">
            <v>292639</v>
          </cell>
        </row>
        <row r="603">
          <cell r="B603">
            <v>4123</v>
          </cell>
          <cell r="C603" t="str">
            <v>CIMENTACION DE POSTES H=8m, CR=750Kg (Incluye Izaje, Aplomado e Hincado. Incluye Rellenos) NORMA LA009.</v>
          </cell>
          <cell r="D603" t="str">
            <v>UN</v>
          </cell>
          <cell r="E603">
            <v>303378</v>
          </cell>
        </row>
        <row r="604">
          <cell r="B604">
            <v>4124</v>
          </cell>
          <cell r="C604" t="str">
            <v>CIMENTACION DE POSTES H=8m, CR=1050Kg (Incluye Izaje, Aplomado e Hincado. Incluye Rellenos) NORMA LA009.</v>
          </cell>
          <cell r="D604" t="str">
            <v>UN</v>
          </cell>
          <cell r="E604">
            <v>336228</v>
          </cell>
        </row>
        <row r="605">
          <cell r="B605">
            <v>4125</v>
          </cell>
          <cell r="C605" t="str">
            <v>BASE EN CONCRETO 3000 PSI PARA POSTE METALICO H=12m (Incluye Suministro y Construcción. Incluye Refuerzo) NORMA AP802.</v>
          </cell>
          <cell r="D605" t="str">
            <v>UN</v>
          </cell>
          <cell r="E605">
            <v>190010</v>
          </cell>
        </row>
        <row r="606">
          <cell r="B606">
            <v>4126</v>
          </cell>
          <cell r="C606" t="str">
            <v>BASE EN CONCRETO 3000 PSI PARA POSTE METALICO H=8, 9 y 10m (Inc. Suministro y Construcción. Inc. Refuerzo)  NORMA AP802.</v>
          </cell>
          <cell r="D606" t="str">
            <v>UN</v>
          </cell>
          <cell r="E606">
            <v>170254</v>
          </cell>
        </row>
        <row r="607">
          <cell r="B607">
            <v>4127</v>
          </cell>
          <cell r="C607" t="str">
            <v>BASE EN CONCRETO 3000 PSI PARA POSTE METALICO H=14m (Incluye Suministro y Construcción. Incluye Refuerzo) NORMA AP802.</v>
          </cell>
          <cell r="D607" t="str">
            <v>UN</v>
          </cell>
          <cell r="E607">
            <v>252502</v>
          </cell>
        </row>
        <row r="608">
          <cell r="B608">
            <v>4128</v>
          </cell>
          <cell r="C608" t="str">
            <v>4 DUCTOS D=4" PVC-TDP (Incluye Suministro e Instalación. No Incluye Rellenos)</v>
          </cell>
          <cell r="D608" t="str">
            <v>M</v>
          </cell>
          <cell r="E608">
            <v>55881</v>
          </cell>
        </row>
        <row r="609">
          <cell r="B609">
            <v>4129</v>
          </cell>
          <cell r="C609" t="str">
            <v>8 DUCTOS D=4" PVC-TDP (Incluye Suministro e Instalación)</v>
          </cell>
          <cell r="D609" t="str">
            <v>M</v>
          </cell>
          <cell r="E609">
            <v>112979</v>
          </cell>
        </row>
        <row r="610">
          <cell r="B610">
            <v>4130</v>
          </cell>
          <cell r="C610" t="str">
            <v>CAJA DE PASO SENCILLA ANDEN CONCRETO ETB (Incluye Base, Muros, Pañete, Bordillo Perimetral, Marco y Tapa). Medidas Externas: 0.90 x 0.79m. Medidas Internas 0.60x0.50m. Altura: 0.96m.</v>
          </cell>
          <cell r="D610" t="str">
            <v>UN</v>
          </cell>
          <cell r="E610">
            <v>402404</v>
          </cell>
        </row>
        <row r="611">
          <cell r="B611">
            <v>4131</v>
          </cell>
          <cell r="C611" t="str">
            <v>CAJA DE PASO DOBLE ANDEN CONCRETO ETB (Incluye Base, Muros, Pañete, Bordillo Perimetral, Marco y Tapa). Medidas Externas 1.36 x 0.89m. Medidas Internas: 1.06 x 0.60m. Altura: 0.96m.</v>
          </cell>
          <cell r="D611" t="str">
            <v>UN</v>
          </cell>
          <cell r="E611">
            <v>657628</v>
          </cell>
        </row>
        <row r="612">
          <cell r="B612">
            <v>4132</v>
          </cell>
          <cell r="C612" t="str">
            <v>CAJA DE PASO SENCILLA EN CALZADA ETB (Incluye Base, Muros, Pañete, Bordillo Perimetral, Marco y Tapa).  Medidas Externas: 1.10 x 1.00m. Medidas Internas 0.60x0.50m. Altura: 1.33m.</v>
          </cell>
          <cell r="D612" t="str">
            <v>UN</v>
          </cell>
          <cell r="E612">
            <v>756966</v>
          </cell>
        </row>
        <row r="613">
          <cell r="B613">
            <v>4133</v>
          </cell>
          <cell r="C613" t="str">
            <v>CAJA DE PASO DOBLE EN CALZADA ETB (Incluye Base, Muros, Pañete, Bordillo Perimetral, Marco y Tapa). Medidas Externas: 1.80 x 1.01m. Medidas Internas: 1.30 x 0.50m. Altura: 1.33m.</v>
          </cell>
          <cell r="D613" t="str">
            <v>UN</v>
          </cell>
          <cell r="E613">
            <v>1026601</v>
          </cell>
        </row>
        <row r="614">
          <cell r="B614">
            <v>4134</v>
          </cell>
          <cell r="C614" t="str">
            <v>GROUTING 2000 PSI (Incluye Suministro y Colocación)</v>
          </cell>
          <cell r="D614" t="str">
            <v>M3</v>
          </cell>
          <cell r="E614">
            <v>411856</v>
          </cell>
        </row>
        <row r="615">
          <cell r="B615">
            <v>4135</v>
          </cell>
          <cell r="C615" t="str">
            <v>GROUTING 2500 PSI (Incluye Suministro y Colocación)</v>
          </cell>
          <cell r="D615" t="str">
            <v>M3</v>
          </cell>
          <cell r="E615">
            <v>425664</v>
          </cell>
        </row>
        <row r="616">
          <cell r="B616">
            <v>4136</v>
          </cell>
          <cell r="C616" t="str">
            <v>UNION PVC D=1/2" TIPO U.S. (Suministro e Instalación)</v>
          </cell>
          <cell r="D616" t="str">
            <v>UN</v>
          </cell>
          <cell r="E616">
            <v>3975</v>
          </cell>
        </row>
        <row r="617">
          <cell r="B617">
            <v>4137</v>
          </cell>
          <cell r="C617" t="str">
            <v>ADOQUIN DE CONCRETO COLOR 20x10x8cm (Suministro e Instalación. Incluye Base 4cm Arena Nivelación y Arena de Sello)</v>
          </cell>
          <cell r="D617" t="str">
            <v>M2</v>
          </cell>
          <cell r="E617">
            <v>71745</v>
          </cell>
        </row>
        <row r="618">
          <cell r="B618">
            <v>4138</v>
          </cell>
          <cell r="C618" t="str">
            <v>UNION DE REPARACION HD EL D=3" (Suministro e Instalación)</v>
          </cell>
          <cell r="D618" t="str">
            <v>UN</v>
          </cell>
          <cell r="E618">
            <v>140043</v>
          </cell>
        </row>
        <row r="619">
          <cell r="B619">
            <v>4140</v>
          </cell>
          <cell r="C619" t="str">
            <v>BASE GRANULAR BG-A (Suministro, Extendido, Nivelación, Humedecimiento y Compactación con vibrocompactador Benitin de 1 tonelada)</v>
          </cell>
          <cell r="D619" t="str">
            <v>M3</v>
          </cell>
          <cell r="E619">
            <v>134905</v>
          </cell>
        </row>
        <row r="620">
          <cell r="B620">
            <v>4142</v>
          </cell>
          <cell r="C620" t="str">
            <v>SUBBASE GRANULAR SBG-A (Suministro, Extendido, Nivelación, Humedecimiento y Compactación con vibrocompactador)</v>
          </cell>
          <cell r="D620" t="str">
            <v>M3</v>
          </cell>
          <cell r="E620">
            <v>122485</v>
          </cell>
        </row>
        <row r="621">
          <cell r="B621">
            <v>4143</v>
          </cell>
          <cell r="C621" t="str">
            <v>TUBERIA PVC SANITARIA D=4" TIPO U.S. (Incluye Suministro e Instalación)</v>
          </cell>
          <cell r="D621" t="str">
            <v>M</v>
          </cell>
          <cell r="E621">
            <v>26459</v>
          </cell>
        </row>
        <row r="622">
          <cell r="B622">
            <v>4144</v>
          </cell>
          <cell r="C622" t="str">
            <v>TUBERIA PVC SANITARIA D=6" TIPO U.S. (Incluye Suministro e Instalación)</v>
          </cell>
          <cell r="D622" t="str">
            <v>M</v>
          </cell>
          <cell r="E622">
            <v>53658</v>
          </cell>
        </row>
        <row r="623">
          <cell r="B623">
            <v>4145</v>
          </cell>
          <cell r="C623" t="str">
            <v>TUBERIA PVC PARA DRENAJE D=8" CON FILTRO (Incluye Suministro e Instalación)</v>
          </cell>
          <cell r="D623" t="str">
            <v>M</v>
          </cell>
          <cell r="E623">
            <v>69690</v>
          </cell>
        </row>
        <row r="624">
          <cell r="B624">
            <v>4146</v>
          </cell>
          <cell r="C624" t="str">
            <v>TUBERIA PVC PARA DRENAJE D=8" SIN FILTRO (Incluye Suministro e Instalación)</v>
          </cell>
          <cell r="D624" t="str">
            <v>M</v>
          </cell>
          <cell r="E624">
            <v>53388</v>
          </cell>
        </row>
        <row r="625">
          <cell r="B625">
            <v>4154</v>
          </cell>
          <cell r="C625" t="str">
            <v>DESCAPOTE A MAQUINA EN MATERIAL COMUN (e=0.1m. Incluye Cargue)</v>
          </cell>
          <cell r="D625" t="str">
            <v>M2</v>
          </cell>
          <cell r="E625">
            <v>731</v>
          </cell>
        </row>
        <row r="626">
          <cell r="B626">
            <v>4155</v>
          </cell>
          <cell r="C626" t="str">
            <v>EXCAVACION MECANICA EN ROCA (Incluye Cargue)</v>
          </cell>
          <cell r="D626" t="str">
            <v>M3</v>
          </cell>
          <cell r="E626">
            <v>66579</v>
          </cell>
        </row>
        <row r="627">
          <cell r="B627">
            <v>4156</v>
          </cell>
          <cell r="C627" t="str">
            <v>BASE GRANULAR CLASE C (BG_C) (Suministro, Extendido, Nivelación, Humedecimiento y Compactación con vibrocompactador)</v>
          </cell>
          <cell r="D627" t="str">
            <v>M3</v>
          </cell>
          <cell r="E627">
            <v>112651</v>
          </cell>
        </row>
        <row r="628">
          <cell r="B628">
            <v>4157</v>
          </cell>
          <cell r="C628" t="str">
            <v>BASE GRANULAR CLASE B (BG_B) (Suministro, Extendido, Nivelación, Humedecimiento y Compactación con vibrocompactador)</v>
          </cell>
          <cell r="D628" t="str">
            <v>M3</v>
          </cell>
          <cell r="E628">
            <v>112651</v>
          </cell>
        </row>
        <row r="629">
          <cell r="B629">
            <v>4158</v>
          </cell>
          <cell r="C629" t="str">
            <v>BASE GRANULAR CLASE A (BG_A) (Suministro, Extendido, Nivelación, Humedecimiento y Compactación con vibrocompactador)</v>
          </cell>
          <cell r="D629" t="str">
            <v>M3</v>
          </cell>
          <cell r="E629">
            <v>116673</v>
          </cell>
        </row>
        <row r="630">
          <cell r="B630">
            <v>4159</v>
          </cell>
          <cell r="C630" t="str">
            <v>SUBBASE GRANULAR CLASE C (SBG_C) (Suministro, Extendido, Nivelación, Humedecimiento y Compactación con vibrocompactador)</v>
          </cell>
          <cell r="D630" t="str">
            <v>M3</v>
          </cell>
          <cell r="E630">
            <v>106308</v>
          </cell>
        </row>
        <row r="631">
          <cell r="B631">
            <v>4160</v>
          </cell>
          <cell r="C631" t="str">
            <v>SUBBASE GRANULAR CLASE B (SBG_B) (Suministro, Extendido, Nivelación, Humedecimiento y Compactación con vibrocompactador)</v>
          </cell>
          <cell r="D631" t="str">
            <v>M3</v>
          </cell>
          <cell r="E631">
            <v>109402</v>
          </cell>
        </row>
        <row r="632">
          <cell r="B632">
            <v>4161</v>
          </cell>
          <cell r="C632" t="str">
            <v>SUBBASE GRANULAR CLASE A (SBG_A) (Suministro, Extendido, Nivelación, Humedecimiento y Compactación con vibrocompactador)</v>
          </cell>
          <cell r="D632" t="str">
            <v>M3</v>
          </cell>
          <cell r="E632">
            <v>109402</v>
          </cell>
        </row>
        <row r="633">
          <cell r="B633">
            <v>4195</v>
          </cell>
          <cell r="C633" t="str">
            <v>AGREGADO PÉTREO DE PROTECCIÓN. (Suministro y Extendido)</v>
          </cell>
          <cell r="D633" t="str">
            <v>M2</v>
          </cell>
          <cell r="E633">
            <v>416</v>
          </cell>
        </row>
        <row r="634">
          <cell r="B634">
            <v>4197</v>
          </cell>
          <cell r="C634" t="str">
            <v>RIEGO DE LIGA CON EMULSION MODIFICADA CON POLIMEROS CRR-1m (Suministro, Barrido Superficie y Riego)</v>
          </cell>
          <cell r="D634" t="str">
            <v>M2</v>
          </cell>
          <cell r="E634">
            <v>1732</v>
          </cell>
        </row>
        <row r="635">
          <cell r="B635">
            <v>4198</v>
          </cell>
          <cell r="C635" t="str">
            <v>RIEGO DE LIGA CON EMULSION MODIFICADA CON POLIMEROS CRR-2m (Suministro, Barrido Superficie y Riego)</v>
          </cell>
          <cell r="D635" t="str">
            <v>M2</v>
          </cell>
          <cell r="E635">
            <v>1787</v>
          </cell>
        </row>
        <row r="636">
          <cell r="B636">
            <v>4200</v>
          </cell>
          <cell r="C636" t="str">
            <v>MEZCLA ASFÁLTICA EN CALIENTE TIPO DENSO MD20 ASFALTO CONVENCIONAL 60-70 (Suministro, Extendido, Nivelación y Compactación con vibrocompactador y compactador de llantas)</v>
          </cell>
          <cell r="D636" t="str">
            <v>M3</v>
          </cell>
          <cell r="E636">
            <v>590459</v>
          </cell>
        </row>
        <row r="637">
          <cell r="B637">
            <v>4203</v>
          </cell>
          <cell r="C637" t="str">
            <v>MEZCLA ASFÁLTICA EN CALIENTE TIPO DENSO MD12 ASFALTO CONVENCIONAL 80-100  (cemento asfáltico 80-100) (Suministro, Extendido, Nivelación y Compactación con Vibrocompactador y compactador de llantas)</v>
          </cell>
          <cell r="D637" t="str">
            <v>M3</v>
          </cell>
          <cell r="E637">
            <v>664181</v>
          </cell>
        </row>
        <row r="638">
          <cell r="B638">
            <v>4207</v>
          </cell>
          <cell r="C638" t="str">
            <v>MEZCLA ASFÁLTICA EN CALIENTE TIPO DENSO MD10 ASFALTO CONVENCIONAL (Cemento asfáltico 80-100) (Suministro, Extendido, Nivelación y Compactación con vibrocompactador y compactador de llantas)</v>
          </cell>
          <cell r="D638" t="str">
            <v>M3</v>
          </cell>
          <cell r="E638">
            <v>685258</v>
          </cell>
        </row>
        <row r="639">
          <cell r="B639">
            <v>4229</v>
          </cell>
          <cell r="C639" t="str">
            <v>LOSA DE CONCRETO MR39 (Suministro, Formaleteado, Colocación y Acabado. No Incluye Acero, Curado, Juntas)</v>
          </cell>
          <cell r="D639" t="str">
            <v>M3</v>
          </cell>
          <cell r="E639">
            <v>484001</v>
          </cell>
        </row>
        <row r="640">
          <cell r="B640">
            <v>4230</v>
          </cell>
          <cell r="C640" t="str">
            <v>LOSA DE CONCRETO MR36 (Suministro, Formaleteado, Colocación y Acabado. No Incluye Acero, Curado, Juntas)</v>
          </cell>
          <cell r="D640" t="str">
            <v>M3</v>
          </cell>
          <cell r="E640">
            <v>481378</v>
          </cell>
        </row>
        <row r="641">
          <cell r="B641">
            <v>4232</v>
          </cell>
          <cell r="C641" t="str">
            <v>MALLA ELECTROSOLDADA 0.15x0.15m, D=5mm, 5mm (Incluye Suministro, Fijación e Instalación)</v>
          </cell>
          <cell r="D641" t="str">
            <v>KG</v>
          </cell>
          <cell r="E641">
            <v>3784</v>
          </cell>
        </row>
        <row r="642">
          <cell r="B642">
            <v>4233</v>
          </cell>
          <cell r="C642" t="str">
            <v>MALLA ELECTROSOLDADA 0.15x0.15m, D=6mm, 6mm (Incluye Suministro, Fijación e Instalación)</v>
          </cell>
          <cell r="D642" t="str">
            <v>KG</v>
          </cell>
          <cell r="E642">
            <v>3784</v>
          </cell>
        </row>
        <row r="643">
          <cell r="B643">
            <v>4234</v>
          </cell>
          <cell r="C643" t="str">
            <v>MALLA ELECTROSOLDADA 0.15x0.15m, D=7mm, 7mm (Incluye Suministro, Fijación e Instalación)</v>
          </cell>
          <cell r="D643" t="str">
            <v>KG</v>
          </cell>
          <cell r="E643">
            <v>3784</v>
          </cell>
        </row>
        <row r="644">
          <cell r="B644">
            <v>4235</v>
          </cell>
          <cell r="C644" t="str">
            <v>MALLA ELECTROSOLDADA 0.15x0.15m, D=8mm, 8mm (Incluye Suministro, Fijación e Instalación)</v>
          </cell>
          <cell r="D644" t="str">
            <v>KG</v>
          </cell>
          <cell r="E644">
            <v>3784</v>
          </cell>
        </row>
        <row r="645">
          <cell r="B645">
            <v>4236</v>
          </cell>
          <cell r="C645" t="str">
            <v>MALLA ELECTROSOLDADA 0.15x0.15m, D=4mm, 4mm (Incluye Suministro, Fijación e Instalación)</v>
          </cell>
          <cell r="D645" t="str">
            <v>KG</v>
          </cell>
          <cell r="E645">
            <v>3784</v>
          </cell>
        </row>
        <row r="646">
          <cell r="B646">
            <v>4237</v>
          </cell>
          <cell r="C646" t="str">
            <v>MALLA ELECTROSOLDADA 0.20x0.20m, D=4mm, 4mm (Incluye Suministro, Fijación e Instalación)</v>
          </cell>
          <cell r="D646" t="str">
            <v>KG</v>
          </cell>
          <cell r="E646">
            <v>3784</v>
          </cell>
        </row>
        <row r="647">
          <cell r="B647">
            <v>4238</v>
          </cell>
          <cell r="C647" t="str">
            <v>MALLA ELECTROSOLDADA 0.25x0.25m, D=4mm, 4mm (Incluye Suministro, Fijación e Instalación)</v>
          </cell>
          <cell r="D647" t="str">
            <v>KG</v>
          </cell>
          <cell r="E647">
            <v>3784</v>
          </cell>
        </row>
        <row r="648">
          <cell r="B648">
            <v>4239</v>
          </cell>
          <cell r="C648" t="str">
            <v>CORTE Y AMPLIACIÓN DE JUNTA EN PAVIMENTO DE CONCRETO HIDRAULICO</v>
          </cell>
          <cell r="D648" t="str">
            <v>M</v>
          </cell>
          <cell r="E648">
            <v>3935</v>
          </cell>
        </row>
        <row r="649">
          <cell r="B649">
            <v>4240</v>
          </cell>
          <cell r="C649" t="str">
            <v>DEMARCACION LINEA CONTINUA A=0.12m (e=2.3mm,Termoplástica. Inc. Suministro y Aplicación con Equipo. Incl. Microesferas)</v>
          </cell>
          <cell r="D649" t="str">
            <v>M</v>
          </cell>
          <cell r="E649">
            <v>13138</v>
          </cell>
        </row>
        <row r="650">
          <cell r="B650">
            <v>4241</v>
          </cell>
          <cell r="C650" t="str">
            <v>DEMARCACION LINEA DISCONTINUA A=0.12m (e=2.3mm,Termoplástica. Inc. Suministro y Aplicación con Equipo. Incl. Microesfera</v>
          </cell>
          <cell r="D650" t="str">
            <v>M</v>
          </cell>
          <cell r="E650">
            <v>13138</v>
          </cell>
        </row>
        <row r="651">
          <cell r="B651">
            <v>4242</v>
          </cell>
          <cell r="C651" t="str">
            <v>DEMARCACION LINEA CONTINUA A=0.15m (e=2.3mm,Termoplástica. Inc. Suministro y Aplicación con Equipo. Incl. Microesferas)</v>
          </cell>
          <cell r="D651" t="str">
            <v>M</v>
          </cell>
          <cell r="E651">
            <v>16422</v>
          </cell>
        </row>
        <row r="652">
          <cell r="B652">
            <v>4243</v>
          </cell>
          <cell r="C652" t="str">
            <v>DEMARCACION LINEA DISCONTINUA A=0.15m (e=2.3mm,Termoplástica. Inc. Suministro y Aplicación con Equipo. Inc Microesferas)</v>
          </cell>
          <cell r="D652" t="str">
            <v>M</v>
          </cell>
          <cell r="E652">
            <v>16422</v>
          </cell>
        </row>
        <row r="653">
          <cell r="B653">
            <v>4244</v>
          </cell>
          <cell r="C653" t="str">
            <v>FLECHA DIRECCIONAL "A LA DERECHA" (e=2.3mm,Termoplástica. Inc. Suministro y Aplicación con Equipo. Inc Microesferas). Marca Vial para velocidades menores o iguales a 60 Km/h Area de la Marca: 1.51m2</v>
          </cell>
          <cell r="D653" t="str">
            <v>UN</v>
          </cell>
          <cell r="E653">
            <v>165315</v>
          </cell>
        </row>
        <row r="654">
          <cell r="B654">
            <v>4245</v>
          </cell>
          <cell r="C654" t="str">
            <v>FLECHA DIRECCIONAL "DE FRENTE A LA DERECHA" (e=2.3mm,Termoplástica. Inc. Sumin. y Aplic. con Equipo. Inc. Microesferas). Marca Vial para velocidades menores o iguales a 60 Km/h Area de la Marca: 2.18m2</v>
          </cell>
          <cell r="D654" t="str">
            <v>UN</v>
          </cell>
          <cell r="E654">
            <v>238666</v>
          </cell>
        </row>
        <row r="655">
          <cell r="B655">
            <v>4246</v>
          </cell>
          <cell r="C655" t="str">
            <v>FLECHA DIRECCIONAL "DE FRENTE" (e=2.3mm,Termoplástica. Inc. Suministro y Aplicación con Equipo. Inc Microesferas). Marca Vial para velocidades menores o iguales a 60 Km/h Area de la Marca: 1.20 m2.</v>
          </cell>
          <cell r="D655" t="str">
            <v>UN</v>
          </cell>
          <cell r="E655">
            <v>131376</v>
          </cell>
        </row>
        <row r="656">
          <cell r="B656">
            <v>4247</v>
          </cell>
          <cell r="C656" t="str">
            <v>PINTURA TERMOPLASTICA (e=2.3mm. Incluye Suministro y Aplicación con Equipo. Incluye Microesferas)</v>
          </cell>
          <cell r="D656" t="str">
            <v>M2</v>
          </cell>
          <cell r="E656">
            <v>109480</v>
          </cell>
        </row>
        <row r="657">
          <cell r="B657">
            <v>4248</v>
          </cell>
          <cell r="C657" t="str">
            <v>DEMARCACION PASO PEATONAL-CEBRA (e=2.3mm,Termoplástica. Inc. Suministro y Aplicación con Equipo. Inc Microesferas)</v>
          </cell>
          <cell r="D657" t="str">
            <v>M2</v>
          </cell>
          <cell r="E657">
            <v>109480</v>
          </cell>
        </row>
        <row r="658">
          <cell r="B658">
            <v>4249</v>
          </cell>
          <cell r="C658" t="str">
            <v>DEMARCACION PASO PEATONAL-LINEA CONT. A=0.15m (e=2.3mm,Termoplástica. Inc. Sumin. y Aplic. con Equipo. Inc Microesferas)</v>
          </cell>
          <cell r="D658" t="str">
            <v>M</v>
          </cell>
          <cell r="E658">
            <v>16422</v>
          </cell>
        </row>
        <row r="659">
          <cell r="B659">
            <v>4252</v>
          </cell>
          <cell r="C659" t="str">
            <v>PLACA CUBIERTA D=1.70m POZO INSPEC. (Fundida en Sitio. Inc. Sum, Formalet., Refuerzo e Inst. Incl.Tapa en Polipropileno)</v>
          </cell>
          <cell r="D659" t="str">
            <v>UN</v>
          </cell>
          <cell r="E659">
            <v>1976581</v>
          </cell>
        </row>
        <row r="660">
          <cell r="B660">
            <v>4253</v>
          </cell>
          <cell r="C660" t="str">
            <v>PLACA CUBIERTA D=1.70m POZO INSPEC. (Fundida en Sitio. Inc. Sumin, Formalet., Refuerzo e Inst. Inc. Tapa en Concreto)</v>
          </cell>
          <cell r="D660" t="str">
            <v>UN</v>
          </cell>
          <cell r="E660">
            <v>514712</v>
          </cell>
        </row>
        <row r="661">
          <cell r="B661">
            <v>4261</v>
          </cell>
          <cell r="C661" t="str">
            <v>MORTERO 1:3 IMPERMEABILIZADO (Hecho en Obra)</v>
          </cell>
          <cell r="D661" t="str">
            <v>M3</v>
          </cell>
          <cell r="E661">
            <v>416742</v>
          </cell>
        </row>
        <row r="662">
          <cell r="B662">
            <v>4262</v>
          </cell>
          <cell r="C662" t="str">
            <v>EXCAVACION MECANICA PARA REDES PROFUNDIDAD 0m - 3.5m (Incluye Cargue)</v>
          </cell>
          <cell r="D662" t="str">
            <v>M3</v>
          </cell>
          <cell r="E662">
            <v>4558</v>
          </cell>
        </row>
        <row r="663">
          <cell r="B663">
            <v>4264</v>
          </cell>
          <cell r="C663" t="str">
            <v>TUBERIA CONCRETO D=6" CL.I SIN REFUERZO (Incluye Suministro e Instalación)</v>
          </cell>
          <cell r="D663" t="str">
            <v>M</v>
          </cell>
          <cell r="E663">
            <v>35179</v>
          </cell>
        </row>
        <row r="664">
          <cell r="B664">
            <v>4265</v>
          </cell>
          <cell r="C664" t="str">
            <v>TUBERIA CONCRETO D=10" CL. II SIN REFUERZO (Incluye Suministro e Instalación)</v>
          </cell>
          <cell r="D664" t="str">
            <v>M</v>
          </cell>
          <cell r="E664">
            <v>77190</v>
          </cell>
        </row>
        <row r="665">
          <cell r="B665">
            <v>4266</v>
          </cell>
          <cell r="C665" t="str">
            <v>EXCAVACION MANUAL PARA REDES PROFUNDIDAD 2m - 3.50m (Incluye Cargue)</v>
          </cell>
          <cell r="D665" t="str">
            <v>M3</v>
          </cell>
          <cell r="E665">
            <v>34259</v>
          </cell>
        </row>
        <row r="666">
          <cell r="B666">
            <v>4273</v>
          </cell>
          <cell r="C666" t="str">
            <v>CUADRILLA (OFICIAL + AYUDANTE)</v>
          </cell>
          <cell r="D666" t="str">
            <v>JR</v>
          </cell>
          <cell r="E666">
            <v>110910</v>
          </cell>
        </row>
        <row r="667">
          <cell r="B667">
            <v>4274</v>
          </cell>
          <cell r="C667" t="str">
            <v>CUADRILLA (OFICIAL + 2 AYUDANTES)</v>
          </cell>
          <cell r="D667" t="str">
            <v>JR</v>
          </cell>
          <cell r="E667">
            <v>156349</v>
          </cell>
        </row>
        <row r="668">
          <cell r="B668">
            <v>4275</v>
          </cell>
          <cell r="C668" t="str">
            <v>CUADRILLA (TUBERO + AYUDANTE)</v>
          </cell>
          <cell r="D668" t="str">
            <v>JR</v>
          </cell>
          <cell r="E668">
            <v>120856</v>
          </cell>
        </row>
        <row r="669">
          <cell r="B669">
            <v>4276</v>
          </cell>
          <cell r="C669" t="str">
            <v>CUADRILLA (TUBERO + 2 AYUDANTES)</v>
          </cell>
          <cell r="D669" t="str">
            <v>JR</v>
          </cell>
          <cell r="E669">
            <v>166295</v>
          </cell>
        </row>
        <row r="670">
          <cell r="B670">
            <v>4277</v>
          </cell>
          <cell r="C670" t="str">
            <v>CUADRILLA (TECNICO ELECTRICO + AYUDANTE)</v>
          </cell>
          <cell r="D670" t="str">
            <v>JR</v>
          </cell>
          <cell r="E670">
            <v>120856</v>
          </cell>
        </row>
        <row r="671">
          <cell r="B671">
            <v>4278</v>
          </cell>
          <cell r="C671" t="str">
            <v>CUADRILLA (OFICIAL + AYUDANTE)</v>
          </cell>
          <cell r="D671" t="str">
            <v>HR</v>
          </cell>
          <cell r="E671">
            <v>13858</v>
          </cell>
        </row>
        <row r="672">
          <cell r="B672">
            <v>4279</v>
          </cell>
          <cell r="C672" t="str">
            <v>CUADRILLA (OFICIAL + 2 AYUDANTES)</v>
          </cell>
          <cell r="D672" t="str">
            <v>HR</v>
          </cell>
          <cell r="E672">
            <v>19538</v>
          </cell>
        </row>
        <row r="673">
          <cell r="B673">
            <v>4280</v>
          </cell>
          <cell r="C673" t="str">
            <v>CUADRILLA (TUBERO + AYUDANTE)</v>
          </cell>
          <cell r="D673" t="str">
            <v>HR</v>
          </cell>
          <cell r="E673">
            <v>15107</v>
          </cell>
        </row>
        <row r="674">
          <cell r="B674">
            <v>4281</v>
          </cell>
          <cell r="C674" t="str">
            <v>CUADRILLA (TUBERO + 2 AYUDANTES)</v>
          </cell>
          <cell r="D674" t="str">
            <v>HR</v>
          </cell>
          <cell r="E674">
            <v>20787</v>
          </cell>
        </row>
        <row r="675">
          <cell r="B675">
            <v>4282</v>
          </cell>
          <cell r="C675" t="str">
            <v>CUADRILLA (TECNICO ELECTRICO + AYUDANTE)</v>
          </cell>
          <cell r="D675" t="str">
            <v>HR</v>
          </cell>
          <cell r="E675">
            <v>15107</v>
          </cell>
        </row>
        <row r="676">
          <cell r="B676">
            <v>4283</v>
          </cell>
          <cell r="C676" t="str">
            <v>CUADRILLA (TECNICO ELECTRICO + 2 AYUDANTES)</v>
          </cell>
          <cell r="D676" t="str">
            <v>JR</v>
          </cell>
          <cell r="E676">
            <v>166295</v>
          </cell>
        </row>
        <row r="677">
          <cell r="B677">
            <v>4284</v>
          </cell>
          <cell r="C677" t="str">
            <v>CUADRILLA (OFICIAL + 4 AYUDANTES)</v>
          </cell>
          <cell r="D677" t="str">
            <v>HR</v>
          </cell>
          <cell r="E677">
            <v>30897</v>
          </cell>
        </row>
        <row r="678">
          <cell r="B678">
            <v>4285</v>
          </cell>
          <cell r="C678" t="str">
            <v>CUADRILLA (OFICIAL + 4 AYUDANTES)</v>
          </cell>
          <cell r="D678" t="str">
            <v>JR</v>
          </cell>
          <cell r="E678">
            <v>247226</v>
          </cell>
        </row>
        <row r="679">
          <cell r="B679">
            <v>4286</v>
          </cell>
          <cell r="C679" t="str">
            <v>CUADRILLA (3 OFICIALES + 6 AYUDANTES)</v>
          </cell>
          <cell r="D679" t="str">
            <v>JR</v>
          </cell>
          <cell r="E679">
            <v>469046</v>
          </cell>
        </row>
        <row r="680">
          <cell r="B680">
            <v>4287</v>
          </cell>
          <cell r="C680" t="str">
            <v>CUADRILLA (OFICIAL + 3 AYUDANTES)</v>
          </cell>
          <cell r="D680" t="str">
            <v>HR</v>
          </cell>
          <cell r="E680">
            <v>25218</v>
          </cell>
        </row>
        <row r="681">
          <cell r="B681">
            <v>4288</v>
          </cell>
          <cell r="C681" t="str">
            <v>CUADRILLA (OFICIAL + 3 AYUDANTES)</v>
          </cell>
          <cell r="D681" t="str">
            <v>JR</v>
          </cell>
          <cell r="E681">
            <v>201787</v>
          </cell>
        </row>
        <row r="682">
          <cell r="B682">
            <v>4289</v>
          </cell>
          <cell r="C682" t="str">
            <v>DEMOLICIÓN MUROS e=0.15m (Incluye cargue)</v>
          </cell>
          <cell r="D682" t="str">
            <v>M2</v>
          </cell>
          <cell r="E682">
            <v>16635</v>
          </cell>
        </row>
        <row r="683">
          <cell r="B683">
            <v>4290</v>
          </cell>
          <cell r="C683" t="str">
            <v>DEMOLICIÓN MUROS e=0.25m (Incluye cargue)</v>
          </cell>
          <cell r="D683" t="str">
            <v>M2</v>
          </cell>
          <cell r="E683">
            <v>23342</v>
          </cell>
        </row>
        <row r="684">
          <cell r="B684">
            <v>4291</v>
          </cell>
          <cell r="C684" t="str">
            <v>CARCAMO PROTECCIÓN DE TUBERÍA Ø 8" NORMA EAAB NS-090 . 3v.2</v>
          </cell>
          <cell r="D684" t="str">
            <v>M</v>
          </cell>
          <cell r="E684">
            <v>355623</v>
          </cell>
        </row>
        <row r="685">
          <cell r="B685">
            <v>4292</v>
          </cell>
          <cell r="C685" t="str">
            <v>CARCAMO DE PROTECCIÓN DE TUBERÍA Ø 10" NORMA EAAB NS-090 V. 1.2</v>
          </cell>
          <cell r="D685" t="str">
            <v>M</v>
          </cell>
          <cell r="E685">
            <v>371203</v>
          </cell>
        </row>
        <row r="686">
          <cell r="B686">
            <v>4293</v>
          </cell>
          <cell r="C686" t="str">
            <v>CARCAMO DE PROTECCIÓN DE TUBERÍA Ø 12" NORMA EAAB NS-090 V. 1.2</v>
          </cell>
          <cell r="D686" t="str">
            <v>M</v>
          </cell>
          <cell r="E686">
            <v>393226</v>
          </cell>
        </row>
        <row r="687">
          <cell r="B687">
            <v>4294</v>
          </cell>
          <cell r="C687" t="str">
            <v>CARCAMO DE PROTECCIÓN DE TUBERÍA Ø 16" NORMA EAAB NS-090 V. 1.2</v>
          </cell>
          <cell r="D687" t="str">
            <v>M</v>
          </cell>
          <cell r="E687">
            <v>453922</v>
          </cell>
        </row>
        <row r="688">
          <cell r="B688">
            <v>4295</v>
          </cell>
          <cell r="C688" t="str">
            <v>CARCAMO DE PROTECCIÓN DE TUBERÍA Ø 18" NORMA EAAB NS-090 V. 1.2</v>
          </cell>
          <cell r="D688" t="str">
            <v>M</v>
          </cell>
          <cell r="E688">
            <v>470226</v>
          </cell>
        </row>
        <row r="689">
          <cell r="B689">
            <v>4296</v>
          </cell>
          <cell r="C689" t="str">
            <v>CARCAMO DE PROTECCIÓN DE TUBERÍA Ø 20" NORMA EAAB NS-090 V. 1.2</v>
          </cell>
          <cell r="D689" t="str">
            <v>M</v>
          </cell>
          <cell r="E689">
            <v>492310</v>
          </cell>
        </row>
        <row r="690">
          <cell r="B690">
            <v>4297</v>
          </cell>
          <cell r="C690" t="str">
            <v>CARCAMO DE PROTECCIÓN DE TUBERÍA Ø 24" NORMA EAAB NS-090 V. 1.2</v>
          </cell>
          <cell r="D690" t="str">
            <v>M</v>
          </cell>
          <cell r="E690">
            <v>665710</v>
          </cell>
        </row>
        <row r="691">
          <cell r="B691">
            <v>4298</v>
          </cell>
          <cell r="C691" t="str">
            <v>CARCAMO DE PROTECCIÓN DE TUBERÍA Ø 27" NORMA EAAB NS-090 V. 1.2</v>
          </cell>
          <cell r="D691" t="str">
            <v>M</v>
          </cell>
          <cell r="E691">
            <v>875492</v>
          </cell>
        </row>
        <row r="692">
          <cell r="B692">
            <v>4299</v>
          </cell>
          <cell r="C692" t="str">
            <v>CARCAMO DE PROTECCIÓN DE TUBERÍA Ø 30" NORMA EAAB NS-090 V. 1.2</v>
          </cell>
          <cell r="D692" t="str">
            <v>M</v>
          </cell>
          <cell r="E692">
            <v>975798</v>
          </cell>
        </row>
        <row r="693">
          <cell r="B693">
            <v>4300</v>
          </cell>
          <cell r="C693" t="str">
            <v>CARCAMO 2 A 4 VIAS COLOMBIA TELECOMUNICACIONES</v>
          </cell>
          <cell r="D693" t="str">
            <v>M</v>
          </cell>
          <cell r="E693">
            <v>226695</v>
          </cell>
        </row>
        <row r="694">
          <cell r="B694">
            <v>4301</v>
          </cell>
          <cell r="C694" t="str">
            <v>CARCAMO 6 A 9 VIAS COLOMBIA TELECOMUNICACIONES</v>
          </cell>
          <cell r="D694" t="str">
            <v>M</v>
          </cell>
          <cell r="E694">
            <v>250044</v>
          </cell>
        </row>
        <row r="695">
          <cell r="B695">
            <v>4302</v>
          </cell>
          <cell r="C695" t="str">
            <v>CARCAMO 12 A 20 VIAS COLOMBIA TELECOMUNICACIONES</v>
          </cell>
          <cell r="D695" t="str">
            <v>M</v>
          </cell>
          <cell r="E695">
            <v>290918</v>
          </cell>
        </row>
        <row r="696">
          <cell r="B696">
            <v>4303</v>
          </cell>
          <cell r="C696" t="str">
            <v>CARCAMO 20 A 24 VIAS COLOMBIA TELECOMUNICACIONES</v>
          </cell>
          <cell r="D696" t="str">
            <v>M</v>
          </cell>
          <cell r="E696">
            <v>328063</v>
          </cell>
        </row>
        <row r="697">
          <cell r="B697">
            <v>4304</v>
          </cell>
          <cell r="C697" t="str">
            <v>CARCAMO 24 A 36 VIAS COLOMBIA TELECOMUNICACIONES</v>
          </cell>
          <cell r="D697" t="str">
            <v>M</v>
          </cell>
          <cell r="E697">
            <v>342118</v>
          </cell>
        </row>
        <row r="698">
          <cell r="B698">
            <v>4305</v>
          </cell>
          <cell r="C698" t="str">
            <v>CAMARA DOBLE TIPO "Fs" COLOMBIA TELECOMUNICACIONES ESQUEMA CT-018</v>
          </cell>
          <cell r="D698" t="str">
            <v>UN</v>
          </cell>
          <cell r="E698">
            <v>249975</v>
          </cell>
        </row>
        <row r="699">
          <cell r="B699">
            <v>4306</v>
          </cell>
          <cell r="C699" t="str">
            <v>CAMARA TIPO "2Fr" COLOMBIA TELECOMUNICACIONES DIBUJO CT-019</v>
          </cell>
          <cell r="D699" t="str">
            <v>UN</v>
          </cell>
          <cell r="E699">
            <v>570349</v>
          </cell>
        </row>
        <row r="700">
          <cell r="B700">
            <v>4307</v>
          </cell>
          <cell r="C700" t="str">
            <v>CAMARA TIPO "Fr" COLOMBIA TELECOMUNICACIONES ESQUEMA CT-021</v>
          </cell>
          <cell r="D700" t="str">
            <v>UN</v>
          </cell>
          <cell r="E700">
            <v>349458</v>
          </cell>
        </row>
        <row r="701">
          <cell r="B701">
            <v>4308</v>
          </cell>
          <cell r="C701" t="str">
            <v>CAMARA TIPO "A" COLOMBIA TELECOMUNICACIONES DIBUJO CT-022</v>
          </cell>
          <cell r="D701" t="str">
            <v>UN</v>
          </cell>
          <cell r="E701">
            <v>3363863</v>
          </cell>
        </row>
        <row r="702">
          <cell r="B702">
            <v>4309</v>
          </cell>
          <cell r="C702" t="str">
            <v>CAMARA TIPO "LA" COLOMBIA TELECOMUNICACIONES DIBUJO CT-023</v>
          </cell>
          <cell r="D702" t="str">
            <v>UN</v>
          </cell>
          <cell r="E702">
            <v>3363863</v>
          </cell>
        </row>
        <row r="703">
          <cell r="B703">
            <v>4310</v>
          </cell>
          <cell r="C703" t="str">
            <v>CAMARA TIPO "ZA" COLOMBIA TELECOMUNICACIONES DIBUJO CT-024</v>
          </cell>
          <cell r="D703" t="str">
            <v>UN</v>
          </cell>
          <cell r="E703">
            <v>3569957</v>
          </cell>
        </row>
        <row r="704">
          <cell r="B704">
            <v>4311</v>
          </cell>
          <cell r="C704" t="str">
            <v>CAMARA TIPO "JA" COLOMBIA TELECOMUNICACIONES DIBUJO CT-025</v>
          </cell>
          <cell r="D704" t="str">
            <v>UN</v>
          </cell>
          <cell r="E704">
            <v>3360739</v>
          </cell>
        </row>
        <row r="705">
          <cell r="B705">
            <v>4312</v>
          </cell>
          <cell r="C705" t="str">
            <v>CAMARA TIPO "TA" COLOMBIA TELECOMUNICACIONES DIBUJO CT-026</v>
          </cell>
          <cell r="D705" t="str">
            <v>UN</v>
          </cell>
          <cell r="E705">
            <v>3360739</v>
          </cell>
        </row>
        <row r="706">
          <cell r="B706">
            <v>4313</v>
          </cell>
          <cell r="C706" t="str">
            <v>CAMARA TIPO "XA" COLOMBIA TELECOMUNICACIONES DIBUJO CT-027</v>
          </cell>
          <cell r="D706" t="str">
            <v>UN</v>
          </cell>
          <cell r="E706">
            <v>3357615</v>
          </cell>
        </row>
        <row r="707">
          <cell r="B707">
            <v>4314</v>
          </cell>
          <cell r="C707" t="str">
            <v>CAMARA TIPO "B" COLOMBIA TELECOMUNICACIONES DIBUJO CT-028</v>
          </cell>
          <cell r="D707" t="str">
            <v>UN</v>
          </cell>
          <cell r="E707">
            <v>3045559</v>
          </cell>
        </row>
        <row r="708">
          <cell r="B708">
            <v>4315</v>
          </cell>
          <cell r="C708" t="str">
            <v>CAMARA TIPO "LB" COLOMBIA TELECOMUNICACIONES DIBUJO CT-029</v>
          </cell>
          <cell r="D708" t="str">
            <v>UN</v>
          </cell>
          <cell r="E708">
            <v>3045559</v>
          </cell>
        </row>
        <row r="709">
          <cell r="B709">
            <v>4316</v>
          </cell>
          <cell r="C709" t="str">
            <v>CAMARA TIPO "ZB" COLOMBIA TELECOMUNICACIONES DIBUJO CT-030</v>
          </cell>
          <cell r="D709" t="str">
            <v>UN</v>
          </cell>
          <cell r="E709">
            <v>3277540</v>
          </cell>
        </row>
        <row r="710">
          <cell r="B710">
            <v>4317</v>
          </cell>
          <cell r="C710" t="str">
            <v>CAMARA TIPO "JB" COLOMBIA TELECOMUNICACIONES DIBUJO CT-031</v>
          </cell>
          <cell r="D710" t="str">
            <v>UN</v>
          </cell>
          <cell r="E710">
            <v>3034356</v>
          </cell>
        </row>
        <row r="711">
          <cell r="B711">
            <v>4318</v>
          </cell>
          <cell r="C711" t="str">
            <v>CAMARA TIPO "TB" COLOMBIA TELECOMUNICACIONES DIBUJO CT-032</v>
          </cell>
          <cell r="D711" t="str">
            <v>UN</v>
          </cell>
          <cell r="E711">
            <v>3034356</v>
          </cell>
        </row>
        <row r="712">
          <cell r="B712">
            <v>4319</v>
          </cell>
          <cell r="C712" t="str">
            <v>CAMARA TIPO "XB" COLOMBIA TELECOMUNICACIONES DIBUJO CT-033</v>
          </cell>
          <cell r="D712" t="str">
            <v>UN</v>
          </cell>
          <cell r="E712">
            <v>3029192</v>
          </cell>
        </row>
        <row r="713">
          <cell r="B713">
            <v>4320</v>
          </cell>
          <cell r="C713" t="str">
            <v>CAMARA TIPO "C" COLOMBIA TELECOMUNICACIONES DIBUJO CT-034</v>
          </cell>
          <cell r="D713" t="str">
            <v>UN</v>
          </cell>
          <cell r="E713">
            <v>2559721</v>
          </cell>
        </row>
        <row r="714">
          <cell r="B714">
            <v>4321</v>
          </cell>
          <cell r="C714" t="str">
            <v>CAMARA TIPO "LC" COLOMBIA TELECOMUNICACIONES DIBUJO CT-035</v>
          </cell>
          <cell r="D714" t="str">
            <v>UN</v>
          </cell>
          <cell r="E714">
            <v>2559721</v>
          </cell>
        </row>
        <row r="715">
          <cell r="B715">
            <v>4322</v>
          </cell>
          <cell r="C715" t="str">
            <v>CAMARA TIPO "ZC" COLOMBIA TELECOMUNICACIONES DIBUJO CT-036</v>
          </cell>
          <cell r="D715" t="str">
            <v>UN</v>
          </cell>
          <cell r="E715">
            <v>2559721</v>
          </cell>
        </row>
        <row r="716">
          <cell r="B716">
            <v>4323</v>
          </cell>
          <cell r="C716" t="str">
            <v>CAMARA TIPO "JC" COLOMBIA TELECOMUNICACIONES DIBUJO CT-037</v>
          </cell>
          <cell r="D716" t="str">
            <v>UN</v>
          </cell>
          <cell r="E716">
            <v>2544898</v>
          </cell>
        </row>
        <row r="717">
          <cell r="B717">
            <v>4324</v>
          </cell>
          <cell r="C717" t="str">
            <v>CAMARA TIPO "TC" COLOMBIA TELECOMUNICACIONES DIBUJO CT-038</v>
          </cell>
          <cell r="D717" t="str">
            <v>UN</v>
          </cell>
          <cell r="E717">
            <v>2544898</v>
          </cell>
        </row>
        <row r="718">
          <cell r="B718">
            <v>4325</v>
          </cell>
          <cell r="C718" t="str">
            <v>CAMARA TIPO "XC" COLOMBIA TELECOMUNICACIONES DIBUJO CT-039</v>
          </cell>
          <cell r="D718" t="str">
            <v>UN</v>
          </cell>
          <cell r="E718">
            <v>2539734</v>
          </cell>
        </row>
        <row r="719">
          <cell r="B719">
            <v>4326</v>
          </cell>
          <cell r="C719" t="str">
            <v>CAMARA TIPO "2XA" COLOMBIA TELECOMUNICACIONES DIBUJO CT-040</v>
          </cell>
          <cell r="D719" t="str">
            <v>UN</v>
          </cell>
          <cell r="E719">
            <v>4284147</v>
          </cell>
        </row>
        <row r="720">
          <cell r="B720">
            <v>4327</v>
          </cell>
          <cell r="C720" t="str">
            <v>CAMARA TIPO "2TA" COLOMBIA TELECOMUNICACIONES DIBUJO CT-041</v>
          </cell>
          <cell r="D720" t="str">
            <v>UN</v>
          </cell>
          <cell r="E720">
            <v>4248271</v>
          </cell>
        </row>
        <row r="721">
          <cell r="B721">
            <v>4328</v>
          </cell>
          <cell r="C721" t="str">
            <v>CAMARA TIPO "D" COLOMBIA TELECOMUNICACIONES DIBUJO CT-042</v>
          </cell>
          <cell r="D721" t="str">
            <v>UN</v>
          </cell>
          <cell r="E721">
            <v>2328510</v>
          </cell>
        </row>
        <row r="722">
          <cell r="B722">
            <v>4329</v>
          </cell>
          <cell r="C722" t="str">
            <v>CAMARA TIPO "F1" COLOMBIA TELECOMUNICACIONES DIBUJO CT-050</v>
          </cell>
          <cell r="D722" t="str">
            <v>UN</v>
          </cell>
          <cell r="E722">
            <v>585321</v>
          </cell>
        </row>
        <row r="723">
          <cell r="B723">
            <v>4330</v>
          </cell>
          <cell r="C723" t="str">
            <v>CAMARA DOBLE TIPO "F1" COLOMBIA TELECOMUNICACIONES ESQUEMA CT-049</v>
          </cell>
          <cell r="D723" t="str">
            <v>UN</v>
          </cell>
          <cell r="E723">
            <v>682550</v>
          </cell>
        </row>
        <row r="724">
          <cell r="B724">
            <v>4331</v>
          </cell>
          <cell r="C724" t="str">
            <v>CAMARA DOBLE TIPO "2Fs" COLOMBIA TELECOMUNICACIONES ESQUEMA CT-055</v>
          </cell>
          <cell r="D724" t="str">
            <v>UN</v>
          </cell>
          <cell r="E724">
            <v>708233</v>
          </cell>
        </row>
        <row r="725">
          <cell r="B725">
            <v>4332</v>
          </cell>
          <cell r="C725" t="str">
            <v>CAMARA TIPO "JD" COLOMBIA TELECOMUNICACIONES DIBUJO CT-045</v>
          </cell>
          <cell r="D725" t="str">
            <v>UN</v>
          </cell>
          <cell r="E725">
            <v>2186421</v>
          </cell>
        </row>
        <row r="726">
          <cell r="B726">
            <v>4333</v>
          </cell>
          <cell r="C726" t="str">
            <v>CAMARA TIPO "LD" COLOMBIA TELECOMUNICACIONES DIBUJO CT-043</v>
          </cell>
          <cell r="D726" t="str">
            <v>UN</v>
          </cell>
          <cell r="E726">
            <v>2176745</v>
          </cell>
        </row>
        <row r="727">
          <cell r="B727">
            <v>4334</v>
          </cell>
          <cell r="C727" t="str">
            <v>CAMARA TIPO "XD" COLOMBIA TELECOMUNICACIONES ESQUEMA CT-047</v>
          </cell>
          <cell r="D727" t="str">
            <v>UN</v>
          </cell>
          <cell r="E727">
            <v>2185716</v>
          </cell>
        </row>
        <row r="728">
          <cell r="B728">
            <v>4335</v>
          </cell>
          <cell r="C728" t="str">
            <v>CAMARA TIPO "TD" COLOMBIA TELECOMUNICACIONES DIBUJO CT-046</v>
          </cell>
          <cell r="D728" t="str">
            <v>UN</v>
          </cell>
          <cell r="E728">
            <v>2180021</v>
          </cell>
        </row>
        <row r="729">
          <cell r="B729">
            <v>4336</v>
          </cell>
          <cell r="C729" t="str">
            <v>CAMARA TIPO "D/2" COLOMBIA TELECOMUNICACIONES DIBUJO CT-048</v>
          </cell>
          <cell r="D729" t="str">
            <v>UN</v>
          </cell>
          <cell r="E729">
            <v>1336044</v>
          </cell>
        </row>
        <row r="730">
          <cell r="B730">
            <v>4337</v>
          </cell>
          <cell r="C730" t="str">
            <v>CAMARA TIPO "F2" COLOMBIA TELECOMUNICACIONES DIBUJO CT-051</v>
          </cell>
          <cell r="D730" t="str">
            <v>UN</v>
          </cell>
          <cell r="E730">
            <v>215430</v>
          </cell>
        </row>
        <row r="731">
          <cell r="B731">
            <v>4338</v>
          </cell>
          <cell r="C731" t="str">
            <v>CAMARA TIPO "ZD" COLOMBIA TELECOMUNICACIONES DIBUJO CT-044</v>
          </cell>
          <cell r="D731" t="str">
            <v>UN</v>
          </cell>
          <cell r="E731">
            <v>2176745</v>
          </cell>
        </row>
        <row r="732">
          <cell r="B732">
            <v>4340</v>
          </cell>
          <cell r="C732" t="str">
            <v>INSTALACIÓN DUCTO DE PVC TIPOS DB O TDP Ø 4" A Ø 6"</v>
          </cell>
          <cell r="D732" t="str">
            <v>M</v>
          </cell>
          <cell r="E732">
            <v>2735</v>
          </cell>
        </row>
        <row r="733">
          <cell r="B733">
            <v>4341</v>
          </cell>
          <cell r="C733" t="str">
            <v>CANALIZACION VIA PUBLICA UN (1) DUCTO PVC TIPO DB-60 Ø6" EPM NORMA RS1-001. INCLUYE: EXCAVACIÓN, RELLENOS EN ARENA DE PEÑA Y EN SUB-BASE GRANULAR TIPO B-400 Y TRANSPORTE Y DISPOSICIÓN FINAL DE ESCOMBROS. NO INCLUYE: DEMOLICIÓN NI RECONSTRUCCIÓN DE ANDEN O PAVIMENTO, ENTIBADOS.</v>
          </cell>
          <cell r="D733" t="str">
            <v>M</v>
          </cell>
          <cell r="E733">
            <v>136927</v>
          </cell>
        </row>
        <row r="734">
          <cell r="B734">
            <v>4342</v>
          </cell>
          <cell r="C734" t="str">
            <v>CANALIZACION VIA PUBLICA DOS (2) DUCTOS PVC TIPO DB-60 Ø6" EPM NORMA RS1-002. INCLUYE: EXCAVACIÓN, RELLENOS EN ARENA DE PEÑA Y EN SUB-BASE GRANULAR TIPO B-400 Y TRANSPORTE Y DISPOSICIÓN FINAL DE ESCOMBROS. NO INCLUYE: DEMOLICIÓN NI RECONSTRUCCIÓN DE ANDEN O PAVIMENTO, ENTIBADOS.</v>
          </cell>
          <cell r="D734" t="str">
            <v>M</v>
          </cell>
          <cell r="E734">
            <v>180492</v>
          </cell>
        </row>
        <row r="735">
          <cell r="B735">
            <v>4343</v>
          </cell>
          <cell r="C735" t="str">
            <v>CANALIZACION VIA PUBLICA TRES (3) DUCTOS PVC TIPO DB-60 Ø6" EPM NORMA RS1-003. INCLUYE: EXCAVACIÓN, RELLENOS EN ARENA DE PEÑA Y EN SUB-BASE GRANULAR TIPO B-400 Y TRANSPORTE Y DISPOSICIÓN FINAL DE ESCOMBROS. NO INCLUYE: DEMOLICIÓN NI RECONSTRUCCIÓN DE ANDEN O PAVIMENTO, ENTIBADOS.</v>
          </cell>
          <cell r="D735" t="str">
            <v>M</v>
          </cell>
          <cell r="E735">
            <v>297277</v>
          </cell>
        </row>
        <row r="736">
          <cell r="B736">
            <v>4344</v>
          </cell>
          <cell r="C736" t="str">
            <v>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v>
          </cell>
          <cell r="D736" t="str">
            <v>M</v>
          </cell>
          <cell r="E736">
            <v>331516</v>
          </cell>
        </row>
        <row r="737">
          <cell r="B737">
            <v>4345</v>
          </cell>
          <cell r="C737" t="str">
            <v>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v>
          </cell>
          <cell r="D737" t="str">
            <v>M</v>
          </cell>
          <cell r="E737">
            <v>345944</v>
          </cell>
        </row>
        <row r="738">
          <cell r="B738">
            <v>4346</v>
          </cell>
          <cell r="C738" t="str">
            <v>CANALIZACION VIA PUBLICA SEIS (6) DUCTOS PVC TIPO DB-60 Ø6" EPM NORMA RS1-006. INCLUYE: EXCAVACIÓN, RELLENOS EN ARENA DE PEÑA Y EN SUB-BASE GRANULAR TIPO B-400 Y TRANSPORTE Y DISPOSICIÓN FINAL DE ESCOMBROS. NO INCLUYE: DEMOLICIÓN NI RECONSTRUCCIÓN DE ANDEN O PAVIMENTO, ENTIBADOS.</v>
          </cell>
          <cell r="D738" t="str">
            <v>M</v>
          </cell>
          <cell r="E738">
            <v>469216</v>
          </cell>
        </row>
        <row r="739">
          <cell r="B739">
            <v>4347</v>
          </cell>
          <cell r="C739" t="str">
            <v>CANALIZACION VIA PUBLICA OCHO (8) DUCTOS PVC TIPO DB-60 Ø6" EPM NORMA RS1-007. INCLUYE: EXCAVACIÓN, RELLENOS EN ARENA DE PEÑA Y EN SUB-BASE GRANULAR TIPO B-400 Y TRANSPORTE Y DISPOSICIÓN FINAL DE ESCOMBROS. NO INCLUYE: DEMOLICIÓN NI RECONSTRUCCIÓN DE ANDEN O PAVIMENTO, ENTIBADOS.</v>
          </cell>
          <cell r="D739" t="str">
            <v>M</v>
          </cell>
          <cell r="E739">
            <v>612410</v>
          </cell>
        </row>
        <row r="740">
          <cell r="B740">
            <v>4348</v>
          </cell>
          <cell r="C740" t="str">
            <v>CANALIZACION VIA PUBLICA NUEVE (9) DUCTOS PVC TIPO DB-60 Ø6" EPM NORMA RS1-008. INCLUYE: EXCAVACIÓN, RELLENOS EN ARENA DE PEÑA Y EN SUB-BASE GRANULAR TIPO B-400 Y TRANSPORTE Y DISPOSICIÓN FINAL DE ESCOMBROS. NO INCLUYE: DEMOLICIÓN NI RECONSTRUCCIÓN DE ANDEN O PAVIMENTO, ENTIBADOS.</v>
          </cell>
          <cell r="D740" t="str">
            <v>M</v>
          </cell>
          <cell r="E740">
            <v>647613</v>
          </cell>
        </row>
        <row r="741">
          <cell r="B741">
            <v>4349</v>
          </cell>
          <cell r="C741" t="str">
            <v>CANALIZACION VIA PUBLICA DOCE (12) DUCTOS PVC TIPO DB-60 Ø6" EPM NORMA RS1-009. INCLUYE: EXCAVACIÓN, RELLENOS EN ARENA DE PEÑA Y EN SUB-BASE GRANULAR TIPO B-400 Y TRANSPORTE Y DISPOSICIÓN FINAL DE ESCOMBROS. NO INCLUYE: DEMOLICIÓN NI RECONSTRUCCIÓN DE ANDEN O PAVIMENTO, ENTIBADOS.</v>
          </cell>
          <cell r="D741" t="str">
            <v>M</v>
          </cell>
          <cell r="E741">
            <v>752283</v>
          </cell>
        </row>
        <row r="742">
          <cell r="B742">
            <v>4350</v>
          </cell>
          <cell r="C742" t="str">
            <v>CANALIZACION VIA PUBLICA DIECISEIS (16) DUCTOS PVC TIPO DB-60 Ø6" EPM NORMA RS1-010. INCLUYE: EXCAVACIÓN, RELLENOS EN ARENA DE PEÑA Y EN SUB-BASE GRANULAR TIPO B-400 Y TRANSPORTE Y DISPOSICIÓN FINAL DE ESCOMBROS. NO INCLUYE: DEMOLICIÓN NI RECONSTRUCCIÓN DE ANDEN O PAVIMENTO, ENTIBADOS.</v>
          </cell>
          <cell r="D742" t="str">
            <v>M</v>
          </cell>
          <cell r="E742">
            <v>1082840</v>
          </cell>
        </row>
        <row r="743">
          <cell r="B743">
            <v>4351</v>
          </cell>
          <cell r="C743" t="str">
            <v>CANALIZACION VIA PUBLICA TRES (3) DUCTOS PVC TIPO DB-60 Ø4" EPM NORMA RS1-011. INCLUYE: EXCAVACIÓN, RELLENOS EN ARENA DE PEÑA Y EN SUB-BASE GRANULAR TIPO B-400 Y TRANSPORTE Y DISPOSICIÓN FINAL DE ESCOMBROS. NO INCLUYE: DEMOLICIÓN NI RECONSTRUCCIÓN DE ANDEN O PAVIMENTO, ENTIBADOS.</v>
          </cell>
          <cell r="D743" t="str">
            <v>M</v>
          </cell>
          <cell r="E743">
            <v>194498</v>
          </cell>
        </row>
        <row r="744">
          <cell r="B744">
            <v>4352</v>
          </cell>
          <cell r="C744" t="str">
            <v>CANALIZACION VIA PUBLICA CUATRO (4) DUCTOS PVC TIPO DB-60 Ø4" EPM NORMA RS1-012. INCLUYE: EXCAVACIÓN, RELLENOS EN ARENA DE PEÑA Y EN SUB-BASE GRANULAR TIPO B-400 Y TRANSPORTE Y DISPOSICIÓN FINAL DE ESCOMBROS. NO INCLUYE: DEMOLICIÓN NI RECONSTRUCCIÓN DE ANDEN O PAVIMENTO, ENTIBADOS.</v>
          </cell>
          <cell r="D744" t="str">
            <v>M</v>
          </cell>
          <cell r="E744">
            <v>208050</v>
          </cell>
        </row>
        <row r="745">
          <cell r="B745">
            <v>4353</v>
          </cell>
          <cell r="C745" t="str">
            <v>CANALIZACION VIA PUBLICA SEIS (6) DUCTOS PVC TIPO DB-60 Ø4" EPM NORMA RS1-013. INCLUYE: EXCAVACIÓN, RELLENOS EN ARENA DE PEÑA Y EN SUB-BASE GRANULAR TIPO B-400 Y TRANSPORTE Y DISPOSICIÓN FINAL DE ESCOMBROS. NO INCLUYE: DEMOLICIÓN NI RECONSTRUCCIÓN DE ANDEN O PAVIMENTO, ENTIBADOS.</v>
          </cell>
          <cell r="D745" t="str">
            <v>M</v>
          </cell>
          <cell r="E745">
            <v>287343</v>
          </cell>
        </row>
        <row r="746">
          <cell r="B746">
            <v>4354</v>
          </cell>
          <cell r="C746" t="str">
            <v>CANALIZACION VIA PUBLICA NUEVE (9) DUCTOS PVC TIPO DB-60 Ø4" EPM NORMA RS1-014. INCLUYE: EXCAVACIÓN, RELLENOS EN ARENA DE PEÑA Y EN SUB-BASE GRANULAR TIPO B-400 Y TRANSPORTE Y DISPOSICIÓN FINAL DE ESCOMBROS. NO INCLUYE: DEMOLICIÓN NI RECONSTRUCCIÓN DE ANDEN O PAVIMENTO, ENTIBADOS.</v>
          </cell>
          <cell r="D746" t="str">
            <v>M</v>
          </cell>
          <cell r="E746">
            <v>380863</v>
          </cell>
        </row>
        <row r="747">
          <cell r="B747">
            <v>4355</v>
          </cell>
          <cell r="C747" t="str">
            <v>CANALIZACION VIA PUBLICA OCHO (8) DUCTOS PVC TIPO DB-60 Ø4" EPM NORMA RS1-015. INCLUYE: EXCAVACIÓN, RELLENOS EN ARENA DE PEÑA Y EN SUB-BASE GRANULAR TIPO B-400 Y TRANSPORTE Y DISPOSICIÓN FINAL DE ESCOMBROS. NO INCLUYE: DEMOLICIÓN NI RECONSTRUCCIÓN DE ANDEN O PAVIMENTO, ENTIBADOS.</v>
          </cell>
          <cell r="D747" t="str">
            <v>M</v>
          </cell>
          <cell r="E747">
            <v>365143</v>
          </cell>
        </row>
        <row r="748">
          <cell r="B748">
            <v>4356</v>
          </cell>
          <cell r="C748" t="str">
            <v>CANALIZACION VIA PUBLICA DOCE (12) DUCTOS PVC TIPO DB-60 Ø4" EPM NORMA RS1-016. INCLUYE: EXCAVACIÓN, RELLENOS EN ARENA DE PEÑA Y EN SUB-BASE GRANULAR TIPO B-400 Y TRANSPORTE Y DISPOSICIÓN FINAL DE ESCOMBROS. NO INCLUYE: DEMOLICIÓN NI RECONSTRUCCIÓN DE ANDEN O PAVIMENTO, ENTIBADOS.</v>
          </cell>
          <cell r="D748" t="str">
            <v>M</v>
          </cell>
          <cell r="E748">
            <v>480311</v>
          </cell>
        </row>
        <row r="749">
          <cell r="B749">
            <v>4357</v>
          </cell>
          <cell r="C749" t="str">
            <v>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v>
          </cell>
          <cell r="D749" t="str">
            <v>M</v>
          </cell>
          <cell r="E749">
            <v>272903</v>
          </cell>
        </row>
        <row r="750">
          <cell r="B750">
            <v>4358</v>
          </cell>
          <cell r="C750" t="str">
            <v>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v>
          </cell>
          <cell r="D750" t="str">
            <v>M</v>
          </cell>
          <cell r="E750">
            <v>366358</v>
          </cell>
        </row>
        <row r="751">
          <cell r="B751">
            <v>4359</v>
          </cell>
          <cell r="C751" t="str">
            <v>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v>
          </cell>
          <cell r="D751" t="str">
            <v>M</v>
          </cell>
          <cell r="E751">
            <v>284842</v>
          </cell>
        </row>
        <row r="752">
          <cell r="B752">
            <v>4360</v>
          </cell>
          <cell r="C752" t="str">
            <v>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v>
          </cell>
          <cell r="D752" t="str">
            <v>M</v>
          </cell>
          <cell r="E752">
            <v>414369</v>
          </cell>
        </row>
        <row r="753">
          <cell r="B753">
            <v>4361</v>
          </cell>
          <cell r="C753" t="str">
            <v>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v>
          </cell>
          <cell r="D753" t="str">
            <v>M</v>
          </cell>
          <cell r="E753">
            <v>427308</v>
          </cell>
        </row>
        <row r="754">
          <cell r="B754">
            <v>4362</v>
          </cell>
          <cell r="C754" t="str">
            <v>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v>
          </cell>
          <cell r="D754" t="str">
            <v>M</v>
          </cell>
          <cell r="E754">
            <v>549639</v>
          </cell>
        </row>
        <row r="755">
          <cell r="B755">
            <v>4363</v>
          </cell>
          <cell r="C755" t="str">
            <v>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v>
          </cell>
          <cell r="D755" t="str">
            <v>M</v>
          </cell>
          <cell r="E755">
            <v>443052</v>
          </cell>
        </row>
        <row r="756">
          <cell r="B756">
            <v>4384</v>
          </cell>
          <cell r="C756" t="str">
            <v>UNION DRESSER D=3" (Suministro e Instalación)</v>
          </cell>
          <cell r="D756" t="str">
            <v>UN</v>
          </cell>
          <cell r="E756">
            <v>96741</v>
          </cell>
        </row>
        <row r="757">
          <cell r="B757">
            <v>4385</v>
          </cell>
          <cell r="C757" t="str">
            <v>UNION DRESSER D=4" (Suministro e Instalación)</v>
          </cell>
          <cell r="D757" t="str">
            <v>UN</v>
          </cell>
          <cell r="E757">
            <v>108261</v>
          </cell>
        </row>
        <row r="758">
          <cell r="B758">
            <v>4386</v>
          </cell>
          <cell r="C758" t="str">
            <v>UNION DRESSER D=6" (Suministro e Instalación)</v>
          </cell>
          <cell r="D758" t="str">
            <v>UN</v>
          </cell>
          <cell r="E758">
            <v>242526</v>
          </cell>
        </row>
        <row r="759">
          <cell r="B759">
            <v>4387</v>
          </cell>
          <cell r="C759" t="str">
            <v>UNION DRESSER D=8" (Suministro e Instalación)</v>
          </cell>
          <cell r="D759" t="str">
            <v>UN</v>
          </cell>
          <cell r="E759">
            <v>264478</v>
          </cell>
        </row>
        <row r="760">
          <cell r="B760">
            <v>4388</v>
          </cell>
          <cell r="C760" t="str">
            <v>UNION DRESSER D=10" (Suministro e Instalación)</v>
          </cell>
          <cell r="D760" t="str">
            <v>UN</v>
          </cell>
          <cell r="E760">
            <v>384328</v>
          </cell>
        </row>
        <row r="761">
          <cell r="B761">
            <v>4389</v>
          </cell>
          <cell r="C761" t="str">
            <v>UNION DRESSER D=12" (Suministro e Instalación)</v>
          </cell>
          <cell r="D761" t="str">
            <v>UN</v>
          </cell>
          <cell r="E761">
            <v>713621</v>
          </cell>
        </row>
        <row r="762">
          <cell r="B762">
            <v>4390</v>
          </cell>
          <cell r="C762" t="str">
            <v>EXCAVACIÓN MANUAL EN MATERIAL COMÚN (INCL CARGUE, TRANSPORTE Y DISPOSICION FINAL)</v>
          </cell>
          <cell r="D762" t="str">
            <v>M3</v>
          </cell>
          <cell r="E762">
            <v>57807</v>
          </cell>
        </row>
        <row r="763">
          <cell r="B763">
            <v>4391</v>
          </cell>
          <cell r="C763" t="str">
            <v>ARENA LAVADA DE PEÑA PARA EMBOQUILLADO (Incluye Suministro, barrido para sellado de juntas y Compactación)</v>
          </cell>
          <cell r="D763" t="str">
            <v>M3</v>
          </cell>
          <cell r="E763">
            <v>109423</v>
          </cell>
        </row>
        <row r="764">
          <cell r="B764">
            <v>4392</v>
          </cell>
          <cell r="C764" t="str">
            <v>CUADRILLA (OFICIAL + 6 AYUDANTES)</v>
          </cell>
          <cell r="D764" t="str">
            <v>HR</v>
          </cell>
          <cell r="E764">
            <v>42257</v>
          </cell>
        </row>
        <row r="765">
          <cell r="B765">
            <v>4393</v>
          </cell>
          <cell r="C765" t="str">
            <v>CUADRILLA (3 OFICIALES + 6 AYUDANTES)</v>
          </cell>
          <cell r="D765" t="str">
            <v>HR</v>
          </cell>
          <cell r="E765">
            <v>58612</v>
          </cell>
        </row>
        <row r="766">
          <cell r="B766">
            <v>4394</v>
          </cell>
          <cell r="C766" t="str">
            <v>ADOQUIN DE CONCRETO TR. PESADO 20x10x8cm (Suministro e Instalación. Incluye Base 4cm Arena Nivelación y Arena de Sello)</v>
          </cell>
          <cell r="D766" t="str">
            <v>M2</v>
          </cell>
          <cell r="E766">
            <v>63009</v>
          </cell>
        </row>
        <row r="767">
          <cell r="B767">
            <v>4395</v>
          </cell>
          <cell r="C767" t="str">
            <v>ADOQUIN DE CONCRETO TR. LIVIANO 20x10x6cm (Suministro e Instalación. Incluye Base 4cm Arena Nivelación y Arena de Sello)</v>
          </cell>
          <cell r="D767" t="str">
            <v>M2</v>
          </cell>
          <cell r="E767">
            <v>56145</v>
          </cell>
        </row>
        <row r="768">
          <cell r="B768">
            <v>4396</v>
          </cell>
          <cell r="C768" t="str">
            <v>ADOQUIN DE ARCILLA TR. LIVIANO 20x10x6cm (Suministro e Instalación. Incluye Base 4cm Arena Nivelacion y Arena de Sello)</v>
          </cell>
          <cell r="D768" t="str">
            <v>M2</v>
          </cell>
          <cell r="E768">
            <v>43509</v>
          </cell>
        </row>
        <row r="769">
          <cell r="B769">
            <v>4402</v>
          </cell>
          <cell r="C769" t="str">
            <v>VALVULA COMPUERTA ELASTICA VASTAGO NO ASCENDENTE EXTREMO LISO D=4" (Suministro e Instalación)</v>
          </cell>
          <cell r="D769" t="str">
            <v>UN</v>
          </cell>
          <cell r="E769">
            <v>764764</v>
          </cell>
        </row>
        <row r="770">
          <cell r="B770">
            <v>4403</v>
          </cell>
          <cell r="C770" t="str">
            <v>VALVULA COMPUERTA ELASTICA VASTAGO NO ASCENDENTE EXTREMO LISO D=12" (Suministro e Instalación)</v>
          </cell>
          <cell r="D770" t="str">
            <v>UN</v>
          </cell>
          <cell r="E770">
            <v>4924611</v>
          </cell>
        </row>
        <row r="771">
          <cell r="B771">
            <v>4404</v>
          </cell>
          <cell r="C771" t="str">
            <v>CODO HD 11.25° JUNTA HIDRAULICA PARA PVC D=2" (Suministro e Instalación)</v>
          </cell>
          <cell r="D771" t="str">
            <v>UN</v>
          </cell>
          <cell r="E771">
            <v>96025</v>
          </cell>
        </row>
        <row r="772">
          <cell r="B772">
            <v>4405</v>
          </cell>
          <cell r="C772" t="str">
            <v>CODO HD 11.25° JUNTA HIDRAULICA PARA PVC D=3" (Suministro e Instalación)</v>
          </cell>
          <cell r="D772" t="str">
            <v>UN</v>
          </cell>
          <cell r="E772">
            <v>165162</v>
          </cell>
        </row>
        <row r="773">
          <cell r="B773">
            <v>4406</v>
          </cell>
          <cell r="C773" t="str">
            <v>CODO HD 11.25° JUNTA HIDRAULICA PARA PVC D=6" (Suministro e Instalación)</v>
          </cell>
          <cell r="D773" t="str">
            <v>UN</v>
          </cell>
          <cell r="E773">
            <v>363048</v>
          </cell>
        </row>
        <row r="774">
          <cell r="B774">
            <v>4407</v>
          </cell>
          <cell r="C774" t="str">
            <v>CODO HD 11.25° JUNTA HIDRAULICA PARA PVC D=4" (Suministro e Instalación)</v>
          </cell>
          <cell r="D774" t="str">
            <v>UN</v>
          </cell>
          <cell r="E774">
            <v>207335</v>
          </cell>
        </row>
        <row r="775">
          <cell r="B775">
            <v>4408</v>
          </cell>
          <cell r="C775" t="str">
            <v>CODO HD 11.25° JUNTA HIDRAULICA PARA PVC D=8" (Suministro e Instalación)</v>
          </cell>
          <cell r="D775" t="str">
            <v>UN</v>
          </cell>
          <cell r="E775">
            <v>559413</v>
          </cell>
        </row>
        <row r="776">
          <cell r="B776">
            <v>4409</v>
          </cell>
          <cell r="C776" t="str">
            <v>REDUCCION PVC TIPO U.M. 4"x2" (Suministro e Instalación)</v>
          </cell>
          <cell r="D776" t="str">
            <v>UN</v>
          </cell>
          <cell r="E776">
            <v>104409</v>
          </cell>
        </row>
        <row r="777">
          <cell r="B777">
            <v>4410</v>
          </cell>
          <cell r="C777" t="str">
            <v>REDUCCION PVC TIPO U.M. 4"x3" (Suministro e Instalación)</v>
          </cell>
          <cell r="D777" t="str">
            <v>UN</v>
          </cell>
          <cell r="E777">
            <v>64329</v>
          </cell>
        </row>
        <row r="778">
          <cell r="B778">
            <v>4411</v>
          </cell>
          <cell r="C778" t="str">
            <v>REDUCCION PVC TIPO U.M. 6"x4" (Suministro e Instalación)</v>
          </cell>
          <cell r="D778" t="str">
            <v>UN</v>
          </cell>
          <cell r="E778">
            <v>128545</v>
          </cell>
        </row>
        <row r="779">
          <cell r="B779">
            <v>4412</v>
          </cell>
          <cell r="C779" t="str">
            <v>REDUCCION CONCENTRICA HD 6"x3" (Suministro e Instalación)</v>
          </cell>
          <cell r="D779" t="str">
            <v>UN</v>
          </cell>
          <cell r="E779">
            <v>207539</v>
          </cell>
        </row>
        <row r="780">
          <cell r="B780">
            <v>4413</v>
          </cell>
          <cell r="C780" t="str">
            <v>REDUCCION CONCENTRICA HD 12"x6" (Suministro e Instalación)</v>
          </cell>
          <cell r="D780" t="str">
            <v>UN</v>
          </cell>
          <cell r="E780">
            <v>1129626</v>
          </cell>
        </row>
        <row r="781">
          <cell r="B781">
            <v>4414</v>
          </cell>
          <cell r="C781" t="str">
            <v>REDUCCION CONCENTRICA HD 12"x8" (Suministro e Instalación)</v>
          </cell>
          <cell r="D781" t="str">
            <v>UN</v>
          </cell>
          <cell r="E781">
            <v>1416166</v>
          </cell>
        </row>
        <row r="782">
          <cell r="B782">
            <v>4415</v>
          </cell>
          <cell r="C782" t="str">
            <v>TAPON PVC TIPO U.M. D=3" (Suministro e Instalación)</v>
          </cell>
          <cell r="D782" t="str">
            <v>UN</v>
          </cell>
          <cell r="E782">
            <v>38946</v>
          </cell>
        </row>
        <row r="783">
          <cell r="B783">
            <v>4416</v>
          </cell>
          <cell r="C783" t="str">
            <v>TAPON PVC TIPO U.M. D=4" (Suministro e Instalación)</v>
          </cell>
          <cell r="D783" t="str">
            <v>UN</v>
          </cell>
          <cell r="E783">
            <v>54743</v>
          </cell>
        </row>
        <row r="784">
          <cell r="B784">
            <v>4417</v>
          </cell>
          <cell r="C784" t="str">
            <v>TAPON PVC TIPO U.M. D=6" (Suministro e Instalación)</v>
          </cell>
          <cell r="D784" t="str">
            <v>UN</v>
          </cell>
          <cell r="E784">
            <v>121343</v>
          </cell>
        </row>
        <row r="785">
          <cell r="B785">
            <v>4418</v>
          </cell>
          <cell r="C785" t="str">
            <v>UNION DE REPARACION PVC TIPO U.M. D=2"  (Suministro e Instalación)</v>
          </cell>
          <cell r="D785" t="str">
            <v>UN</v>
          </cell>
          <cell r="E785">
            <v>20255</v>
          </cell>
        </row>
        <row r="786">
          <cell r="B786">
            <v>4419</v>
          </cell>
          <cell r="C786" t="str">
            <v>UNION DE REPARACION PVC TIPO U.M. D=3"  (Suministro e Instalación)</v>
          </cell>
          <cell r="D786" t="str">
            <v>UN</v>
          </cell>
          <cell r="E786">
            <v>37478</v>
          </cell>
        </row>
        <row r="787">
          <cell r="B787">
            <v>4420</v>
          </cell>
          <cell r="C787" t="str">
            <v>UNION DE REPARACION PVC TIPO U.M. D=4"  (Suministro e Instalación)</v>
          </cell>
          <cell r="D787" t="str">
            <v>UN</v>
          </cell>
          <cell r="E787">
            <v>52250</v>
          </cell>
        </row>
        <row r="788">
          <cell r="B788">
            <v>4421</v>
          </cell>
          <cell r="C788" t="str">
            <v>ACOPLE UNIVERSAL, UNION ALFA O MULTIUSOS D=3" (Suministro e Instalación)</v>
          </cell>
          <cell r="D788" t="str">
            <v>UN</v>
          </cell>
          <cell r="E788">
            <v>108631</v>
          </cell>
        </row>
        <row r="789">
          <cell r="B789">
            <v>4422</v>
          </cell>
          <cell r="C789" t="str">
            <v>ACOPLE UNIVERSAL, UNION ALFA O MULTIUSOS D=4" (Suministro e Instalación)</v>
          </cell>
          <cell r="D789" t="str">
            <v>UN</v>
          </cell>
          <cell r="E789">
            <v>122093</v>
          </cell>
        </row>
        <row r="790">
          <cell r="B790">
            <v>4423</v>
          </cell>
          <cell r="C790" t="str">
            <v>ACOPLE UNIVERSAL, UNION ALFA O MULTIUSOS D=6" (Suministro e Instalación)</v>
          </cell>
          <cell r="D790" t="str">
            <v>UN</v>
          </cell>
          <cell r="E790">
            <v>233721</v>
          </cell>
        </row>
        <row r="791">
          <cell r="B791">
            <v>4424</v>
          </cell>
          <cell r="C791" t="str">
            <v>ACOPLE UNIVERSAL, UNION ALFA O MULTIUSOS D=8" (Suministro e Instalación)</v>
          </cell>
          <cell r="D791" t="str">
            <v>UN</v>
          </cell>
          <cell r="E791">
            <v>296895</v>
          </cell>
        </row>
        <row r="792">
          <cell r="B792">
            <v>4425</v>
          </cell>
          <cell r="C792" t="str">
            <v>ACOPLE UNIVERSAL, UNION ALFA O MULTIUSOS D=10" (Suministro e Instalación)</v>
          </cell>
          <cell r="D792" t="str">
            <v>UN</v>
          </cell>
          <cell r="E792">
            <v>526878</v>
          </cell>
        </row>
        <row r="793">
          <cell r="B793">
            <v>4426</v>
          </cell>
          <cell r="C793" t="str">
            <v>ACOPLE UNIVERSAL, UNION ALFA O MULTIUSOS D=12" (Suministro e Instalación)</v>
          </cell>
          <cell r="D793" t="str">
            <v>UN</v>
          </cell>
          <cell r="E793">
            <v>714367</v>
          </cell>
        </row>
        <row r="794">
          <cell r="B794">
            <v>4427</v>
          </cell>
          <cell r="C794" t="str">
            <v>CONCRETO 3000 PSI PARA ZAPATA. Premezclado. No incluye bombeo</v>
          </cell>
          <cell r="D794" t="str">
            <v>M3</v>
          </cell>
          <cell r="E794">
            <v>503532</v>
          </cell>
        </row>
        <row r="795">
          <cell r="B795">
            <v>4428</v>
          </cell>
          <cell r="C795" t="str">
            <v>VIGA DE AMARRE EN CONCRETO DE 3000 PSI SECCION 20x20</v>
          </cell>
          <cell r="D795" t="str">
            <v>M</v>
          </cell>
          <cell r="E795">
            <v>30023</v>
          </cell>
        </row>
        <row r="796">
          <cell r="B796">
            <v>4429</v>
          </cell>
          <cell r="C796" t="str">
            <v>COLUMNA EN CONCRETO DE 3000 PSI SECCION 20x20</v>
          </cell>
          <cell r="D796" t="str">
            <v>M</v>
          </cell>
          <cell r="E796">
            <v>35504</v>
          </cell>
        </row>
        <row r="797">
          <cell r="B797">
            <v>4430</v>
          </cell>
          <cell r="C797" t="str">
            <v>VIGA DE AMARRE AEREA EN CONCRETO DE 3000 PSI SECCION 20x12</v>
          </cell>
          <cell r="D797" t="str">
            <v>M</v>
          </cell>
          <cell r="E797">
            <v>25505</v>
          </cell>
        </row>
        <row r="798">
          <cell r="B798">
            <v>4431</v>
          </cell>
          <cell r="C798" t="str">
            <v>PAÑETE LISO MURO 1:3 (No incluye andamio)</v>
          </cell>
          <cell r="D798" t="str">
            <v>M2</v>
          </cell>
          <cell r="E798">
            <v>18184</v>
          </cell>
        </row>
        <row r="799">
          <cell r="B799">
            <v>4432</v>
          </cell>
          <cell r="C799" t="str">
            <v>COLUMNA EN CONCRETO DE 3000 PSI SECCION 20x12</v>
          </cell>
          <cell r="D799" t="str">
            <v>M</v>
          </cell>
          <cell r="E799">
            <v>29423</v>
          </cell>
        </row>
        <row r="800">
          <cell r="B800">
            <v>4433</v>
          </cell>
          <cell r="C800" t="str">
            <v>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v>
          </cell>
          <cell r="D800" t="str">
            <v>M</v>
          </cell>
          <cell r="E800">
            <v>541725</v>
          </cell>
        </row>
        <row r="801">
          <cell r="B801">
            <v>4434</v>
          </cell>
          <cell r="C801" t="str">
            <v>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v>
          </cell>
          <cell r="D801" t="str">
            <v>M</v>
          </cell>
          <cell r="E801">
            <v>543241</v>
          </cell>
        </row>
        <row r="802">
          <cell r="B802">
            <v>4435</v>
          </cell>
          <cell r="C802" t="str">
            <v>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v>
          </cell>
          <cell r="D802" t="str">
            <v>M</v>
          </cell>
          <cell r="E802">
            <v>695405</v>
          </cell>
        </row>
        <row r="803">
          <cell r="B803">
            <v>4436</v>
          </cell>
          <cell r="C803" t="str">
            <v>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v>
          </cell>
          <cell r="D803" t="str">
            <v>M</v>
          </cell>
          <cell r="E803">
            <v>603277</v>
          </cell>
        </row>
        <row r="804">
          <cell r="B804">
            <v>4437</v>
          </cell>
          <cell r="C804" t="str">
            <v>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v>
          </cell>
          <cell r="D804" t="str">
            <v>M</v>
          </cell>
          <cell r="E804">
            <v>731813</v>
          </cell>
        </row>
        <row r="805">
          <cell r="B805">
            <v>4438</v>
          </cell>
          <cell r="C805" t="str">
            <v>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v>
          </cell>
          <cell r="D805" t="str">
            <v>M</v>
          </cell>
          <cell r="E805">
            <v>774668</v>
          </cell>
        </row>
        <row r="806">
          <cell r="B806">
            <v>4439</v>
          </cell>
          <cell r="C806" t="str">
            <v>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v>
          </cell>
          <cell r="D806" t="str">
            <v>M</v>
          </cell>
          <cell r="E806">
            <v>934917</v>
          </cell>
        </row>
        <row r="807">
          <cell r="B807">
            <v>4440</v>
          </cell>
          <cell r="C807" t="str">
            <v>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v>
          </cell>
          <cell r="D807" t="str">
            <v>M</v>
          </cell>
          <cell r="E807">
            <v>778564</v>
          </cell>
        </row>
        <row r="808">
          <cell r="B808">
            <v>4441</v>
          </cell>
          <cell r="C808" t="str">
            <v>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v>
          </cell>
          <cell r="D808" t="str">
            <v>M</v>
          </cell>
          <cell r="E808">
            <v>1005253</v>
          </cell>
        </row>
        <row r="809">
          <cell r="B809">
            <v>4442</v>
          </cell>
          <cell r="C809" t="str">
            <v>CANALIZACION VIA PUBLICA CUATRO (4) DUCTOS PVC TIPO DB-60 Ø4" EPM NORMA RS1-033. INCLUYE: EXCAVACIÓN, RELLENOS EN ARENA DE PEÑA Y EN SUB-BASE GRANULAR TIPO B-400 Y TRANSPORTE Y DISPOSICIÓN FINAL DE ESCOMBROS. NO INCLUYE: DEMOLICIÓN NI RECONSTRUCCIÓN DE ANDEN O PAVIMENTO, ENTIBADOS.</v>
          </cell>
          <cell r="D809" t="str">
            <v>M</v>
          </cell>
          <cell r="E809">
            <v>244485</v>
          </cell>
        </row>
        <row r="810">
          <cell r="B810">
            <v>4447</v>
          </cell>
          <cell r="C810" t="str">
            <v>CANALIZACION ZONA VERDE CUATRO (4) DUCTOS PVC TIPO DB-60 Ø6" DISPOSICIÓN LINEAL EPM NORMA RS1-005. DISPOSICIÓN LINEAL. INCLUYE: EXCAVACIÓN, RELLENOS, SIEMBRA DE GRAMA Y TRANSPORTE Y DISPOSICIÓN FINAL DE ESCOMBROS. NO INCLUYE: ENTIBADOS.</v>
          </cell>
          <cell r="D810" t="str">
            <v>M</v>
          </cell>
          <cell r="E810">
            <v>342063</v>
          </cell>
        </row>
        <row r="811">
          <cell r="B811">
            <v>4461</v>
          </cell>
          <cell r="C811" t="str">
            <v>CANALIZACION ZONA VERDE TRES (3) DUCTOS PVC TIPO DB-60 Ø4" MAS DOS (2) DUCTOS PVC TIPO DB-60 Ø6" EPM NORMA RS1-019. INCLUYE: EXCAVACIÓN, RELLENOS, SIEMBRA DE GRAMA Y TRANSPORTE Y DISPOSICIÓN FINAL DE ESCOMBROS. NO INCLUYE: ENTIBADOS.</v>
          </cell>
          <cell r="D811" t="str">
            <v>M</v>
          </cell>
          <cell r="E811">
            <v>288284</v>
          </cell>
        </row>
        <row r="812">
          <cell r="B812">
            <v>4477</v>
          </cell>
          <cell r="C812" t="str">
            <v>SUBBASE GRANULAR B-400 (Suministro, Extendido, Nivelación, Humedecimiento y Compactación con vibrocompactador)</v>
          </cell>
          <cell r="D812" t="str">
            <v>M3</v>
          </cell>
          <cell r="E812">
            <v>61445</v>
          </cell>
        </row>
        <row r="813">
          <cell r="B813">
            <v>4478</v>
          </cell>
          <cell r="C813" t="str">
            <v>CUADRILLA (2 AYUDANTES)</v>
          </cell>
          <cell r="D813" t="str">
            <v>JR</v>
          </cell>
          <cell r="E813">
            <v>90878</v>
          </cell>
        </row>
        <row r="814">
          <cell r="B814">
            <v>4479</v>
          </cell>
          <cell r="C814" t="str">
            <v>CUADRILLA (2 AYUDANTES)</v>
          </cell>
          <cell r="D814" t="str">
            <v>HR</v>
          </cell>
          <cell r="E814">
            <v>11360</v>
          </cell>
        </row>
        <row r="815">
          <cell r="B815">
            <v>4481</v>
          </cell>
          <cell r="C815" t="str">
            <v>CARCAMO DOCE DUCTOS ETB</v>
          </cell>
          <cell r="D815" t="str">
            <v>M</v>
          </cell>
          <cell r="E815">
            <v>177100</v>
          </cell>
        </row>
        <row r="816">
          <cell r="B816">
            <v>4485</v>
          </cell>
          <cell r="C816" t="str">
            <v>MEZCLA ASFÁLTICA EN CALIENTE TIPO DENSO MD20 ASF CONVENCIONAL 80-100 (Suministro, Extendido y Nivelación Manual y Compactación)  Incluye: VIBRO COMPACTADOR BENITIN DE 1 TONELADA - INCLUYE OPERARIO Y COMBUSTIBLE</v>
          </cell>
          <cell r="D816" t="str">
            <v>M3</v>
          </cell>
          <cell r="E816">
            <v>709205</v>
          </cell>
        </row>
        <row r="817">
          <cell r="B817">
            <v>4486</v>
          </cell>
          <cell r="C817" t="str">
            <v>MEZCLA ASFÁLTICA EN CALIENTE TIPO DENSO MD10 ASF CONVENCIONAL (Cemento asfáltico 80-100) (Suministro, Extendido y Nivelación Manual y Compactación con vibrocompactador BENITIN de 1 tonelada)</v>
          </cell>
          <cell r="D817" t="str">
            <v>M3</v>
          </cell>
          <cell r="E817">
            <v>698230</v>
          </cell>
        </row>
        <row r="818">
          <cell r="B818">
            <v>4487</v>
          </cell>
          <cell r="C818" t="str">
            <v>BASE GRANULAR CLASE A (BG_A) (Suministro, Extendido Manual, Humedecimiento y Compactación)</v>
          </cell>
          <cell r="D818" t="str">
            <v>M3</v>
          </cell>
          <cell r="E818">
            <v>119763</v>
          </cell>
        </row>
        <row r="819">
          <cell r="B819">
            <v>4488</v>
          </cell>
          <cell r="C819" t="str">
            <v>BASE GRANULAR CLASE B (BG_B) (Suministro, Extendido Manual, Humedecimiento y Compactación)</v>
          </cell>
          <cell r="D819" t="str">
            <v>M3</v>
          </cell>
          <cell r="E819">
            <v>115741</v>
          </cell>
        </row>
        <row r="820">
          <cell r="B820">
            <v>4489</v>
          </cell>
          <cell r="C820" t="str">
            <v>SUBBASE GRANULAR CLASE B (SBG_B) (Suministro, Extendido Manual, Humedecimiento y Compactación)</v>
          </cell>
          <cell r="D820" t="str">
            <v>M3</v>
          </cell>
          <cell r="E820">
            <v>112492</v>
          </cell>
        </row>
        <row r="821">
          <cell r="B821">
            <v>4490</v>
          </cell>
          <cell r="C821" t="str">
            <v xml:space="preserve">BACHEO EN PAVIMENTO FLEXIBLE e= 0.12m. (Incluye demolición manual y cargue de pavimento flexible de e=0.12m, transporte y disposición final de escombros, excavación y reposición base granular clase B (BG_B) e=0.25m, base asfaltica MD10) </v>
          </cell>
          <cell r="D821" t="str">
            <v>M2</v>
          </cell>
          <cell r="E821">
            <v>138509</v>
          </cell>
        </row>
        <row r="822">
          <cell r="B822">
            <v>4491</v>
          </cell>
          <cell r="C822" t="str">
            <v>REHABILITACIÓN DE PAVIMENTO FLEXIBLE e= 0.12m</v>
          </cell>
          <cell r="D822" t="str">
            <v>M2</v>
          </cell>
          <cell r="E822">
            <v>176081</v>
          </cell>
        </row>
        <row r="823">
          <cell r="B823">
            <v>4501</v>
          </cell>
          <cell r="C823" t="str">
            <v>FRESADO Y REPOSICIÓN DE PAVIMENTO FLEXIBLE e=0.12m</v>
          </cell>
          <cell r="D823" t="str">
            <v>M2</v>
          </cell>
          <cell r="E823">
            <v>90353</v>
          </cell>
        </row>
        <row r="824">
          <cell r="B824">
            <v>4502</v>
          </cell>
          <cell r="C824" t="str">
            <v>DEMOLICIÓN Y RECONSTRUCCIÓN DE LOSAS EN CONCRETO HIDRAULICO MR-45 e=0.18m</v>
          </cell>
          <cell r="D824" t="str">
            <v>M2</v>
          </cell>
          <cell r="E824">
            <v>167302</v>
          </cell>
        </row>
        <row r="825">
          <cell r="B825">
            <v>4503</v>
          </cell>
          <cell r="C825" t="str">
            <v>REHABILITACIÓN DE PAVIMENTO RÍGIDO: LOSAS EN CONCRETO HIDRAULICO MR-45 e=0.18m</v>
          </cell>
          <cell r="D825" t="str">
            <v>M2</v>
          </cell>
          <cell r="E825">
            <v>183371</v>
          </cell>
        </row>
        <row r="826">
          <cell r="B826">
            <v>4504</v>
          </cell>
          <cell r="C826" t="str">
            <v>CONSTRUCCIÓN DE PAVIMENTO RÍGIDO: LOSAS EN CONCRETO HIDRAULICO MR-45 e=0.18m</v>
          </cell>
          <cell r="D826" t="str">
            <v>M2</v>
          </cell>
          <cell r="E826">
            <v>212572</v>
          </cell>
        </row>
        <row r="827">
          <cell r="B827">
            <v>4505</v>
          </cell>
          <cell r="C827" t="str">
            <v>PARCHEO EN PAVIMENTO FLEXIBLE e=10cm. (Incluye demolición manual y cargue de pavimento flexible de e=0.10m, transporte y disposición final de escombros, imprimación, colocación y compactación MD20 e=6cm y MD12 e=4cm , riego CRR-1, imprima CLR-0)</v>
          </cell>
          <cell r="D827" t="str">
            <v>M2</v>
          </cell>
          <cell r="E827">
            <v>90025</v>
          </cell>
        </row>
        <row r="828">
          <cell r="B828">
            <v>4506</v>
          </cell>
          <cell r="C828" t="str">
            <v>BACHEO EN PAVIMENTO FLEXIBLE e= 0.10m. (Incluye demolición manual y cargue de pavimento flexible de e=0.10m, transporte y disposición final de escombros, excavación y reposición base granular clase C (BG_C) e=0.25m, base asfaltica MD10)</v>
          </cell>
          <cell r="D828" t="str">
            <v>M2</v>
          </cell>
          <cell r="E828">
            <v>130759</v>
          </cell>
        </row>
        <row r="829">
          <cell r="B829">
            <v>4507</v>
          </cell>
          <cell r="C829" t="str">
            <v>DEMOLICIÓN Y RECONSTRUCCIÓN DE LOSAS EN CONCRETO HIDRAULICO MR-41 e=0.18m</v>
          </cell>
          <cell r="D829" t="str">
            <v>M2</v>
          </cell>
          <cell r="E829">
            <v>164371</v>
          </cell>
        </row>
        <row r="830">
          <cell r="B830">
            <v>4508</v>
          </cell>
          <cell r="C830" t="str">
            <v>REHABILITACIÓN DE PAVIMENTO FLEXIBLE e= 0.10m B= 0.20m  SBG= 0.20m</v>
          </cell>
          <cell r="D830" t="str">
            <v>M2</v>
          </cell>
          <cell r="E830">
            <v>155604</v>
          </cell>
        </row>
        <row r="831">
          <cell r="B831">
            <v>4509</v>
          </cell>
          <cell r="C831" t="str">
            <v>REHABILITACIÓN DE PAVIMENTO RÍGIDO: LOSAS EN CONCRETO HIDRAULICO MR-41 e=0.18m. INCLUYE SARDINEL, GEOTEXTIL Y EXCAVACION EN BASE e=30cm., BASE BG_A e=30cm</v>
          </cell>
          <cell r="D831" t="str">
            <v>M2</v>
          </cell>
          <cell r="E831">
            <v>196956</v>
          </cell>
        </row>
        <row r="832">
          <cell r="B832">
            <v>4510</v>
          </cell>
          <cell r="C832" t="str">
            <v>FRESADO Y REPOSICIÓN DE PAVIMENTO FLEXIBLE e=0.10m</v>
          </cell>
          <cell r="D832" t="str">
            <v>M2</v>
          </cell>
          <cell r="E832">
            <v>76546</v>
          </cell>
        </row>
        <row r="833">
          <cell r="B833">
            <v>4511</v>
          </cell>
          <cell r="C833" t="str">
            <v>CONSTRUCCIÓN DE PAVIMENTO FLEXIBLE e= 0.10m Incluye sardinel</v>
          </cell>
          <cell r="D833" t="str">
            <v>M2</v>
          </cell>
          <cell r="E833">
            <v>194303</v>
          </cell>
        </row>
        <row r="834">
          <cell r="B834">
            <v>4512</v>
          </cell>
          <cell r="C834" t="str">
            <v>CONSTRUCCIÓN DE PAVIMENTO RÍGIDO: LOSAS EN CONCRETO HIDRAULICO MR-41 e=0.18m</v>
          </cell>
          <cell r="D834" t="str">
            <v>M2</v>
          </cell>
          <cell r="E834">
            <v>216989</v>
          </cell>
        </row>
        <row r="835">
          <cell r="B835">
            <v>4513</v>
          </cell>
          <cell r="C835" t="str">
            <v>BASE GRANULAR CLASE C (BG_C) (Suministro, Extendido Manual, Humedecimiento y Compactación)</v>
          </cell>
          <cell r="D835" t="str">
            <v>M3</v>
          </cell>
          <cell r="E835">
            <v>115741</v>
          </cell>
        </row>
        <row r="836">
          <cell r="B836">
            <v>4514</v>
          </cell>
          <cell r="C836" t="str">
            <v>PARCHEO EN PAVIMENTO FLEXIBLE e=0.14m.  (Incluye demolición manual y cargue de pavimento flexible de e=0.14m, transporte y disposición final de escombros, imprimación, colocación y compactación MD20 e=10cm y MD12 e=4cm , riego CRR-1, imprima CLR-0)</v>
          </cell>
          <cell r="D836" t="str">
            <v>M2</v>
          </cell>
          <cell r="E836">
            <v>119646</v>
          </cell>
        </row>
        <row r="837">
          <cell r="B837">
            <v>4515</v>
          </cell>
          <cell r="C837" t="str">
            <v xml:space="preserve">BACHEO EN PAVIMENTO FLEXIBLE e= 0.14m. (Incluye demolición manual y cargue de pavimento flexible de e=0.14m, transporte y disposición final de escombros, excavación y reposición base granular clase A (BG_A) e=0.20m, base asfaltica MD10) </v>
          </cell>
          <cell r="D837" t="str">
            <v>M2</v>
          </cell>
          <cell r="E837">
            <v>154074</v>
          </cell>
        </row>
        <row r="838">
          <cell r="B838">
            <v>4516</v>
          </cell>
          <cell r="C838" t="str">
            <v>FRESADO Y REPOSICIÓN DE PAVIMENTO FLEXIBLE e=0.14m</v>
          </cell>
          <cell r="D838" t="str">
            <v>M2</v>
          </cell>
          <cell r="E838">
            <v>104161</v>
          </cell>
        </row>
        <row r="839">
          <cell r="B839">
            <v>4517</v>
          </cell>
          <cell r="C839" t="str">
            <v>DEMOLICIÓN Y RECONSTRUCCIÓN DE LOSAS EN CONCRETO HIDRAULICO MR-45 e=0.20m</v>
          </cell>
          <cell r="D839" t="str">
            <v>M2</v>
          </cell>
          <cell r="E839">
            <v>180685</v>
          </cell>
        </row>
        <row r="840">
          <cell r="B840">
            <v>4518</v>
          </cell>
          <cell r="C840" t="str">
            <v>SOBRECARPETA: RODADURA ASFÁLTICA e=0.04m</v>
          </cell>
          <cell r="D840" t="str">
            <v>M2</v>
          </cell>
          <cell r="E840">
            <v>29408</v>
          </cell>
        </row>
        <row r="841">
          <cell r="B841">
            <v>4519</v>
          </cell>
          <cell r="C841" t="str">
            <v>SOBRECARPETA: RODADURA ASFÁLTICA e=0.06m</v>
          </cell>
          <cell r="D841" t="str">
            <v>M2</v>
          </cell>
          <cell r="E841">
            <v>41849</v>
          </cell>
        </row>
        <row r="842">
          <cell r="B842">
            <v>4520</v>
          </cell>
          <cell r="C842" t="str">
            <v>SOBRECARPETA: RODADURA ASFÁLTICA e=0.08m</v>
          </cell>
          <cell r="D842" t="str">
            <v>M2</v>
          </cell>
          <cell r="E842">
            <v>49235</v>
          </cell>
        </row>
        <row r="843">
          <cell r="B843">
            <v>4522</v>
          </cell>
          <cell r="C843" t="str">
            <v>BACHEO EN PAVIMENTO FLEXIBLE e= 0.12m (ESTABILIZACIÓN DE BASE GRANULAR CON EMULSIÓN + CEMENTO 5% e=0.10m. Incluye demolición y cargue de pavimento flexible de e=0.12m, transporte y disposición escombros, excavación y base (BG-B) e=0.10, MD 10)</v>
          </cell>
          <cell r="D843" t="str">
            <v>M2</v>
          </cell>
          <cell r="E843">
            <v>142516</v>
          </cell>
        </row>
        <row r="844">
          <cell r="B844">
            <v>4523</v>
          </cell>
          <cell r="C844" t="str">
            <v>CONSTRUCCIÓN PAVIMENTO ARTICULADO EN ADOQUIN DE ARCILLA - TRAFICO LIVIANO</v>
          </cell>
          <cell r="D844" t="str">
            <v>M2</v>
          </cell>
          <cell r="E844">
            <v>150186</v>
          </cell>
        </row>
        <row r="845">
          <cell r="B845">
            <v>4524</v>
          </cell>
          <cell r="C845" t="str">
            <v>CONSTRUCCIÓN PAVIMENTO ARTICULADO EN ADOQUIN DE ARCILLA - TRAFICO PESADO</v>
          </cell>
          <cell r="D845" t="str">
            <v>M2</v>
          </cell>
          <cell r="E845">
            <v>156517</v>
          </cell>
        </row>
        <row r="846">
          <cell r="B846">
            <v>4525</v>
          </cell>
          <cell r="C846" t="str">
            <v>SELLADO DE JUNTAS EN PAVIMENTO FLEXIBLE (Incluye Limpieza, Suministro e Instalación de Fondo y Emulsión Asfáltica CRR-1)</v>
          </cell>
          <cell r="D846" t="str">
            <v>M</v>
          </cell>
          <cell r="E846">
            <v>4374</v>
          </cell>
        </row>
        <row r="847">
          <cell r="B847">
            <v>4541</v>
          </cell>
          <cell r="C847" t="str">
            <v>PARCHEO EN PAVIMENTO FLEXIBLE CON MD12. (Incluye demolición manual y cargue de pavimento flexible, transporte y disposición final de escombros, imprimación, colocación y compactación base asfáltica MD12, riego CRR-1)</v>
          </cell>
          <cell r="D847" t="str">
            <v>M3</v>
          </cell>
          <cell r="E847">
            <v>819507</v>
          </cell>
        </row>
        <row r="848">
          <cell r="B848">
            <v>4542</v>
          </cell>
          <cell r="C848" t="str">
            <v>PARCHEO EN PAVIMENTO FLEXIBLE CON MD-12. (Incluye demolición manual y cargue de pavimento flexible, transporte y disposición final de escombros, imprimación, colocación y compactación base asfáltica MD-12, riego CRR-1)</v>
          </cell>
          <cell r="D848" t="str">
            <v>M3</v>
          </cell>
          <cell r="E848">
            <v>819507</v>
          </cell>
        </row>
        <row r="849">
          <cell r="B849">
            <v>4543</v>
          </cell>
          <cell r="C849" t="str">
            <v>SARDINEL  PREFABRICADO ALTO RAMPAS A86 (Suministro e Instalación. Incluye 3cm Mortero de Nivelación 1:5)</v>
          </cell>
          <cell r="D849" t="str">
            <v>M</v>
          </cell>
          <cell r="E849">
            <v>40932</v>
          </cell>
        </row>
        <row r="850">
          <cell r="B850">
            <v>4544</v>
          </cell>
          <cell r="C850" t="str">
            <v>SARDINEL PREFABRICADO ALTO RAMPAS A86 (Suministro e Instalación. Incluye 3cm Mortero de Nivelación 2000 PSI)</v>
          </cell>
          <cell r="D850" t="str">
            <v>M</v>
          </cell>
          <cell r="E850">
            <v>41708</v>
          </cell>
        </row>
        <row r="851">
          <cell r="B851">
            <v>4545</v>
          </cell>
          <cell r="C851" t="str">
            <v>SARDINEL PREFABRICADO ALTO RAMPAS A86 (Suministro e Instalación. sin material de base)</v>
          </cell>
          <cell r="D851" t="str">
            <v>M</v>
          </cell>
          <cell r="E851">
            <v>39440</v>
          </cell>
        </row>
        <row r="852">
          <cell r="B852">
            <v>4549</v>
          </cell>
          <cell r="C852" t="str">
            <v>SUMIDERO ALCANTARILLADO COMBINADO EN ANDEN NS-047-1V4 EAAB</v>
          </cell>
          <cell r="D852" t="str">
            <v>UN</v>
          </cell>
          <cell r="E852">
            <v>4030580</v>
          </cell>
        </row>
        <row r="853">
          <cell r="B853">
            <v>4550</v>
          </cell>
          <cell r="C853" t="str">
            <v>SUMIDERO ALCANTARILLADO COMBINADO EN VIA NS-047-1V4 EAAB</v>
          </cell>
          <cell r="D853" t="str">
            <v>UN</v>
          </cell>
          <cell r="E853">
            <v>2914418</v>
          </cell>
        </row>
        <row r="854">
          <cell r="B854">
            <v>4551</v>
          </cell>
          <cell r="C854" t="str">
            <v>SUMIDERO ALCANTARILLADO PLUVIAL EN ANDEN NS-047-1V4 EAAB</v>
          </cell>
          <cell r="D854" t="str">
            <v>UN</v>
          </cell>
          <cell r="E854">
            <v>3153390</v>
          </cell>
        </row>
        <row r="855">
          <cell r="B855">
            <v>4552</v>
          </cell>
          <cell r="C855" t="str">
            <v>PAVIMENTO CICLO-RUTA EN RODADURA ASFALTICA  MD10 5CM</v>
          </cell>
          <cell r="D855" t="str">
            <v>M2</v>
          </cell>
          <cell r="E855">
            <v>22530</v>
          </cell>
        </row>
        <row r="856">
          <cell r="B856">
            <v>4553</v>
          </cell>
          <cell r="C856" t="str">
            <v>POZO DE INSPECCION D=1.7 M (INCL. SUMINISTRO E INSTALACION). INCLUYE CILINDRO POZO DE INSPECCION EN MAMPOSTERIA, CONO PREFABRICADO, PLACA FONDO.</v>
          </cell>
          <cell r="D856" t="str">
            <v>UN</v>
          </cell>
          <cell r="E856">
            <v>2406868</v>
          </cell>
        </row>
        <row r="857">
          <cell r="B857">
            <v>4555</v>
          </cell>
          <cell r="C857" t="str">
            <v>LOSA DE PAVIMENTO EN CONCRETO HIDRAULICO MR50 CON FORMALETA FIJA, HIERROS DE TRANSFERENCIA, HIERROS DE AMARRE, ADITIVOS</v>
          </cell>
          <cell r="D857" t="str">
            <v>M3</v>
          </cell>
          <cell r="E857">
            <v>544391</v>
          </cell>
        </row>
        <row r="858">
          <cell r="B858">
            <v>4556</v>
          </cell>
          <cell r="C858" t="str">
            <v>SUBBASE GRANULAR CLASE A (SBG_A) (Suministro, Extendido Manual, Humedecimiento y Compactación)</v>
          </cell>
          <cell r="D858" t="str">
            <v>M3</v>
          </cell>
          <cell r="E858">
            <v>112492</v>
          </cell>
        </row>
        <row r="859">
          <cell r="B859">
            <v>4557</v>
          </cell>
          <cell r="C859" t="str">
            <v>SUBBASE GRANULAR CLASE C (SBG_C) (Suministro, Extendido Manual, Humedecimiento y Compactación)</v>
          </cell>
          <cell r="D859" t="str">
            <v>M3</v>
          </cell>
          <cell r="E859">
            <v>109398</v>
          </cell>
        </row>
        <row r="860">
          <cell r="B860">
            <v>4558</v>
          </cell>
          <cell r="C860" t="str">
            <v>SUMIDERO ALCANTARILLADO PLUVIAL EN VIA NS-047-1V4 EAAB</v>
          </cell>
          <cell r="D860" t="str">
            <v>UN</v>
          </cell>
          <cell r="E860">
            <v>4025577</v>
          </cell>
        </row>
        <row r="861">
          <cell r="B861">
            <v>4559</v>
          </cell>
          <cell r="C861" t="str">
            <v>CONCRETO 1500 PSI (Hecho en Obra 1:3:5 con arena y gravilla de río)</v>
          </cell>
          <cell r="D861" t="str">
            <v>M3</v>
          </cell>
          <cell r="E861">
            <v>225884</v>
          </cell>
        </row>
        <row r="862">
          <cell r="B862">
            <v>4560</v>
          </cell>
          <cell r="C862" t="str">
            <v>CONCRETO 2500 PSI (Hecho en Obra con material de río)</v>
          </cell>
          <cell r="D862" t="str">
            <v>M3</v>
          </cell>
          <cell r="E862">
            <v>253965</v>
          </cell>
        </row>
        <row r="863">
          <cell r="B863">
            <v>4561</v>
          </cell>
          <cell r="C863" t="str">
            <v>CONCRETO 3000 PSI (Hecho en Obra 1:2:2 con material de río)</v>
          </cell>
          <cell r="D863" t="str">
            <v>M3</v>
          </cell>
          <cell r="E863">
            <v>302679</v>
          </cell>
        </row>
        <row r="864">
          <cell r="B864">
            <v>4562</v>
          </cell>
          <cell r="C864" t="str">
            <v>RELLENO PARA ANDENES EN SUBBASE GRANULAR B-600 (Suministro, Extendido, Humedecimiento y Compactación)</v>
          </cell>
          <cell r="D864" t="str">
            <v>M3</v>
          </cell>
          <cell r="E864">
            <v>85420</v>
          </cell>
        </row>
        <row r="865">
          <cell r="B865">
            <v>4563</v>
          </cell>
          <cell r="C865" t="str">
            <v>RELLENO PARA ANDENES EN SUBBASE GRANULAR B-200 (Suministro, Extendido, Humedecimiento y Compactación)</v>
          </cell>
          <cell r="D865" t="str">
            <v>M3</v>
          </cell>
          <cell r="E865">
            <v>57574</v>
          </cell>
        </row>
        <row r="866">
          <cell r="B866">
            <v>4564</v>
          </cell>
          <cell r="C866" t="str">
            <v>CONCRETO 2000 PSI (Hecho en Obra 1:3:3 con material de río)</v>
          </cell>
          <cell r="D866" t="str">
            <v>M3</v>
          </cell>
          <cell r="E866">
            <v>254942</v>
          </cell>
        </row>
        <row r="867">
          <cell r="B867">
            <v>4565</v>
          </cell>
          <cell r="C867" t="str">
            <v>CONCRETO 3500 PSI (Hecho en Obra con material de río)</v>
          </cell>
          <cell r="D867" t="str">
            <v>M3</v>
          </cell>
          <cell r="E867">
            <v>302354</v>
          </cell>
        </row>
        <row r="868">
          <cell r="B868">
            <v>4566</v>
          </cell>
          <cell r="C868" t="str">
            <v>CONCRETO 4000 PSI (Hecho en Obra con material de río)</v>
          </cell>
          <cell r="D868" t="str">
            <v>M3</v>
          </cell>
          <cell r="E868">
            <v>313180</v>
          </cell>
        </row>
        <row r="869">
          <cell r="B869">
            <v>4567</v>
          </cell>
          <cell r="C869" t="str">
            <v>MEZCLA ASFÁLTICA EN CALIENTE TIPO DENSO MD12 ASF CONVENCIONAL con Cemento Asfáltico 80-100 (Suministro, Extendido y Nivelación Manual y Compactación con vibrocompactador Benitin de 1 tonelada incluye operario y combustible)</v>
          </cell>
          <cell r="D869" t="str">
            <v>M3</v>
          </cell>
          <cell r="E869">
            <v>725398</v>
          </cell>
        </row>
        <row r="870">
          <cell r="B870">
            <v>4568</v>
          </cell>
          <cell r="C870" t="str">
            <v>MEZCLA DENSA EN CALIENTE MD-12 Asfalto 80-100 (Suministro, Extendido y Nivelación Manual y Compactación)</v>
          </cell>
          <cell r="D870" t="str">
            <v>M3</v>
          </cell>
          <cell r="E870">
            <v>725398</v>
          </cell>
        </row>
        <row r="871">
          <cell r="B871">
            <v>4569</v>
          </cell>
          <cell r="C871" t="str">
            <v>ESTOPEROLES DE 10 cm x 2.5 cm. SUMINISTRO E INSTALACION.</v>
          </cell>
          <cell r="D871" t="str">
            <v>UN</v>
          </cell>
          <cell r="E871">
            <v>4936</v>
          </cell>
        </row>
        <row r="872">
          <cell r="B872">
            <v>4575</v>
          </cell>
          <cell r="C872" t="str">
            <v>CONSTRUCCION DE ANDEN EN ADOQUIN DE ARCILLA SOBRE ARENA. NO INCLUYE BORDILLO. NO INCLUYE REDES</v>
          </cell>
          <cell r="D872" t="str">
            <v>M2</v>
          </cell>
          <cell r="E872">
            <v>124578</v>
          </cell>
        </row>
        <row r="873">
          <cell r="B873">
            <v>4576</v>
          </cell>
          <cell r="C873" t="str">
            <v>CONSTRUCCION DE ANDEN EN LOSA DE CONCRETO DE 3000 PSI. NO INCLUYE BORDILLO. NO INCLUYE REDES.</v>
          </cell>
          <cell r="D873" t="str">
            <v>M2</v>
          </cell>
          <cell r="E873">
            <v>125508</v>
          </cell>
        </row>
        <row r="874">
          <cell r="B874">
            <v>4577</v>
          </cell>
          <cell r="C874" t="str">
            <v>CONSTRUCCION DE CICLORUTA. NO INCLUYE REDES.</v>
          </cell>
          <cell r="D874" t="str">
            <v>M2</v>
          </cell>
          <cell r="E874">
            <v>107997</v>
          </cell>
        </row>
        <row r="875">
          <cell r="B875">
            <v>4578</v>
          </cell>
          <cell r="C875" t="str">
            <v>CONSTRUCCION DE BORDILLO PREFABRICADO A80. NO INCLUYE REDES</v>
          </cell>
          <cell r="D875" t="str">
            <v>M</v>
          </cell>
          <cell r="E875">
            <v>58147</v>
          </cell>
        </row>
        <row r="876">
          <cell r="B876">
            <v>4579</v>
          </cell>
          <cell r="C876" t="str">
            <v>REHABILITACION ANDEN ADOQUIN ARCILLA TR LIVIANO SOBRE MORTERO. NO INCL BORDILLO. INCL. RETIRO ADOQUIN E INSTALAR NUEVO. NO INCLUYE REDES.</v>
          </cell>
          <cell r="D876" t="str">
            <v>M2</v>
          </cell>
          <cell r="E876">
            <v>94836</v>
          </cell>
        </row>
        <row r="877">
          <cell r="B877">
            <v>4581</v>
          </cell>
          <cell r="C877" t="str">
            <v>RETIRO DE ADOQUIN SOBRE MORTERO</v>
          </cell>
          <cell r="D877" t="str">
            <v>M2</v>
          </cell>
          <cell r="E877">
            <v>1903</v>
          </cell>
        </row>
        <row r="878">
          <cell r="B878">
            <v>4582</v>
          </cell>
          <cell r="C878" t="str">
            <v>REHABILITACION DE ANDEN EN LOSA DE CONCRETO DE 3000 PSI. NO INCLUYE BORDILLO. NO INCLUYE REDES.</v>
          </cell>
          <cell r="D878" t="str">
            <v>M2</v>
          </cell>
          <cell r="E878">
            <v>86441</v>
          </cell>
        </row>
        <row r="879">
          <cell r="B879">
            <v>4583</v>
          </cell>
          <cell r="C879" t="str">
            <v>REHABILITACION ZONA VERDE e=10 cm. INCLUYE DESCAPOTE, SIEMBRA DE GRAMA, TIERRA NEGRA Y RETIRO DE MATERIAL ORGANICO. NO INCLUYE REDES.</v>
          </cell>
          <cell r="D879" t="str">
            <v>M2</v>
          </cell>
          <cell r="E879">
            <v>19496</v>
          </cell>
        </row>
        <row r="880">
          <cell r="B880">
            <v>4584</v>
          </cell>
          <cell r="C880" t="str">
            <v>REHABILITACION DE CICLORUTA. NO INCLUYE REDES.</v>
          </cell>
          <cell r="D880" t="str">
            <v>M2</v>
          </cell>
          <cell r="E880">
            <v>70178</v>
          </cell>
        </row>
        <row r="881">
          <cell r="B881">
            <v>4585</v>
          </cell>
          <cell r="C881" t="str">
            <v>REHABILITACIÓN DE PAVIMENTO RÍGIDO: LOSAS EN CONCRETO HIDRAULICO MR-41 e=0.18m.  EXCAVACION EN BASE e=15cm., BASE BG_B e=15cm. NO INCLUYE SARDINEL, GEOTEXTIL.</v>
          </cell>
          <cell r="D881" t="str">
            <v>M2</v>
          </cell>
          <cell r="E881">
            <v>151940</v>
          </cell>
        </row>
        <row r="882">
          <cell r="B882">
            <v>4586</v>
          </cell>
          <cell r="C882" t="str">
            <v>REHABILITACION PAVIMENTO ARTICULADO EN ADOQUIN DE ARCILLA - TRAFICO PESADO</v>
          </cell>
          <cell r="D882" t="str">
            <v>M2</v>
          </cell>
          <cell r="E882">
            <v>74072</v>
          </cell>
        </row>
        <row r="883">
          <cell r="B883">
            <v>4588</v>
          </cell>
          <cell r="C883" t="str">
            <v>CONSTRUCCION DE ESCALERAS EN CONCRETO</v>
          </cell>
          <cell r="D883" t="str">
            <v>M2</v>
          </cell>
          <cell r="E883">
            <v>263241</v>
          </cell>
        </row>
        <row r="884">
          <cell r="B884">
            <v>4589</v>
          </cell>
          <cell r="C884" t="str">
            <v>MANTENIMIENTO PREVENTIVO ESPACIO PUBLICO EN ADOQUIN INCLUYE SELLO DE JUNTAS, BARRIDO, Y RETIRO MANUAL DE CAPA VEGETAL</v>
          </cell>
          <cell r="D884" t="str">
            <v>M2</v>
          </cell>
          <cell r="E884">
            <v>1356</v>
          </cell>
        </row>
        <row r="885">
          <cell r="B885">
            <v>4592</v>
          </cell>
          <cell r="C885" t="str">
            <v>RETIRO DE ADOQUIN SOBRE ARENA</v>
          </cell>
          <cell r="D885" t="str">
            <v>M2</v>
          </cell>
          <cell r="E885">
            <v>1251</v>
          </cell>
        </row>
        <row r="886">
          <cell r="B886">
            <v>4593</v>
          </cell>
          <cell r="C886" t="str">
            <v>ADOQUIN DE ARCILLA TR. LIVIANO 20x10x6cm (Suministro e Instalación. Incluye Base 4cm mortero 2000 y Arena de Sello)</v>
          </cell>
          <cell r="D886" t="str">
            <v>M2</v>
          </cell>
          <cell r="E886">
            <v>57179</v>
          </cell>
        </row>
        <row r="887">
          <cell r="B887">
            <v>4594</v>
          </cell>
          <cell r="C887" t="str">
            <v>REHABILITACION ANDEN ADOQUIN ARCILLA TR LIVIANO SOBRE ARENA NO INCL BORDILLO. INCL. DEMOLICION ADOQUIN E INSTALAR NUEVO. NO INCLUYE REDES.</v>
          </cell>
          <cell r="D887" t="str">
            <v>M2</v>
          </cell>
          <cell r="E887">
            <v>82392</v>
          </cell>
        </row>
        <row r="888">
          <cell r="B888">
            <v>4595</v>
          </cell>
          <cell r="C888" t="str">
            <v>MANTENIMIENTO CORRECTIVO DE ESPACIO PUBLICO ADOQUIN DE ARCILLA LIVIANO SOBRE MORTERO.  INCL. RETIRO ADOQUIN E INSTALAR NUEVO. NO INCLUYE REDES.</v>
          </cell>
          <cell r="D888" t="str">
            <v>M2</v>
          </cell>
          <cell r="E888">
            <v>61490</v>
          </cell>
        </row>
        <row r="889">
          <cell r="B889">
            <v>4596</v>
          </cell>
          <cell r="C889" t="str">
            <v>MANTENIMIENTO CORRECTIVO ESPACIO PUBLICO EN ADOQUIN DE ARCILLA LIVIANO SOBRE ARENA. INCL. RETIRO ADOQUIN E INSTALAR NUEVO. NO INCLUYE REDES.</v>
          </cell>
          <cell r="D889" t="str">
            <v>M2</v>
          </cell>
          <cell r="E889">
            <v>47168</v>
          </cell>
        </row>
        <row r="890">
          <cell r="B890">
            <v>4597</v>
          </cell>
          <cell r="C890" t="str">
            <v>MANTENIMIENTO PREVENTIVO PARA CICLORUTAS</v>
          </cell>
          <cell r="D890" t="str">
            <v>M2</v>
          </cell>
          <cell r="E890">
            <v>9481</v>
          </cell>
        </row>
        <row r="891">
          <cell r="B891">
            <v>4598</v>
          </cell>
          <cell r="C891" t="str">
            <v>SELLO DE GRIETAS</v>
          </cell>
          <cell r="D891" t="str">
            <v>M</v>
          </cell>
          <cell r="E891">
            <v>6276</v>
          </cell>
        </row>
        <row r="892">
          <cell r="B892">
            <v>4599</v>
          </cell>
          <cell r="C892" t="str">
            <v>TRATAMIENTO SUPERFICIAL SIMPLE</v>
          </cell>
          <cell r="D892" t="str">
            <v>M2</v>
          </cell>
          <cell r="E892">
            <v>29143</v>
          </cell>
        </row>
        <row r="893">
          <cell r="B893">
            <v>4600</v>
          </cell>
          <cell r="C893" t="str">
            <v>TRATAMIENTO SUPERFICIAL DOBLE</v>
          </cell>
          <cell r="D893" t="str">
            <v>M2</v>
          </cell>
          <cell r="E893">
            <v>62288</v>
          </cell>
        </row>
        <row r="894">
          <cell r="B894">
            <v>4601</v>
          </cell>
          <cell r="C894" t="str">
            <v>SOBRECARPETA: RODADURA ASFÁLTICA e=0.05m</v>
          </cell>
          <cell r="D894" t="str">
            <v>M2</v>
          </cell>
          <cell r="E894">
            <v>35207</v>
          </cell>
        </row>
        <row r="895">
          <cell r="B895">
            <v>4602</v>
          </cell>
          <cell r="C895" t="str">
            <v>RECONSTRUCCION TRATAMIENTO SUPERFICIAL DOBLE</v>
          </cell>
          <cell r="D895" t="str">
            <v>M2</v>
          </cell>
          <cell r="E895">
            <v>75468</v>
          </cell>
        </row>
        <row r="896">
          <cell r="B896">
            <v>4603</v>
          </cell>
          <cell r="C896" t="str">
            <v>CONSTRUCCION DE CAMINO EN GRAVA</v>
          </cell>
          <cell r="D896" t="str">
            <v>M2</v>
          </cell>
          <cell r="E896">
            <v>1125</v>
          </cell>
        </row>
        <row r="897">
          <cell r="B897">
            <v>4604</v>
          </cell>
          <cell r="C897" t="str">
            <v>DESCAPOTE A MAQUINA EN MATERIAL COMUN (e=0.1m. Incluye Cargue). INCLUYE DISPOSICION FINAL DE ESCOMBROS</v>
          </cell>
          <cell r="D897" t="str">
            <v>M2</v>
          </cell>
          <cell r="E897">
            <v>3862</v>
          </cell>
        </row>
        <row r="898">
          <cell r="B898">
            <v>4605</v>
          </cell>
          <cell r="C898" t="str">
            <v>CONSTRUCCIÓN DE PAVIMENTO FLEXIBLE e= 0.10m (no incluye sardinel)</v>
          </cell>
          <cell r="D898" t="str">
            <v>M2</v>
          </cell>
          <cell r="E898">
            <v>171315</v>
          </cell>
        </row>
        <row r="899">
          <cell r="B899">
            <v>4606</v>
          </cell>
          <cell r="C899" t="str">
            <v>TRITURADO 3/4" e=0.1M. SUMINISTRO E INSTALACION.</v>
          </cell>
          <cell r="D899" t="str">
            <v>M2</v>
          </cell>
          <cell r="E899">
            <v>17312</v>
          </cell>
        </row>
        <row r="900">
          <cell r="B900">
            <v>4607</v>
          </cell>
          <cell r="C900" t="str">
            <v>CONSTRUCCION DE CAMINO CON SUBBASE GRANULAR TIPO C SBG-C e=0.30MT</v>
          </cell>
          <cell r="D900" t="str">
            <v>M2</v>
          </cell>
          <cell r="E900">
            <v>42651</v>
          </cell>
        </row>
        <row r="901">
          <cell r="B901">
            <v>4608</v>
          </cell>
          <cell r="C901" t="str">
            <v>REHABILITACION DE CAMINO CON SUBBASE GRANULAR TIPO C SBG-C e=0.30MT</v>
          </cell>
          <cell r="D901" t="str">
            <v>M2</v>
          </cell>
          <cell r="E901">
            <v>21326</v>
          </cell>
        </row>
        <row r="902">
          <cell r="B902">
            <v>4609</v>
          </cell>
          <cell r="C902" t="str">
            <v>CONSTRUCCIÓN DE CAMINO CON SUBBASE GRANULAR TIPO C SBG-C e=0.30MT INCLUYE TRANSPORTE Y DISPOSICIÓN DE ESCOMBRO Y TRATAMIENTO SUPERFICIAL SIMPLE</v>
          </cell>
          <cell r="D902" t="str">
            <v>M2</v>
          </cell>
          <cell r="E902">
            <v>72513</v>
          </cell>
        </row>
        <row r="903">
          <cell r="B903">
            <v>4610</v>
          </cell>
          <cell r="C903" t="str">
            <v>MANTENIMIENTO CORRECTIVO DE CICLORUTAS (SOBRECARPETA: RODADURA ASFÁLTICA e=0.04m)</v>
          </cell>
          <cell r="D903" t="str">
            <v>M2</v>
          </cell>
          <cell r="E903">
            <v>35699</v>
          </cell>
        </row>
        <row r="904">
          <cell r="B904">
            <v>4611</v>
          </cell>
          <cell r="C904" t="str">
            <v>CARCAMO TIPO PLACA DE PROTECCIÓN PARA TUBERÍA Ø 8" NORMA EAAB NS-090 . 3v.2. INCLUYE: DESPERDICIOS, COMPACTACIÓN Y DESPUNTES.</v>
          </cell>
          <cell r="D904" t="str">
            <v>M</v>
          </cell>
          <cell r="E904">
            <v>115178</v>
          </cell>
        </row>
        <row r="905">
          <cell r="B905">
            <v>4612</v>
          </cell>
          <cell r="C905" t="str">
            <v>CARCAMO TIPO PLACA DE PROTECCIÓN PARA TUBERÍA Ø 10" NORMA EAAB NS-090 . 3v.2. INCLUYE: DESPERDICIOS, COMPACTACIÓN Y DESPUNTES.</v>
          </cell>
          <cell r="D905" t="str">
            <v>M</v>
          </cell>
          <cell r="E905">
            <v>115558</v>
          </cell>
        </row>
        <row r="906">
          <cell r="B906">
            <v>4613</v>
          </cell>
          <cell r="C906" t="str">
            <v>TRANSPORTE Y DISPOSICION FINAL DE ESCOMBROS EN SITIO AUTORIZADO (distancia de transporte 28 Km)</v>
          </cell>
          <cell r="D906" t="str">
            <v>M3</v>
          </cell>
          <cell r="E906">
            <v>30733</v>
          </cell>
        </row>
        <row r="907">
          <cell r="B907">
            <v>4614</v>
          </cell>
          <cell r="C907" t="str">
            <v>CARCAMO TIPO PLACA DE PROTECCIÓN PARA TUBERÍA Ø 12" NORMA EAAB NS-090 . 3v.2. INCLUYE: DESPERDICIOS, COMPACTACIÓN Y DESPUNTES.</v>
          </cell>
          <cell r="D907" t="str">
            <v>M</v>
          </cell>
          <cell r="E907">
            <v>115934</v>
          </cell>
        </row>
        <row r="908">
          <cell r="B908">
            <v>4615</v>
          </cell>
          <cell r="C908" t="str">
            <v>CARCAMO TIPO PLACA DE PROTECCIÓN PARA TUBERÍA Ø 16" NORMA EAAB NS-090 . 3v.2. INCLUYE: DESPERDICIOS, COMPACTACIÓN Y DESPUNTES.</v>
          </cell>
          <cell r="D908" t="str">
            <v>M</v>
          </cell>
          <cell r="E908">
            <v>150251</v>
          </cell>
        </row>
        <row r="909">
          <cell r="B909">
            <v>4616</v>
          </cell>
          <cell r="C909" t="str">
            <v>CARCAMO TIPO PLACA DE PROTECCIÓN PARA TUBERÍA Ø 18" NORMA EAAB NS-090 . 3v.2. INCLUYE: DESPERDICIOS, COMPACTACIÓN Y DESPUNTES.</v>
          </cell>
          <cell r="D909" t="str">
            <v>M</v>
          </cell>
          <cell r="E909">
            <v>150631</v>
          </cell>
        </row>
        <row r="910">
          <cell r="B910">
            <v>4617</v>
          </cell>
          <cell r="C910" t="str">
            <v>CARCAMO TIPO PLACA DE PROTECCIÓN PARA TUBERÍA Ø 20" NORMA EAAB NS-090 . 3v.2. INCLUYE: DESPERDICIOS, COMPACTACIÓN Y DESPUNTES.</v>
          </cell>
          <cell r="D910" t="str">
            <v>M</v>
          </cell>
          <cell r="E910">
            <v>180446</v>
          </cell>
        </row>
        <row r="911">
          <cell r="B911">
            <v>4618</v>
          </cell>
          <cell r="C911" t="str">
            <v>CARCAMO TIPO PLACA DE PROTECCIÓN PARA TUBERÍA Ø 24" NORMA EAAB NS-090 . 3v.2. INCLUYE: DESPERDICIOS, COMPACTACIÓN Y DESPUNTES.</v>
          </cell>
          <cell r="D911" t="str">
            <v>M</v>
          </cell>
          <cell r="E911">
            <v>187932</v>
          </cell>
        </row>
        <row r="912">
          <cell r="B912">
            <v>4619</v>
          </cell>
          <cell r="C912" t="str">
            <v>CARCAMO TIPO PLACA DE PROTECCIÓN PARA TUBERÍA Ø 27" NORMA EAAB NS-090 . 3v.2. INCLUYE: DESPERDICIOS, COMPACTACIÓN Y DESPUNTES.</v>
          </cell>
          <cell r="D912" t="str">
            <v>M</v>
          </cell>
          <cell r="E912">
            <v>206564</v>
          </cell>
        </row>
        <row r="913">
          <cell r="B913">
            <v>4620</v>
          </cell>
          <cell r="C913" t="str">
            <v>CARCAMO TIPO PLACA DE PROTECCIÓN PARA TUBERÍA Ø 30" NORMA EAAB NS-090 . 3v.2. INCLUYE: DESPERDICIOS, COMPACTACIÓN Y DESPUNTES.</v>
          </cell>
          <cell r="D913" t="str">
            <v>M</v>
          </cell>
          <cell r="E913">
            <v>223923</v>
          </cell>
        </row>
        <row r="914">
          <cell r="B914">
            <v>4621</v>
          </cell>
          <cell r="C914" t="str">
            <v>CARCAMO TIPO PLACA DE PROTECCIÓN PARA TUBERÍA Ø 32" NORMA EAAB NS-090 . 3v.2. INCLUYE: DESPERDICIOS, COMPACTACIÓN Y DESPUNTES.</v>
          </cell>
          <cell r="D914" t="str">
            <v>M</v>
          </cell>
          <cell r="E914">
            <v>249099</v>
          </cell>
        </row>
        <row r="915">
          <cell r="B915">
            <v>4622</v>
          </cell>
          <cell r="C915" t="str">
            <v>CARCAMO TIPO PLACA DE PROTECCIÓN PARA TUBERÍA Ø 36" NORMA EAAB NS-090 . 3v.2. INCLUYE: DESPERDICIOS, COMPACTACIÓN Y DESPUNTES.</v>
          </cell>
          <cell r="D915" t="str">
            <v>M</v>
          </cell>
          <cell r="E915">
            <v>262486</v>
          </cell>
        </row>
        <row r="916">
          <cell r="B916">
            <v>4624</v>
          </cell>
          <cell r="C916" t="str">
            <v>TUBERIA GRP 300mm  (INCLUYE TRANSPORTE). SUMINISTRO E INSTALACION.</v>
          </cell>
          <cell r="D916" t="str">
            <v>M</v>
          </cell>
          <cell r="E916">
            <v>152040</v>
          </cell>
        </row>
        <row r="917">
          <cell r="B917">
            <v>4625</v>
          </cell>
          <cell r="C917" t="str">
            <v>TUBERIA GRP 400mm  (INCLUYE TRANSPORTE). SUMINISTRO E INSTALACION.</v>
          </cell>
          <cell r="D917" t="str">
            <v>M</v>
          </cell>
          <cell r="E917">
            <v>221002</v>
          </cell>
        </row>
        <row r="918">
          <cell r="B918">
            <v>4626</v>
          </cell>
          <cell r="C918" t="str">
            <v>TUBERIA GRP 500mm  (INCLUYE TRANSPORTE). SUMINISTRO E INSTALACION.</v>
          </cell>
          <cell r="D918" t="str">
            <v>M</v>
          </cell>
          <cell r="E918">
            <v>306904</v>
          </cell>
        </row>
        <row r="919">
          <cell r="B919">
            <v>4627</v>
          </cell>
          <cell r="C919" t="str">
            <v>TUBERIA GRP 600mm  (INCLUYE TRANSPORTE). SUMINISTRO E INSTALACION.</v>
          </cell>
          <cell r="D919" t="str">
            <v>M</v>
          </cell>
          <cell r="E919">
            <v>401118</v>
          </cell>
        </row>
        <row r="920">
          <cell r="B920">
            <v>4628</v>
          </cell>
          <cell r="C920" t="str">
            <v>TUBERIA GRP 700mm  (INCLUYE TRANSPORTE). SUMINISTRO E INSTALACION.</v>
          </cell>
          <cell r="D920" t="str">
            <v>M</v>
          </cell>
          <cell r="E920">
            <v>524724</v>
          </cell>
        </row>
        <row r="921">
          <cell r="B921">
            <v>4629</v>
          </cell>
          <cell r="C921" t="str">
            <v>TUBERIA GRP 800mm  (INCLUYE TRANSPORTE). SUMINISTRO E INSTALACION.</v>
          </cell>
          <cell r="D921" t="str">
            <v>M</v>
          </cell>
          <cell r="E921">
            <v>642638</v>
          </cell>
        </row>
        <row r="922">
          <cell r="B922">
            <v>4630</v>
          </cell>
          <cell r="C922" t="str">
            <v>TUBERIA GRP 900mm  (INCLUYE TRANSPORTE). SUMINISTRO E INSTALACION.</v>
          </cell>
          <cell r="D922" t="str">
            <v>M</v>
          </cell>
          <cell r="E922">
            <v>739700</v>
          </cell>
        </row>
        <row r="923">
          <cell r="B923">
            <v>4631</v>
          </cell>
          <cell r="C923" t="str">
            <v>TUBERIA GRP 1000mm  (INCLUYE TRANSPORTE). SUMINISTRO E INSTALACION.</v>
          </cell>
          <cell r="D923" t="str">
            <v>M</v>
          </cell>
          <cell r="E923">
            <v>889970</v>
          </cell>
        </row>
        <row r="924">
          <cell r="B924">
            <v>4632</v>
          </cell>
          <cell r="C924" t="str">
            <v>TUBERIA GRP 1100mm  (INCLUYE TRANSPORTE). SUMINISTRO E INSTALACION.</v>
          </cell>
          <cell r="D924" t="str">
            <v>M</v>
          </cell>
          <cell r="E924">
            <v>1054726</v>
          </cell>
        </row>
        <row r="925">
          <cell r="B925">
            <v>4633</v>
          </cell>
          <cell r="C925" t="str">
            <v>TUBERIA GRP 1200mm  (INCLUYE TRANSPORTE). SUMINISTRO E INSTALACION.</v>
          </cell>
          <cell r="D925" t="str">
            <v>M</v>
          </cell>
          <cell r="E925">
            <v>1230832</v>
          </cell>
        </row>
        <row r="926">
          <cell r="B926">
            <v>4634</v>
          </cell>
          <cell r="C926" t="str">
            <v>TUBERIA GRP 1300mm  (INCLUYE TRANSPORTE). SUMINISTRO E INSTALACION.</v>
          </cell>
          <cell r="D926" t="str">
            <v>M</v>
          </cell>
          <cell r="E926">
            <v>1428693</v>
          </cell>
        </row>
        <row r="927">
          <cell r="B927">
            <v>4635</v>
          </cell>
          <cell r="C927" t="str">
            <v>TUBERIA GRP 1400mm  (INCLUYE TRANSPORTE). SUMINISTRO E INSTALACION.</v>
          </cell>
          <cell r="D927" t="str">
            <v>M</v>
          </cell>
          <cell r="E927">
            <v>1630725</v>
          </cell>
        </row>
        <row r="928">
          <cell r="B928">
            <v>4636</v>
          </cell>
          <cell r="C928" t="str">
            <v>TUBERIA GRP 1500mm  (INCLUYE TRANSPORTE). SUMINISTRO E INSTALACION.</v>
          </cell>
          <cell r="D928" t="str">
            <v>M</v>
          </cell>
          <cell r="E928">
            <v>1816738</v>
          </cell>
        </row>
        <row r="929">
          <cell r="B929">
            <v>4637</v>
          </cell>
          <cell r="C929" t="str">
            <v>TUBERIA GRP 1600mm  (INCLUYE TRANSPORTE). SUMINISTRO E INSTALACION.</v>
          </cell>
          <cell r="D929" t="str">
            <v>M</v>
          </cell>
          <cell r="E929">
            <v>2032211</v>
          </cell>
        </row>
        <row r="930">
          <cell r="B930">
            <v>4638</v>
          </cell>
          <cell r="C930" t="str">
            <v>TUBERIA GRP 1700mm  (INCLUYE TRANSPORTE). SUMINISTRO E INSTALACION.</v>
          </cell>
          <cell r="D930" t="str">
            <v>M</v>
          </cell>
          <cell r="E930">
            <v>2271692</v>
          </cell>
        </row>
        <row r="931">
          <cell r="B931">
            <v>4639</v>
          </cell>
          <cell r="C931" t="str">
            <v>CONSTRUCCIÓN DE PAVIMENTO FLEXIBLE MD10 E=0.08m Y MD20 e= 0.18m (no incluye sardinel)</v>
          </cell>
          <cell r="D931" t="str">
            <v>M2</v>
          </cell>
          <cell r="E931">
            <v>255995</v>
          </cell>
        </row>
        <row r="932">
          <cell r="B932">
            <v>4640</v>
          </cell>
          <cell r="C932" t="str">
            <v>CONSTRUCCIÓN DE PAVIMENTO FLEXIBLE MD10 E=0.06m Y MD20 e= 0.18m (no incluye sardinel)</v>
          </cell>
          <cell r="D932" t="str">
            <v>M2</v>
          </cell>
          <cell r="E932">
            <v>241589</v>
          </cell>
        </row>
        <row r="933">
          <cell r="B933">
            <v>4641</v>
          </cell>
          <cell r="C933" t="str">
            <v>ACOPLE GRP 300mm. SUMINISTRO E INSTALACION.</v>
          </cell>
          <cell r="D933" t="str">
            <v>UN</v>
          </cell>
          <cell r="E933">
            <v>143300</v>
          </cell>
        </row>
        <row r="934">
          <cell r="B934">
            <v>4642</v>
          </cell>
          <cell r="C934" t="str">
            <v>ACOPLE GRP 350mm. SUMINISTRO E INSTALACION.</v>
          </cell>
          <cell r="D934" t="str">
            <v>UN</v>
          </cell>
          <cell r="E934">
            <v>177535</v>
          </cell>
        </row>
        <row r="935">
          <cell r="B935">
            <v>4643</v>
          </cell>
          <cell r="C935" t="str">
            <v>ACOPLE GRP 400mm. SUMINISTRO E INSTALACION.</v>
          </cell>
          <cell r="D935" t="str">
            <v>UN</v>
          </cell>
          <cell r="E935">
            <v>215788</v>
          </cell>
        </row>
        <row r="936">
          <cell r="B936">
            <v>4644</v>
          </cell>
          <cell r="C936" t="str">
            <v>ACOPLE GRP 500mm. SUMINISTRO E INSTALACION.</v>
          </cell>
          <cell r="D936" t="str">
            <v>UN</v>
          </cell>
          <cell r="E936">
            <v>291440</v>
          </cell>
        </row>
        <row r="937">
          <cell r="B937">
            <v>4645</v>
          </cell>
          <cell r="C937" t="str">
            <v>ACOPLE GRP 600mm. SUMINISTRO E INSTALACION.</v>
          </cell>
          <cell r="D937" t="str">
            <v>UN</v>
          </cell>
          <cell r="E937">
            <v>450260</v>
          </cell>
        </row>
        <row r="938">
          <cell r="B938">
            <v>4646</v>
          </cell>
          <cell r="C938" t="str">
            <v>ACOPLE GRP 700mm. SUMINISTRO E INSTALACION.</v>
          </cell>
          <cell r="D938" t="str">
            <v>UN</v>
          </cell>
          <cell r="E938">
            <v>598358</v>
          </cell>
        </row>
        <row r="939">
          <cell r="B939">
            <v>4647</v>
          </cell>
          <cell r="C939" t="str">
            <v>ACOPLE GRP 800mm. SUMINISTRO E INSTALACION.</v>
          </cell>
          <cell r="D939" t="str">
            <v>UN</v>
          </cell>
          <cell r="E939">
            <v>606780</v>
          </cell>
        </row>
        <row r="940">
          <cell r="B940">
            <v>4648</v>
          </cell>
          <cell r="C940" t="str">
            <v>ACOPLE GRP 900mm. SUMINISTRO E INSTALACION.</v>
          </cell>
          <cell r="D940" t="str">
            <v>UN</v>
          </cell>
          <cell r="E940">
            <v>689375</v>
          </cell>
        </row>
        <row r="941">
          <cell r="B941">
            <v>4649</v>
          </cell>
          <cell r="C941" t="str">
            <v>ACOPLE GRP 1000mm. SUMINISTRO E INSTALACION.</v>
          </cell>
          <cell r="D941" t="str">
            <v>UN</v>
          </cell>
          <cell r="E941">
            <v>727701</v>
          </cell>
        </row>
        <row r="942">
          <cell r="B942">
            <v>4650</v>
          </cell>
          <cell r="C942" t="str">
            <v>ACOPLE GRP 1100mm. SUMINISTRO E INSTALACION.</v>
          </cell>
          <cell r="D942" t="str">
            <v>UN</v>
          </cell>
          <cell r="E942">
            <v>780396</v>
          </cell>
        </row>
        <row r="943">
          <cell r="B943">
            <v>4651</v>
          </cell>
          <cell r="C943" t="str">
            <v>ACOPLE GRP 1200mm. SUMINISTRO E INSTALACION.</v>
          </cell>
          <cell r="D943" t="str">
            <v>UN</v>
          </cell>
          <cell r="E943">
            <v>839622</v>
          </cell>
        </row>
        <row r="944">
          <cell r="B944">
            <v>4652</v>
          </cell>
          <cell r="C944" t="str">
            <v>ACOPLE GRP 1300mm. SUMINISTRO E INSTALACION.</v>
          </cell>
          <cell r="D944" t="str">
            <v>UN</v>
          </cell>
          <cell r="E944">
            <v>1002544</v>
          </cell>
        </row>
        <row r="945">
          <cell r="B945">
            <v>4653</v>
          </cell>
          <cell r="C945" t="str">
            <v>ACOPLE GRP 1400mm. SUMINISTRO E INSTALACION.</v>
          </cell>
          <cell r="D945" t="str">
            <v>UN</v>
          </cell>
          <cell r="E945">
            <v>1090196</v>
          </cell>
        </row>
        <row r="946">
          <cell r="B946">
            <v>4654</v>
          </cell>
          <cell r="C946" t="str">
            <v>ACOPLE GRP 1500mm. SUMINISTRO E INSTALACION.</v>
          </cell>
          <cell r="D946" t="str">
            <v>UN</v>
          </cell>
          <cell r="E946">
            <v>1098322</v>
          </cell>
        </row>
        <row r="947">
          <cell r="B947">
            <v>4655</v>
          </cell>
          <cell r="C947" t="str">
            <v>ACOPLE GRP 1600mm. SUMINISTRO E INSTALACION.</v>
          </cell>
          <cell r="D947" t="str">
            <v>UN</v>
          </cell>
          <cell r="E947">
            <v>1308453</v>
          </cell>
        </row>
        <row r="948">
          <cell r="B948">
            <v>4656</v>
          </cell>
          <cell r="C948" t="str">
            <v>ACOPLE GRP 1700mm. SUMINISTRO E INSTALACION.</v>
          </cell>
          <cell r="D948" t="str">
            <v>UN</v>
          </cell>
          <cell r="E948">
            <v>1295204</v>
          </cell>
        </row>
        <row r="949">
          <cell r="B949">
            <v>4657</v>
          </cell>
          <cell r="C949" t="str">
            <v>ACOPLE GRP 1800mm. SUMINISTRO E INSTALACION.</v>
          </cell>
          <cell r="D949" t="str">
            <v>UN</v>
          </cell>
          <cell r="E949">
            <v>1385768</v>
          </cell>
        </row>
        <row r="950">
          <cell r="B950">
            <v>4658</v>
          </cell>
          <cell r="C950" t="str">
            <v>ACOPLE GRP 2000mm. SUMINISTRO E INSTALACION.</v>
          </cell>
          <cell r="D950" t="str">
            <v>UN</v>
          </cell>
          <cell r="E950">
            <v>1537444</v>
          </cell>
        </row>
        <row r="951">
          <cell r="B951">
            <v>4659</v>
          </cell>
          <cell r="C951" t="str">
            <v>TUBERIA GRP 1800mm  (INCLUYE TRANSPORTE). SUMINISTRO E INSTALACION.</v>
          </cell>
          <cell r="D951" t="str">
            <v>M</v>
          </cell>
          <cell r="E951">
            <v>2548334</v>
          </cell>
        </row>
        <row r="952">
          <cell r="B952">
            <v>4660</v>
          </cell>
          <cell r="C952" t="str">
            <v>TUBERIA GRP 2000mm  (INCLUYE TRANSPORTE). SUMINISTRO E INSTALACION.</v>
          </cell>
          <cell r="D952" t="str">
            <v>M</v>
          </cell>
          <cell r="E952">
            <v>3171664</v>
          </cell>
        </row>
        <row r="953">
          <cell r="B953">
            <v>4661</v>
          </cell>
          <cell r="C953" t="str">
            <v>TUBERIA GRP 2400mm  (INCLUYE TRANSPORTE). SUMINISTRO E INSTALACION.</v>
          </cell>
          <cell r="D953" t="str">
            <v>M</v>
          </cell>
          <cell r="E953">
            <v>4460049</v>
          </cell>
        </row>
        <row r="954">
          <cell r="B954">
            <v>4662</v>
          </cell>
          <cell r="C954" t="str">
            <v>ACOPLE GRP 2400mm. SUMINISTRO E INSTALACION.</v>
          </cell>
          <cell r="D954" t="str">
            <v>UN</v>
          </cell>
          <cell r="E954">
            <v>2128418</v>
          </cell>
        </row>
        <row r="955">
          <cell r="B955">
            <v>4663</v>
          </cell>
          <cell r="C955" t="str">
            <v>PARCHEO EN PAVIMENTO FLEXIBLE e=0.12m. (Incluye demolición manual y cargue de pavimento flexible de e=0.12m, transporte y disposición final de escombros, imprimación, colocación y compactación MD20 e=8cm y MD12 e=4cm , riego CRR-1, imprima CLR-0)</v>
          </cell>
          <cell r="D955" t="str">
            <v>M2</v>
          </cell>
          <cell r="E955">
            <v>104835</v>
          </cell>
        </row>
        <row r="956">
          <cell r="B956">
            <v>4664</v>
          </cell>
          <cell r="C956" t="str">
            <v>CONSTRUCCIÓN DE PAVIMENTO FLEXIBLE e= 0.15m (no incluye sardinel)</v>
          </cell>
          <cell r="D956" t="str">
            <v>M2</v>
          </cell>
          <cell r="E956">
            <v>215831</v>
          </cell>
        </row>
        <row r="957">
          <cell r="B957">
            <v>4665</v>
          </cell>
          <cell r="C957" t="str">
            <v>REHABILITACIÓN DE PAVIMENTO FLEXIBLE e= 0.18m  BG=25cm, SBG=30cm</v>
          </cell>
          <cell r="D957" t="str">
            <v>M2</v>
          </cell>
          <cell r="E957">
            <v>232527</v>
          </cell>
        </row>
        <row r="958">
          <cell r="B958">
            <v>4666</v>
          </cell>
          <cell r="C958" t="str">
            <v>REHABILITACIÓN DE PAVIMENTO RÍGIDO: LOSAS EN CONCRETO HIDRAULICO MR-45 e=0.20m</v>
          </cell>
          <cell r="D958" t="str">
            <v>M2</v>
          </cell>
          <cell r="E958">
            <v>188159</v>
          </cell>
        </row>
        <row r="959">
          <cell r="B959">
            <v>4667</v>
          </cell>
          <cell r="C959" t="str">
            <v>CONSTRUCCIÓN DE PAVIMENTO RÍGIDO: LOSAS EN CONCRETO HIDRAULICO MR-45 e=0.20m (no incluye sardinel)</v>
          </cell>
          <cell r="D959" t="str">
            <v>M2</v>
          </cell>
          <cell r="E959">
            <v>223357</v>
          </cell>
        </row>
        <row r="960">
          <cell r="B960">
            <v>4668</v>
          </cell>
          <cell r="C960" t="str">
            <v>GEOTEXTIL NT 1600 PARA SEPARACION SUBRASANTE/CAPAS GRANULARES (Incluye Suministro e Instalación)</v>
          </cell>
          <cell r="D960" t="str">
            <v>M2</v>
          </cell>
          <cell r="E960">
            <v>5206</v>
          </cell>
        </row>
        <row r="961">
          <cell r="B961">
            <v>4669</v>
          </cell>
          <cell r="C961" t="str">
            <v>GEOTEXTIL NT 1800 PARA SEPARACION SUBRASANTE/CAPAS GRANULARES (Incluye Suministro e Instalación)</v>
          </cell>
          <cell r="D961" t="str">
            <v>M2</v>
          </cell>
          <cell r="E961">
            <v>6114</v>
          </cell>
        </row>
        <row r="962">
          <cell r="B962">
            <v>4670</v>
          </cell>
          <cell r="C962" t="str">
            <v>GEOTEXTIL NT 2000 PARA SEPARACION SUBRASANTE/CAPAS GRANULARES (Incluye Suministro e Instalación)</v>
          </cell>
          <cell r="D962" t="str">
            <v>M2</v>
          </cell>
          <cell r="E962">
            <v>5875</v>
          </cell>
        </row>
        <row r="963">
          <cell r="B963">
            <v>4671</v>
          </cell>
          <cell r="C963" t="str">
            <v>GEOTEXTIL NT 2500 PARA SEPARACION SUBRASANTE/CAPAS GRANULARES (Incluye Suministro e Instalación)</v>
          </cell>
          <cell r="D963" t="str">
            <v>M2</v>
          </cell>
          <cell r="E963">
            <v>7169</v>
          </cell>
        </row>
        <row r="964">
          <cell r="B964">
            <v>4672</v>
          </cell>
          <cell r="C964" t="str">
            <v>GEOTEXTIL NT 1600 PARA SUBDRENES/FILTROS (Incluye Suministro e Instalación)</v>
          </cell>
          <cell r="D964" t="str">
            <v>M2</v>
          </cell>
          <cell r="E964">
            <v>5206</v>
          </cell>
        </row>
        <row r="965">
          <cell r="B965">
            <v>4673</v>
          </cell>
          <cell r="C965" t="str">
            <v>GEOTEXTIL NT 1800 PARA SUBDRENES/FILTROS (Incluye Suministro e Instalación)</v>
          </cell>
          <cell r="D965" t="str">
            <v>M2</v>
          </cell>
          <cell r="E965">
            <v>6114</v>
          </cell>
        </row>
        <row r="966">
          <cell r="B966">
            <v>4674</v>
          </cell>
          <cell r="C966" t="str">
            <v>GEOTEXTIL NT 2000 PARA SUBDRENES/FILTROS (Incluye Suministro e Instalación)</v>
          </cell>
          <cell r="D966" t="str">
            <v>M2</v>
          </cell>
          <cell r="E966">
            <v>6502</v>
          </cell>
        </row>
        <row r="967">
          <cell r="B967">
            <v>4675</v>
          </cell>
          <cell r="C967" t="str">
            <v>CANECA TIPO M120 (En malla metálica. Incluye Suministro e Instalación. Incluye base en Concreto 3000 PSI,  premezclado</v>
          </cell>
          <cell r="D967" t="str">
            <v>UN</v>
          </cell>
          <cell r="E967">
            <v>305476</v>
          </cell>
        </row>
        <row r="968">
          <cell r="B968">
            <v>4676</v>
          </cell>
          <cell r="C968" t="str">
            <v>GEOTEXTIL NT 2500 PARA SUBDRENES/FILTROS (Incluye Suministro e Instalación)</v>
          </cell>
          <cell r="D968" t="str">
            <v>M2</v>
          </cell>
          <cell r="E968">
            <v>7169</v>
          </cell>
        </row>
        <row r="969">
          <cell r="B969">
            <v>4677</v>
          </cell>
          <cell r="C969" t="str">
            <v>MANTENIMIENTO CORRECTIVO DE ESPACIO PUBLICO ADOQUIN DE ARCILLA PESADO SOBRE MORTER.  INCL. RETIRO ADOQUIN E INSTALAR NUEVO</v>
          </cell>
          <cell r="D969" t="str">
            <v>M2</v>
          </cell>
          <cell r="E969">
            <v>67730</v>
          </cell>
        </row>
        <row r="970">
          <cell r="B970">
            <v>4678</v>
          </cell>
          <cell r="C970" t="str">
            <v>ADOQUIN DE ARCILLA TR.PESADO 0.20x10x8cm (Suministro e Instalación. Incluye Base 4cm mortero 2000 y Arena de Sello)</v>
          </cell>
          <cell r="D970" t="str">
            <v>M2</v>
          </cell>
          <cell r="E970">
            <v>63419</v>
          </cell>
        </row>
        <row r="971">
          <cell r="B971">
            <v>4679</v>
          </cell>
          <cell r="C971" t="str">
            <v>MANTENIMIENTO CORRECTIVO ESPACIO PUBLICO EN ADOQUIN DE ARCILLA TRAFICO PESADO SOBRE ARENA. INCL. RETIRO ADOQUIN E INSTALAR NUEVO</v>
          </cell>
          <cell r="D971" t="str">
            <v>M2</v>
          </cell>
          <cell r="E971">
            <v>53408</v>
          </cell>
        </row>
        <row r="972">
          <cell r="B972">
            <v>4680</v>
          </cell>
          <cell r="C972" t="str">
            <v>MANTENIMIENTO CORRECTIVO ESPACIO PUBLICO EN ADOQUIN DE CONCRETO TRAFICO LIVIANO SOBRE ARENA. INCL. RETIRO ADOQUIN E INSTALAR NUEVO</v>
          </cell>
          <cell r="D972" t="str">
            <v>M2</v>
          </cell>
          <cell r="E972">
            <v>59804</v>
          </cell>
        </row>
        <row r="973">
          <cell r="B973">
            <v>4681</v>
          </cell>
          <cell r="C973" t="str">
            <v>MANTENIMIENTO CORRECTIVO ESPACIO PUBLICO EN ADOQUIN DE CONCRETO TRAFICO PESADO 20x10x8cm SOBRE ARENA. INCL. RETIRO ADOQUIN E INSTALAR NUEVO</v>
          </cell>
          <cell r="D973" t="str">
            <v>M2</v>
          </cell>
          <cell r="E973">
            <v>66668</v>
          </cell>
        </row>
        <row r="974">
          <cell r="B974">
            <v>4682</v>
          </cell>
          <cell r="C974" t="str">
            <v>REHABILITACION ANDEN ADOQUIN ARCILLA TR. PESADO SOBRE ARENA NO INCL BORDILLO. INCL. DEMOLICION ADOQUIN E INSTALAR NUEVO</v>
          </cell>
          <cell r="D974" t="str">
            <v>M2</v>
          </cell>
          <cell r="E974">
            <v>88632</v>
          </cell>
        </row>
        <row r="975">
          <cell r="B975">
            <v>4683</v>
          </cell>
          <cell r="C975" t="str">
            <v>REHABILITACION DE ANDEN EN ADOQUIN DE ARCILLA SOBRE MORTER. NO INCL BORDILLO. INCL. RETIRO ADOQUIN E INSTALAR NUEVO</v>
          </cell>
          <cell r="D975" t="str">
            <v>M2</v>
          </cell>
          <cell r="E975">
            <v>101076</v>
          </cell>
        </row>
        <row r="976">
          <cell r="B976">
            <v>4684</v>
          </cell>
          <cell r="C976" t="str">
            <v>REHABILITACION DE ANDEN EN ADOQUIN DE CONCRETO BASE ARENA. NO INCL BORDILLO. INCL. DEMOLICION ADOQUIN E INSTALAR NUEVO</v>
          </cell>
          <cell r="D976" t="str">
            <v>M2</v>
          </cell>
          <cell r="E976">
            <v>101892</v>
          </cell>
        </row>
        <row r="977">
          <cell r="B977">
            <v>4685</v>
          </cell>
          <cell r="C977" t="str">
            <v>REHABILITACION DE ANDEN EN ADOQUIN DE CONCRETO L BASE ARENA. NO INCL BORDILLO. INCL. DEMOLICION ADOQUIN E INSTALAR NUEVO</v>
          </cell>
          <cell r="D977" t="str">
            <v>M2</v>
          </cell>
          <cell r="E977">
            <v>95028</v>
          </cell>
        </row>
        <row r="978">
          <cell r="B978">
            <v>4686</v>
          </cell>
          <cell r="C978" t="str">
            <v>REPOSICION BOLARDO M63 INCLUYE EXCAVACION CARGUE Y DISPOSICION FINAL DE ESCOMBROS Y BASE EN CONCRETO DE 1500PSI</v>
          </cell>
          <cell r="D978" t="str">
            <v>UN</v>
          </cell>
          <cell r="E978">
            <v>145884</v>
          </cell>
        </row>
        <row r="979">
          <cell r="B979">
            <v>4687</v>
          </cell>
          <cell r="C979" t="str">
            <v>REPOSICION BOLARDO M61 INCLUYE EXCAVACION CARGUE Y DISPOSICION FINAL DE ESCOMBROS Y BASE EN CONCRETO DE 1500PSI</v>
          </cell>
          <cell r="D979" t="str">
            <v>UN</v>
          </cell>
          <cell r="E979">
            <v>156898</v>
          </cell>
        </row>
        <row r="980">
          <cell r="B980">
            <v>4688</v>
          </cell>
          <cell r="C980" t="str">
            <v>REPOSICION DE PROTECTOR DE ARBOL DE UN TUBO M91. INCLUYE EXCAVACION. TRANSPORTE Y DISPOSICION FINAL, INSTALA. NUEVO PROT</v>
          </cell>
          <cell r="D980" t="str">
            <v>UN</v>
          </cell>
          <cell r="E980">
            <v>151992</v>
          </cell>
        </row>
        <row r="981">
          <cell r="B981">
            <v>4689</v>
          </cell>
          <cell r="C981" t="str">
            <v>BOLARDO EN CONCRETO TIPO M60 (Suministro e Instalación. Incluye base en Concreto 3000 PSI, Hecho en Obra)</v>
          </cell>
          <cell r="D981" t="str">
            <v>UN</v>
          </cell>
          <cell r="E981">
            <v>103626</v>
          </cell>
        </row>
        <row r="982">
          <cell r="B982">
            <v>4690</v>
          </cell>
          <cell r="C982" t="str">
            <v>BOLARDO EN CONCRETO TIPO M60 (Suministro e Instalación. Incluye base en Concreto 3000 PSI, Premezclado)</v>
          </cell>
          <cell r="D982" t="str">
            <v>UN</v>
          </cell>
          <cell r="E982">
            <v>108109</v>
          </cell>
        </row>
        <row r="983">
          <cell r="B983">
            <v>4691</v>
          </cell>
          <cell r="C983" t="str">
            <v>BOLARDO EN CONCRETO TIPO M60 (Suministro e Instalación. No incluye base en Concreto)</v>
          </cell>
          <cell r="D983" t="str">
            <v>UN</v>
          </cell>
          <cell r="E983">
            <v>76586</v>
          </cell>
        </row>
        <row r="984">
          <cell r="B984">
            <v>4692</v>
          </cell>
          <cell r="C984" t="str">
            <v>BOLARDO EN CONCRETO TIPO M61 (Suministro e Instalación. Incluye base en Concreto 3000 PSI, Hecho en Obra)</v>
          </cell>
          <cell r="D984" t="str">
            <v>UN</v>
          </cell>
          <cell r="E984">
            <v>102215</v>
          </cell>
        </row>
        <row r="985">
          <cell r="B985">
            <v>4693</v>
          </cell>
          <cell r="C985" t="str">
            <v>BOLARDO EN CONCRETO TIPO M61 (Suministro e Instalación. Incluye base en Concreto 3000 PSI, Premezclado)</v>
          </cell>
          <cell r="D985" t="str">
            <v>UN</v>
          </cell>
          <cell r="E985">
            <v>106698</v>
          </cell>
        </row>
        <row r="986">
          <cell r="B986">
            <v>4694</v>
          </cell>
          <cell r="C986" t="str">
            <v>BOLARDO EN CONCRETO TIPO M61 (Suministro e Instalación. No incluye base en Concreto 3000)</v>
          </cell>
          <cell r="D986" t="str">
            <v>UN</v>
          </cell>
          <cell r="E986">
            <v>79332</v>
          </cell>
        </row>
        <row r="987">
          <cell r="B987">
            <v>4695</v>
          </cell>
          <cell r="C987" t="str">
            <v>PINTURA SOBRE EST. METALICA GALVANIZADA. INCL LIMPIEZA SSPC-SP3, BARRERA EPOXICA e=3mils, ACABADO URETANO e=3mils</v>
          </cell>
          <cell r="D987" t="str">
            <v>KG</v>
          </cell>
          <cell r="E987">
            <v>1286</v>
          </cell>
        </row>
        <row r="988">
          <cell r="B988">
            <v>4696</v>
          </cell>
          <cell r="C988" t="str">
            <v>PINTURA  ESTRUCTURA METÁLICA . INCL LIMPIEZA SSPC-SP5, IMPRIMANTE EPOXICO RICO ZINC Y BARRERA EPOXICA, ACABADO URETANO e=3mils POR CAPA</v>
          </cell>
          <cell r="D988" t="str">
            <v>KG</v>
          </cell>
          <cell r="E988">
            <v>2076</v>
          </cell>
        </row>
        <row r="989">
          <cell r="B989">
            <v>4697</v>
          </cell>
          <cell r="C989" t="str">
            <v>BOLARDO EN HIERRO TIPO M62 (Suministro e Instalación. Incluye base en Concreto 3000 PSI, Premezclado)</v>
          </cell>
          <cell r="D989" t="str">
            <v>UN</v>
          </cell>
          <cell r="E989">
            <v>141918</v>
          </cell>
        </row>
        <row r="990">
          <cell r="B990">
            <v>4698</v>
          </cell>
          <cell r="C990" t="str">
            <v>BOLARDO EN HIERRO TIPO M62 (Suministro e Instalación. Incluye base en Concreto 3000 PSI, hecho en obra)</v>
          </cell>
          <cell r="D990" t="str">
            <v>UN</v>
          </cell>
          <cell r="E990">
            <v>140985</v>
          </cell>
        </row>
        <row r="991">
          <cell r="B991">
            <v>4699</v>
          </cell>
          <cell r="C991" t="str">
            <v>BOLARDO EN HIERRO TIPO M63 (Suministro e Instalación. Incluye base en Concreto 3000 PSI premezclado)</v>
          </cell>
          <cell r="D991" t="str">
            <v>UN</v>
          </cell>
          <cell r="E991">
            <v>140421</v>
          </cell>
        </row>
        <row r="992">
          <cell r="B992">
            <v>4700</v>
          </cell>
          <cell r="C992" t="str">
            <v>BOLARDO EN HIERRO TIPO M63 (Suministro e Instalación. Incluye base en Concreto 3000 PSI, hecho en obra)</v>
          </cell>
          <cell r="D992" t="str">
            <v>UN</v>
          </cell>
          <cell r="E992">
            <v>135608</v>
          </cell>
        </row>
        <row r="993">
          <cell r="B993">
            <v>4702</v>
          </cell>
          <cell r="C993" t="str">
            <v>MANTENIMIENTO PREVENTIVO ESPACIO PUBLICO. INCLUYE LIMPIEZA E INSTALACION DE SELLO DE ARENA</v>
          </cell>
          <cell r="D993" t="str">
            <v>M2</v>
          </cell>
          <cell r="E993">
            <v>2245</v>
          </cell>
        </row>
        <row r="994">
          <cell r="B994">
            <v>4703</v>
          </cell>
          <cell r="C994" t="str">
            <v>RETIRO DE LOSETA A-50 SOBRE ARENA</v>
          </cell>
          <cell r="D994" t="str">
            <v>M2</v>
          </cell>
          <cell r="E994">
            <v>2279</v>
          </cell>
        </row>
        <row r="995">
          <cell r="B995">
            <v>4704</v>
          </cell>
          <cell r="C995" t="str">
            <v>RETIRO DE LOSETA A-50 SOBRE MORTERO</v>
          </cell>
          <cell r="D995" t="str">
            <v>M2</v>
          </cell>
          <cell r="E995">
            <v>2391</v>
          </cell>
        </row>
        <row r="996">
          <cell r="B996">
            <v>4705</v>
          </cell>
          <cell r="C996" t="str">
            <v>MANTENIMIENTO CORRECTIVO DE ESPACIO PUBLICO LOSETA A-50 SOBRE ARENA.  INCL. RETIRO LOSETA E INSTALAR NUEVA</v>
          </cell>
          <cell r="D996" t="str">
            <v>M2</v>
          </cell>
          <cell r="E996">
            <v>57757</v>
          </cell>
        </row>
        <row r="997">
          <cell r="B997">
            <v>4706</v>
          </cell>
          <cell r="C997" t="str">
            <v>MANTENIMIENTO CORRECTIVO DE ESPACIO PUBLICO LOSETA A-50 SOBRE MORTERO.  INCL. RETIRO LOSETA E INSTALAR NUEVA</v>
          </cell>
          <cell r="D997" t="str">
            <v>M2</v>
          </cell>
          <cell r="E997">
            <v>57869</v>
          </cell>
        </row>
        <row r="998">
          <cell r="B998">
            <v>4708</v>
          </cell>
          <cell r="C998" t="str">
            <v>REHABILITACIÓN DE PAVIMENTO RÍGIDO: LOSAS EN CONCRETO HIDRAULICO MR-45 e=0.27m PARA TRONCAL</v>
          </cell>
          <cell r="D998" t="str">
            <v>M2</v>
          </cell>
          <cell r="E998">
            <v>295723</v>
          </cell>
        </row>
        <row r="999">
          <cell r="B999">
            <v>4709</v>
          </cell>
          <cell r="C999" t="str">
            <v>PARCHEO EN PAVIMENTO FLEXIBLE e=0.10m con MD12. (Incluye demolición manual y cargue de pavimento flexible de e=0.10m, transporte y disposición final de escombros, imprimación, colocación y compactación base asfáltica MD20, imprima CLR-0)</v>
          </cell>
          <cell r="D999" t="str">
            <v>M2</v>
          </cell>
          <cell r="E999">
            <v>89568</v>
          </cell>
        </row>
        <row r="1000">
          <cell r="B1000">
            <v>4710</v>
          </cell>
          <cell r="C1000" t="str">
            <v>DEMARCACION CON PINTURA TERMOPLASTICA PARA CICLORUTAS (INCLUYE SUMINISTRO, APLICACION CON MICROESFERA) A=10 CM</v>
          </cell>
          <cell r="D1000" t="str">
            <v>M</v>
          </cell>
          <cell r="E1000">
            <v>10948</v>
          </cell>
        </row>
        <row r="1001">
          <cell r="B1001">
            <v>4711</v>
          </cell>
          <cell r="C1001" t="str">
            <v>FLECHA DE FRENTE PARA CICLORRUTA EN PINTURA TERMOPLASTICA. (INCLUYE SUMINISTRO, APLICACION CON MICROESFERA)</v>
          </cell>
          <cell r="D1001" t="str">
            <v>UN</v>
          </cell>
          <cell r="E1001">
            <v>32187</v>
          </cell>
        </row>
        <row r="1002">
          <cell r="B1002">
            <v>4712</v>
          </cell>
          <cell r="C1002" t="str">
            <v>MEZCLA ASFALTICA CON ASFALTO CAUCHO (Suministro, Extendido, Nivelación y Compactación)</v>
          </cell>
          <cell r="D1002" t="str">
            <v>M3</v>
          </cell>
          <cell r="E1002">
            <v>963899</v>
          </cell>
        </row>
        <row r="1003">
          <cell r="B1003">
            <v>4737</v>
          </cell>
          <cell r="C1003" t="str">
            <v>PILOTE D=80 CM (Incl. Excavación, Cargue, movilización, montaje y desmontaje equipo, y concreto)</v>
          </cell>
          <cell r="D1003" t="str">
            <v>M</v>
          </cell>
          <cell r="E1003">
            <v>717524</v>
          </cell>
        </row>
        <row r="1004">
          <cell r="B1004">
            <v>4738</v>
          </cell>
          <cell r="C1004" t="str">
            <v>PILOTE D=70 CM (Incl. Excavación, Cargue, movilización, montaje y desmontaje equipo, y concreto)</v>
          </cell>
          <cell r="D1004" t="str">
            <v>M</v>
          </cell>
          <cell r="E1004">
            <v>544655</v>
          </cell>
        </row>
        <row r="1005">
          <cell r="B1005">
            <v>4739</v>
          </cell>
          <cell r="C1005" t="str">
            <v>PILOTE D=90 CM (Incl. Excavación, Cargue, movilización, montaje y desmontaje equipo, y concreto)</v>
          </cell>
          <cell r="D1005" t="str">
            <v>M</v>
          </cell>
          <cell r="E1005">
            <v>779652</v>
          </cell>
        </row>
        <row r="1006">
          <cell r="B1006">
            <v>4740</v>
          </cell>
          <cell r="C1006" t="str">
            <v>PILOTE D=100 CM (Incl. Excavación, Cargue, movilización, montaje y desmontaje equipo, y concreto)</v>
          </cell>
          <cell r="D1006" t="str">
            <v>M</v>
          </cell>
          <cell r="E1006">
            <v>849054</v>
          </cell>
        </row>
        <row r="1007">
          <cell r="B1007">
            <v>4741</v>
          </cell>
          <cell r="C1007" t="str">
            <v>PILOTE D=110 CM (Incl. Excavación, Cargue, movilización, montaje y desmontaje equipo, y concreto)</v>
          </cell>
          <cell r="D1007" t="str">
            <v>M</v>
          </cell>
          <cell r="E1007">
            <v>1161864</v>
          </cell>
        </row>
        <row r="1008">
          <cell r="B1008">
            <v>4742</v>
          </cell>
          <cell r="C1008" t="str">
            <v>PILOTE D=120 CM (Incl. Excavación, Cargue, movilización, montaje y desmontaje equipo, y concreto)</v>
          </cell>
          <cell r="D1008" t="str">
            <v>M</v>
          </cell>
          <cell r="E1008">
            <v>1245899</v>
          </cell>
        </row>
        <row r="1009">
          <cell r="B1009">
            <v>4743</v>
          </cell>
          <cell r="C1009" t="str">
            <v>BASE GRANULAR CLASE B (BG_B) CON RECICLADO DE CONCRETO (Suministro, Extendido, Nivelación, Humedecimiento y Compactación con vibrocompactador)</v>
          </cell>
          <cell r="D1009" t="str">
            <v>M3</v>
          </cell>
          <cell r="E1009">
            <v>134928</v>
          </cell>
        </row>
        <row r="1010">
          <cell r="B1010">
            <v>4744</v>
          </cell>
          <cell r="C1010" t="str">
            <v>BASE GRANULAR CLASE A (BG_A) CON RECICLADO DE CONCRETO HIDRAULICO (Suministro, Extendido, Nivelación, Humedecimiento y Compactación con vibrocompactador)</v>
          </cell>
          <cell r="D1010" t="str">
            <v>M3</v>
          </cell>
          <cell r="E1010">
            <v>134928</v>
          </cell>
        </row>
        <row r="1011">
          <cell r="B1011">
            <v>4745</v>
          </cell>
          <cell r="C1011" t="str">
            <v>BASE GRANULAR CLASE C (BG_C) CON RECICLADO DE CONCRETO (Suministro, Extendido, Nivelación, Humedecimiento y Compactación con vibrocompactador)</v>
          </cell>
          <cell r="D1011" t="str">
            <v>M3</v>
          </cell>
          <cell r="E1011">
            <v>131834</v>
          </cell>
        </row>
        <row r="1012">
          <cell r="B1012">
            <v>4746</v>
          </cell>
          <cell r="C1012" t="str">
            <v>SUBBASE GRANULAR CLASE A (SBG_A) CON RECICLADO DE CONCRETO HIDRAULICO (Suministro, Extendido, Nivelación, Humedecimiento y Compactación con vibrocompactador)</v>
          </cell>
          <cell r="D1012" t="str">
            <v>M3</v>
          </cell>
          <cell r="E1012">
            <v>130287</v>
          </cell>
        </row>
        <row r="1013">
          <cell r="B1013">
            <v>4747</v>
          </cell>
          <cell r="C1013" t="str">
            <v>SUBBASE GRANULAR CLASE B (SBG_B) CON RECICLADO DE CONCRETO (Suministro, Extendido, Nivelación, Humedecimiento y Compactación con vibrocompactador)</v>
          </cell>
          <cell r="D1013" t="str">
            <v>M3</v>
          </cell>
          <cell r="E1013">
            <v>130287</v>
          </cell>
        </row>
        <row r="1014">
          <cell r="B1014">
            <v>4748</v>
          </cell>
          <cell r="C1014" t="str">
            <v>SUBBASE GRANULAR CLASE C (SBG_C) CON RECICLADO DE CONCRETO HIDRAULICO (Suministro, Extendido, Nivelación, Humedecimiento y Compactación con vibrocompactador)</v>
          </cell>
          <cell r="D1014" t="str">
            <v>M3</v>
          </cell>
          <cell r="E1014">
            <v>126419</v>
          </cell>
        </row>
        <row r="1015">
          <cell r="B1015">
            <v>4749</v>
          </cell>
          <cell r="C1015" t="str">
            <v>SUBBASE GRANULAR CON RECICLADO DE CONCRETO ASFALTICO (Suministro, Extendido, Nivelación, Humedecimiento y Compactación con vibrocompactador)</v>
          </cell>
          <cell r="D1015" t="str">
            <v>M3</v>
          </cell>
          <cell r="E1015">
            <v>107617</v>
          </cell>
        </row>
        <row r="1016">
          <cell r="B1016">
            <v>4750</v>
          </cell>
          <cell r="C1016" t="str">
            <v>REHABILITACION CON MATERIAL RECICLADO CON EMULSION Y SOBRECARPETA DE 5CM</v>
          </cell>
          <cell r="D1016" t="str">
            <v>M3</v>
          </cell>
          <cell r="E1016">
            <v>296600</v>
          </cell>
        </row>
        <row r="1017">
          <cell r="B1017">
            <v>4751</v>
          </cell>
          <cell r="C1017" t="str">
            <v>FRANJA DE AJUSTE EN CONCRETO 3000 PSI e= 10 CM  ANCHO ENTRE 12-20CM</v>
          </cell>
          <cell r="D1017" t="str">
            <v>M</v>
          </cell>
          <cell r="E1017">
            <v>9936</v>
          </cell>
        </row>
        <row r="1018">
          <cell r="B1018">
            <v>4752</v>
          </cell>
          <cell r="C1018" t="str">
            <v>CONSTRUCCION DE ANDEN EN LOSETA CON ESTRUCTURA EN MATERIAL RECICLADO DE CONCRETO HIDRAULICO</v>
          </cell>
          <cell r="D1018" t="str">
            <v>M2</v>
          </cell>
          <cell r="E1018">
            <v>92984</v>
          </cell>
        </row>
        <row r="1019">
          <cell r="B1019">
            <v>4753</v>
          </cell>
          <cell r="C1019" t="str">
            <v>SUBBASE GRANULAR CLASE A (SBG_A) CON RECICLADO DE CONCRETO HIDRAULICO (Suministro, Extendido Manual, Humedecimiento y Compactación con vibrocompactador)</v>
          </cell>
          <cell r="D1019" t="str">
            <v>M3</v>
          </cell>
          <cell r="E1019">
            <v>133377</v>
          </cell>
        </row>
        <row r="1020">
          <cell r="B1020">
            <v>4754</v>
          </cell>
          <cell r="C1020" t="str">
            <v>SUBBASE GRANULAR CLASE B (SBG_B) CON RECICLADO DE CONCRETO HIDRAULICO (Suministro, Extendido Manual, Humedecimiento y Compactación)</v>
          </cell>
          <cell r="D1020" t="str">
            <v>M3</v>
          </cell>
          <cell r="E1020">
            <v>133377</v>
          </cell>
        </row>
        <row r="1021">
          <cell r="B1021">
            <v>4755</v>
          </cell>
          <cell r="C1021" t="str">
            <v>SUBBASE GRANULAR CLASE C (SBG_C) CON RECICLADO DE CONCRETO HIDRAULICO (Suministro, Extendido Manual, Humedecimiento y Compactación)</v>
          </cell>
          <cell r="D1021" t="str">
            <v>M3</v>
          </cell>
          <cell r="E1021">
            <v>129509</v>
          </cell>
        </row>
        <row r="1022">
          <cell r="B1022">
            <v>4756</v>
          </cell>
          <cell r="C1022" t="str">
            <v>CONSTRUCCION DE ANDEN EN ADOQUIN DE ARCILLA  Y FRANJA DE AJUSTE CON ESTRUCTURA EN MATERIAL RECICLADO DE CONCRETO HIDRAULICO</v>
          </cell>
          <cell r="D1022" t="str">
            <v>M2</v>
          </cell>
          <cell r="E1022">
            <v>84089</v>
          </cell>
        </row>
        <row r="1023">
          <cell r="B1023">
            <v>4757</v>
          </cell>
          <cell r="C1023" t="str">
            <v>CONSTRUCCION DE ANDEN EN ADOQUIN DE ARCILLA  Y FRANJA DE AJUSTE Y ZONA VERDE CON ESTRUCTURA EN MATERIAL RECICLADO DE CONCRETO HIDRAULICO</v>
          </cell>
          <cell r="D1023" t="str">
            <v>M2</v>
          </cell>
          <cell r="E1023">
            <v>75250</v>
          </cell>
        </row>
        <row r="1024">
          <cell r="B1024">
            <v>4758</v>
          </cell>
          <cell r="C1024" t="str">
            <v>SELLO DE FISURAS</v>
          </cell>
          <cell r="D1024" t="str">
            <v>M</v>
          </cell>
          <cell r="E1024">
            <v>4982</v>
          </cell>
        </row>
        <row r="1025">
          <cell r="B1025">
            <v>4759</v>
          </cell>
          <cell r="C1025" t="str">
            <v>RETIRO DE PISO EN ALUMINIO EN PUENTE PEATONAL TIPO TRANSMILENIO PARA TABLERO Y ESCALERA</v>
          </cell>
          <cell r="D1025" t="str">
            <v>M</v>
          </cell>
          <cell r="E1025">
            <v>30393</v>
          </cell>
        </row>
        <row r="1026">
          <cell r="B1026">
            <v>4760</v>
          </cell>
          <cell r="C1026" t="str">
            <v>PISO EN LAMINA DE ALUMINIO PARA TABLERO DE PUENTE PEATONAL TIPO TRANSMILENIO. SUMINISTRO E INSTALACION.</v>
          </cell>
          <cell r="D1026" t="str">
            <v>M2</v>
          </cell>
          <cell r="E1026">
            <v>439826</v>
          </cell>
        </row>
        <row r="1027">
          <cell r="B1027">
            <v>4761</v>
          </cell>
          <cell r="C1027" t="str">
            <v>PISO EN LAMINA DE ALUMINIO PARA ESCALERA DE PUENTE PEATONAL TIPO TRANSMILENIO. SUMINISTRO E INSTALACION.</v>
          </cell>
          <cell r="D1027" t="str">
            <v>M</v>
          </cell>
          <cell r="E1027">
            <v>201647</v>
          </cell>
        </row>
        <row r="1028">
          <cell r="B1028">
            <v>4762</v>
          </cell>
          <cell r="C1028" t="str">
            <v>RETIRO DE PISOS EN PANELES PREFABRICADOS EN CONCRETO REFORZADO PARA ESTACIONES TRANSMILENIO</v>
          </cell>
          <cell r="D1028" t="str">
            <v>M</v>
          </cell>
          <cell r="E1028">
            <v>26723</v>
          </cell>
        </row>
        <row r="1029">
          <cell r="B1029">
            <v>4764</v>
          </cell>
          <cell r="C1029" t="str">
            <v>AJUSTE DE TORNILLO EN PISO DE PUENTES PEATONALES METALICOS TIPO TRANSMILENIO</v>
          </cell>
          <cell r="D1029" t="str">
            <v>UN</v>
          </cell>
          <cell r="E1029">
            <v>1252</v>
          </cell>
        </row>
        <row r="1030">
          <cell r="B1030">
            <v>4765</v>
          </cell>
          <cell r="C1030" t="str">
            <v>TORNILLO EN PISO DE PUENTES PEATONALES METALICOS TIPO TRANSMILENIO. SUMINISTRO E INSTALACION.</v>
          </cell>
          <cell r="D1030" t="str">
            <v>UN</v>
          </cell>
          <cell r="E1030">
            <v>1483</v>
          </cell>
        </row>
        <row r="1031">
          <cell r="B1031">
            <v>4767</v>
          </cell>
          <cell r="C1031" t="str">
            <v>BASE GRANULAR CLASE A (BG_A) (Suministro, Extendido, Nivelación, Humedecimiento y Compactación con compactador neumático)</v>
          </cell>
          <cell r="D1031" t="str">
            <v>M3</v>
          </cell>
          <cell r="E1031">
            <v>118059</v>
          </cell>
        </row>
        <row r="1032">
          <cell r="B1032">
            <v>4768</v>
          </cell>
          <cell r="C1032" t="str">
            <v>BASE GRANULAR CLASE B (BG_B) (Suministro, Extendido, Nivelación, Humedecimiento y Compactación con compactador neumático)</v>
          </cell>
          <cell r="D1032" t="str">
            <v>M3</v>
          </cell>
          <cell r="E1032">
            <v>114037</v>
          </cell>
        </row>
        <row r="1033">
          <cell r="B1033">
            <v>4769</v>
          </cell>
          <cell r="C1033" t="str">
            <v>BASE GRANULAR CLASE C (BG_C) (Suministro, Extendido, Nivelación, Humedecimiento y Compactación con compactador neumático)</v>
          </cell>
          <cell r="D1033" t="str">
            <v>M3</v>
          </cell>
          <cell r="E1033">
            <v>114037</v>
          </cell>
        </row>
        <row r="1034">
          <cell r="B1034">
            <v>4770</v>
          </cell>
          <cell r="C1034" t="str">
            <v>SUBBASE GRANULAR CLASE A (SBG_A) (Suministro, Extendido, Nivelación, Humedecimiento y Compactación con compactador neumático)</v>
          </cell>
          <cell r="D1034" t="str">
            <v>M3</v>
          </cell>
          <cell r="E1034">
            <v>110788</v>
          </cell>
        </row>
        <row r="1035">
          <cell r="B1035">
            <v>4771</v>
          </cell>
          <cell r="C1035" t="str">
            <v>SUBBASE GRANULAR CLASE B (SBG_B) (Suministro, Extendido, Nivelación, Humedecimiento y Compactación con compactador neumático)</v>
          </cell>
          <cell r="D1035" t="str">
            <v>M3</v>
          </cell>
          <cell r="E1035">
            <v>110788</v>
          </cell>
        </row>
        <row r="1036">
          <cell r="B1036">
            <v>4772</v>
          </cell>
          <cell r="C1036" t="str">
            <v>SUBBASE GRANULAR CLASE C (SBG_C) (Suministro, Extendido, Nivelación, Humedecimiento y Compactación con compactador neumático)</v>
          </cell>
          <cell r="D1036" t="str">
            <v>M3</v>
          </cell>
          <cell r="E1036">
            <v>107694</v>
          </cell>
        </row>
        <row r="1037">
          <cell r="B1037">
            <v>4776</v>
          </cell>
          <cell r="C1037" t="str">
            <v>LIMPIEZA DE CUNETAS (INCLUYE CARGUE DE MATERIAL)</v>
          </cell>
          <cell r="D1037" t="str">
            <v>M2</v>
          </cell>
          <cell r="E1037">
            <v>1909</v>
          </cell>
        </row>
        <row r="1038">
          <cell r="B1038">
            <v>4777</v>
          </cell>
          <cell r="C1038" t="str">
            <v>LIMPIEZA DE VALLADOS (INCLUYE CARGUE DE MATERIAL)</v>
          </cell>
          <cell r="D1038" t="str">
            <v>M2</v>
          </cell>
          <cell r="E1038">
            <v>3236</v>
          </cell>
        </row>
        <row r="1039">
          <cell r="B1039">
            <v>4778</v>
          </cell>
          <cell r="C1039" t="str">
            <v>LIMPIEZA DE ALCANTARILLAS (INCLUYE LIMPIEZA DE TUBERIA DE 24", BOX, RECTIFICACION DE DESCOLES PARA UN ANCHO DE VIA PROMEDIO DE 10MT. (INCLUYE CARGUE DE MATERIAL)</v>
          </cell>
          <cell r="D1039" t="str">
            <v>UN</v>
          </cell>
          <cell r="E1039">
            <v>40760</v>
          </cell>
        </row>
        <row r="1040">
          <cell r="B1040">
            <v>4779</v>
          </cell>
          <cell r="C1040" t="str">
            <v>LIMPIEZA DE ALCANTARILLAS (INCLUYE LIMPIEZA DE TUBERIA DE 36", BOX, RECTIFICACION DE DESCOLES PARA UN ANCHO DE VIA PROMEDIO DE 10MT. (INCLUYE CARGUE DE MATERIAL)</v>
          </cell>
          <cell r="D1040" t="str">
            <v>UN</v>
          </cell>
          <cell r="E1040">
            <v>91878</v>
          </cell>
        </row>
        <row r="1041">
          <cell r="B1041">
            <v>4780</v>
          </cell>
          <cell r="C1041" t="str">
            <v>LIMPIEZA DE DERECHOS DE VIA (INCLUYE CARGUE)</v>
          </cell>
          <cell r="D1041" t="str">
            <v>KM</v>
          </cell>
          <cell r="E1041">
            <v>218349</v>
          </cell>
        </row>
        <row r="1042">
          <cell r="B1042">
            <v>4781</v>
          </cell>
          <cell r="C1042" t="str">
            <v>REMOCION DE DERRUMBES MENORES (INCLUYE CARGUE DE MATERIAL)</v>
          </cell>
          <cell r="D1042" t="str">
            <v>M3</v>
          </cell>
          <cell r="E1042">
            <v>9520</v>
          </cell>
        </row>
        <row r="1043">
          <cell r="B1043">
            <v>4782</v>
          </cell>
          <cell r="C1043" t="str">
            <v>CONFORMACION DE LA CALZADA EXISTENTE</v>
          </cell>
          <cell r="D1043" t="str">
            <v>M2</v>
          </cell>
          <cell r="E1043">
            <v>744</v>
          </cell>
        </row>
        <row r="1044">
          <cell r="B1044">
            <v>4783</v>
          </cell>
          <cell r="C1044" t="str">
            <v>CONSTRUCCION DE CUNETA EN CONCRETO 3000PSI</v>
          </cell>
          <cell r="D1044" t="str">
            <v>M3</v>
          </cell>
          <cell r="E1044">
            <v>429254</v>
          </cell>
        </row>
        <row r="1045">
          <cell r="B1045">
            <v>4784</v>
          </cell>
          <cell r="C1045" t="str">
            <v>PROCESO DE INSTALACION  DE RECICLADO DE MATERIAL DE PAVIMENTO ASFALTICO (INCLUYE EXTENDIDO, NIVELACION Y COMPACTACION)</v>
          </cell>
          <cell r="D1045" t="str">
            <v>M3</v>
          </cell>
          <cell r="E1045">
            <v>15086</v>
          </cell>
        </row>
        <row r="1046">
          <cell r="B1046">
            <v>4786</v>
          </cell>
          <cell r="C1046" t="str">
            <v>CONSTRUCCION CANALETA DE AGUAS LLUVIAS DE 0.4 x 0.4 mt EN CONCRETO DE 3000PSI INCLUYE REJILLA PREFABRICADA.</v>
          </cell>
          <cell r="D1046" t="str">
            <v>M</v>
          </cell>
          <cell r="E1046">
            <v>166163</v>
          </cell>
        </row>
        <row r="1047">
          <cell r="B1047">
            <v>4787</v>
          </cell>
          <cell r="C1047" t="str">
            <v>CODO PVC  45° D=1 1/2" (Suministro e Instalación)</v>
          </cell>
          <cell r="D1047" t="str">
            <v>UN</v>
          </cell>
          <cell r="E1047">
            <v>10798</v>
          </cell>
        </row>
        <row r="1048">
          <cell r="B1048">
            <v>4788</v>
          </cell>
          <cell r="C1048" t="str">
            <v>GEODREN PLANAR H=1.0 M. SUMINISTRO E INSTALACION.</v>
          </cell>
          <cell r="D1048" t="str">
            <v>M</v>
          </cell>
          <cell r="E1048">
            <v>29338</v>
          </cell>
        </row>
        <row r="1049">
          <cell r="B1049">
            <v>4789</v>
          </cell>
          <cell r="C1049" t="str">
            <v>1 DUCTO D=1 1/2" CONDUIT PVC (NO INCLUYE RELLENOS). SUMINISTRO E INSTALACION.</v>
          </cell>
          <cell r="D1049" t="str">
            <v>M</v>
          </cell>
          <cell r="E1049">
            <v>7219</v>
          </cell>
        </row>
        <row r="1050">
          <cell r="B1050">
            <v>4790</v>
          </cell>
          <cell r="C1050" t="str">
            <v>1 DUCTO D= 2" PVC  PESADO DB (NO INCLUYE RELLENOS). SUMINISTRO E INSTALACION.</v>
          </cell>
          <cell r="D1050" t="str">
            <v>M</v>
          </cell>
          <cell r="E1050">
            <v>7114</v>
          </cell>
        </row>
        <row r="1051">
          <cell r="B1051">
            <v>4791</v>
          </cell>
          <cell r="C1051" t="str">
            <v>1 DUCTO D= 4" PVC  TDP (NO INCLUYE RELLENOS). SUMINISTRO E INSTALACION.</v>
          </cell>
          <cell r="D1051" t="str">
            <v>M</v>
          </cell>
          <cell r="E1051">
            <v>15890</v>
          </cell>
        </row>
        <row r="1052">
          <cell r="B1052">
            <v>4792</v>
          </cell>
          <cell r="C1052" t="str">
            <v>RELLENO EN RECEBO COMUN (Suministro e instalación  Extendido manual, Humedecimiento y Compactación TRANSPORTE A 28 KM).</v>
          </cell>
          <cell r="D1052" t="str">
            <v>M3</v>
          </cell>
          <cell r="E1052">
            <v>56212</v>
          </cell>
        </row>
        <row r="1053">
          <cell r="B1053">
            <v>4794</v>
          </cell>
          <cell r="C1053" t="str">
            <v>LLAMA AMARILLA (Incluye tierra negra, transporte y disposición fina de escombros A 28 KM. SUMINISTRO Y PLANTACION.</v>
          </cell>
          <cell r="D1053" t="str">
            <v>M2</v>
          </cell>
          <cell r="E1053">
            <v>156301</v>
          </cell>
        </row>
        <row r="1054">
          <cell r="B1054">
            <v>4795</v>
          </cell>
          <cell r="C1054" t="str">
            <v>COLA DE ZORRO (Incluye tierra negra, transporte y disposición fina de escombros a 28  KM). SUMINISTRO Y PLANTACION.</v>
          </cell>
          <cell r="D1054" t="str">
            <v>M2</v>
          </cell>
          <cell r="E1054">
            <v>170239</v>
          </cell>
        </row>
        <row r="1055">
          <cell r="B1055">
            <v>4796</v>
          </cell>
          <cell r="C1055" t="str">
            <v>ALCAPARRO (Incluye siembra, caja, tierra, abono, tutor, transporte y disposición fina de escombros a 21 Km). SUMINISTRO Y PLANTACION.</v>
          </cell>
          <cell r="D1055" t="str">
            <v>UN</v>
          </cell>
          <cell r="E1055">
            <v>181308</v>
          </cell>
        </row>
        <row r="1056">
          <cell r="B1056">
            <v>4797</v>
          </cell>
          <cell r="C1056" t="str">
            <v>EUCALIPTO POMARROSO H=1.5mt (Incluye siembra, caja, tierra, abono, tutor, transporte y disposición fina de escombros a 21 Km). SUMINISTRO Y PLANTACION.</v>
          </cell>
          <cell r="D1056" t="str">
            <v>UN</v>
          </cell>
          <cell r="E1056">
            <v>181308</v>
          </cell>
        </row>
        <row r="1057">
          <cell r="B1057">
            <v>4798</v>
          </cell>
          <cell r="C1057" t="str">
            <v>CHICALA H=1.5mt (Incluye siembra, caja, tierra, abono, tutor, transporte y disposición final de escombros 28 km).  SUMINISTRO Y PLANTACION.</v>
          </cell>
          <cell r="D1057" t="str">
            <v>UN</v>
          </cell>
          <cell r="E1057">
            <v>189953</v>
          </cell>
        </row>
        <row r="1058">
          <cell r="B1058">
            <v>4799</v>
          </cell>
          <cell r="C1058" t="str">
            <v>CAJETO H=1.5mt (Incluye siembra, caja, tierra, abono, tutor, transporte y disposición final de escombros a 28 km). SUMINISTRO Y PLANTACION.</v>
          </cell>
          <cell r="D1058" t="str">
            <v>UN</v>
          </cell>
          <cell r="E1058">
            <v>189953</v>
          </cell>
        </row>
        <row r="1059">
          <cell r="B1059">
            <v>4800</v>
          </cell>
          <cell r="C1059" t="str">
            <v>JAZMIN CHINO H=1.5mt (Incluye siembra, caja, tierra, abono, tutor, transporte y disposición final de escombros 28km. SUMINISTRO Y PLANTACION.</v>
          </cell>
          <cell r="D1059" t="str">
            <v>UN</v>
          </cell>
          <cell r="E1059">
            <v>189953</v>
          </cell>
        </row>
        <row r="1060">
          <cell r="B1060">
            <v>4801</v>
          </cell>
          <cell r="C1060" t="str">
            <v>TUBERIA PVC PRESION E.L. D=1 1/2" RDE 21 PSI 200 (Incluye limpieza y soldadura). SUMINISTRO E INSTALACION.</v>
          </cell>
          <cell r="D1060" t="str">
            <v>M</v>
          </cell>
          <cell r="E1060">
            <v>11051</v>
          </cell>
        </row>
        <row r="1061">
          <cell r="B1061">
            <v>4802</v>
          </cell>
          <cell r="C1061" t="str">
            <v>BLOQUEO Y TRANSPLANTE DE ARBOLES 1 - 5mt  (Incluye transporte, recolección).</v>
          </cell>
          <cell r="D1061" t="str">
            <v>UN</v>
          </cell>
          <cell r="E1061">
            <v>906172</v>
          </cell>
        </row>
        <row r="1062">
          <cell r="B1062">
            <v>4803</v>
          </cell>
          <cell r="C1062" t="str">
            <v>BLOQUEO Y TRANSPLANTE DE ARBOLES 5 - 10 mt  (Incluye transporte, recolección).</v>
          </cell>
          <cell r="D1062" t="str">
            <v>UN</v>
          </cell>
          <cell r="E1062">
            <v>1071847</v>
          </cell>
        </row>
        <row r="1063">
          <cell r="B1063">
            <v>4804</v>
          </cell>
          <cell r="C1063" t="str">
            <v>BLOQUEO Y TRANSPLANTE DE ARBOLES 10 - 15 mt  (Incluye transporte, recolección).</v>
          </cell>
          <cell r="D1063" t="str">
            <v>UN</v>
          </cell>
          <cell r="E1063">
            <v>1685643</v>
          </cell>
        </row>
        <row r="1064">
          <cell r="B1064">
            <v>4805</v>
          </cell>
          <cell r="C1064" t="str">
            <v>TUBERIA DE ACERO AL CARBON SIN COSTURA SCH40 D=3". SUMINISTRO E INSTALACION.</v>
          </cell>
          <cell r="D1064" t="str">
            <v>M</v>
          </cell>
          <cell r="E1064">
            <v>112133</v>
          </cell>
        </row>
        <row r="1065">
          <cell r="B1065">
            <v>4806</v>
          </cell>
          <cell r="C1065" t="str">
            <v>CUADRILLA (TUBERO + 4 AYUDANTES)</v>
          </cell>
          <cell r="D1065" t="str">
            <v>JR</v>
          </cell>
          <cell r="E1065">
            <v>257172</v>
          </cell>
        </row>
        <row r="1066">
          <cell r="B1066">
            <v>4807</v>
          </cell>
          <cell r="C1066" t="str">
            <v>CUADRILLA (TUBERO + 4 AYUDANTES)</v>
          </cell>
          <cell r="D1066" t="str">
            <v>HR</v>
          </cell>
          <cell r="E1066">
            <v>32146</v>
          </cell>
        </row>
        <row r="1067">
          <cell r="B1067">
            <v>4808</v>
          </cell>
          <cell r="C1067" t="str">
            <v>TUBERIA DE ACERO AL CARBON SIN COSTURA SCH40 D=4". SUMINISTRO E INSTALACION.</v>
          </cell>
          <cell r="D1067" t="str">
            <v>M</v>
          </cell>
          <cell r="E1067">
            <v>132624</v>
          </cell>
        </row>
        <row r="1068">
          <cell r="B1068">
            <v>4809</v>
          </cell>
          <cell r="C1068" t="str">
            <v>TUBERIA DE ACERO AL CARBON SIN COSTURA SCH40 D=6". SUMINISTRO E INSTALACION.</v>
          </cell>
          <cell r="D1068" t="str">
            <v>M</v>
          </cell>
          <cell r="E1068">
            <v>182954</v>
          </cell>
        </row>
        <row r="1069">
          <cell r="B1069">
            <v>4810</v>
          </cell>
          <cell r="C1069" t="str">
            <v>TUBERIA DE ACERO AL CARBON SIN COSTURA SCH40 D=8". SUMINISTRO E INSTALACION.</v>
          </cell>
          <cell r="D1069" t="str">
            <v>M</v>
          </cell>
          <cell r="E1069">
            <v>249303</v>
          </cell>
        </row>
        <row r="1070">
          <cell r="B1070">
            <v>4812</v>
          </cell>
          <cell r="C1070" t="str">
            <v>SARDINEL ESPECIAL A 110 PARA RAMPA TIPO B (SUMINISTRO E INSTALACION. INCLUYE 3CM MORTERO 1:5 HECHO EN OBRA).</v>
          </cell>
          <cell r="D1070" t="str">
            <v>M</v>
          </cell>
          <cell r="E1070">
            <v>161830</v>
          </cell>
        </row>
        <row r="1071">
          <cell r="B1071">
            <v>4813</v>
          </cell>
          <cell r="C1071" t="str">
            <v>RETIRO DE BOLARDO EN CONCRETO TIPO M-60. INCLUYE REPARACION DEL SITIO CON CONCRETO DE 1500PSI HECHO EN OBRA (40x40x10CM) Y SUBBASE GRANULAR SBG_200 e=0.35. NO INCLUYE RETIRO DE ESCOMBROS. INCLUYE DEMOLICION Y EXCAVACION.</v>
          </cell>
          <cell r="D1071" t="str">
            <v>UN</v>
          </cell>
          <cell r="E1071">
            <v>17594</v>
          </cell>
        </row>
        <row r="1072">
          <cell r="B1072">
            <v>4814</v>
          </cell>
          <cell r="C1072" t="str">
            <v>FRANJA DE AJUSTE DE ANCHO VARIABLE ENTRE 0.10 A 0.18MT Y PROFUNDIDAD VARIABLE ENTRE 0.06 Y 0.15MT EN CONCRETO DE 2500 PSI PREMEZCLADO.</v>
          </cell>
          <cell r="D1072" t="str">
            <v>M</v>
          </cell>
          <cell r="E1072">
            <v>7473</v>
          </cell>
        </row>
        <row r="1073">
          <cell r="B1073">
            <v>4815</v>
          </cell>
          <cell r="C1073" t="str">
            <v>MANTENIMIENTO RUTINARIO DE ANDENES EN ADOQUÍN O LOSETA INCLUYE SELLO DE JUNTAS, BARRIDO,  RETIRO MANUAL DE CAPA VEGETAL Y TRANSPORTE Y DISPOSICION DE ESCOMBROS A 21km.</v>
          </cell>
          <cell r="D1073" t="str">
            <v>M2</v>
          </cell>
          <cell r="E1073">
            <v>2078</v>
          </cell>
        </row>
        <row r="1074">
          <cell r="B1074">
            <v>4816</v>
          </cell>
          <cell r="C1074" t="str">
            <v>MANTENIMIENTO RUTINARIO PARA CICLORUTAS INCLUYE SELLO DE FISURAS, BARRIDO, RETIRO MANUAL DE CAPA VEGETAL. ANCHO DE CICLORRUTA 2.5MT. RETIRO Y TRANSPORTE Y DISPOSICIÓN FINAL DE ESCOMBROS A 21 KM.</v>
          </cell>
          <cell r="D1074" t="str">
            <v>M</v>
          </cell>
          <cell r="E1074">
            <v>15095</v>
          </cell>
        </row>
        <row r="1075">
          <cell r="B1075">
            <v>4817</v>
          </cell>
          <cell r="C1075" t="str">
            <v>MANTENIMIENTO RUTINARIO DE ANDENES EN CONCRETO INCLUYE SELLO DE JUNTAS Y RETIRO MANUAL DE CAPA VEGETAL, TRANSPORTE Y DISPOSICION DE ESCOMBROS A 21km.</v>
          </cell>
          <cell r="D1075" t="str">
            <v>M2</v>
          </cell>
          <cell r="E1075">
            <v>6008</v>
          </cell>
        </row>
        <row r="1076">
          <cell r="B1076">
            <v>4818</v>
          </cell>
          <cell r="C1076" t="str">
            <v>MANTENIMIENTO CORRECTIVO DE ANDENES EN CONCRETO INCLUYE CORTE RETIRO Y REEMPLAZO DEL MATERIAL, TRANSPORTE Y DISPOSICION DE ESCOMBROS A 21km.</v>
          </cell>
          <cell r="D1076" t="str">
            <v>M2</v>
          </cell>
          <cell r="E1076">
            <v>59374</v>
          </cell>
        </row>
        <row r="1077">
          <cell r="B1077">
            <v>4819</v>
          </cell>
          <cell r="C1077" t="str">
            <v>MANTENIMIENTO CORRECTIVO DE CICLORUTAS EN PAVIMENTO ASFALTICO ANCHO 2.5MT. INCLUYE SELLO DE FISURAS EN EL 50% DEL AREA Y REPOSICION DE CARPETA EN EL 50% DEL AREA RESTANTE TRANSP. Y DISPOSICIÓN FINAL DE ESCOMBROS A 21 KM.</v>
          </cell>
          <cell r="D1077" t="str">
            <v>M</v>
          </cell>
          <cell r="E1077">
            <v>106429</v>
          </cell>
        </row>
        <row r="1078">
          <cell r="B1078">
            <v>4820</v>
          </cell>
          <cell r="C1078" t="str">
            <v>REHABILITACION DE ANDENES EN ADOQUIN DE ARCILLA SOBRE ARENA, INCLUYE DEMOLICIONES, EXCAVACION, RELLENO DE MATERIAL. SELECCIONADO PARA UN ANDEN DE 3.5MT. INCLUYE MOBILIARIO. INCLUYE TRANSP. Y DISPOSIC. DE ESCOMBROS 21 KM.</v>
          </cell>
          <cell r="D1078" t="str">
            <v>M2</v>
          </cell>
          <cell r="E1078">
            <v>100300</v>
          </cell>
        </row>
        <row r="1079">
          <cell r="B1079">
            <v>4821</v>
          </cell>
          <cell r="C1079" t="str">
            <v>REHABILITACION DE ANDENES EN ADOQUIN DE ARCILLA SOBRE MORTERO, INCLUYE DEMOLICIONES, EXCAVACION, RELLENO DE MATERIAL SELECCIONADO PARA UN ANDEN DE 3.5MT. INCLUYE MOBILIARIO. INCLUYE TRANSP. Y DISP. DE ESCOMBROS A 21 KM.</v>
          </cell>
          <cell r="D1079" t="str">
            <v>M2</v>
          </cell>
          <cell r="E1079">
            <v>114075</v>
          </cell>
        </row>
        <row r="1080">
          <cell r="B1080">
            <v>4822</v>
          </cell>
          <cell r="C1080" t="str">
            <v>REHABILITACION DE ANDENES EN LOSETA SOBRE ARENA, INCLUYE DEMOLICIONES, EXCAVACION, RELLENO DE MATERIAL SELECCIONADO PARA UN ANDEN DE 3.5MT. INCLUYE MOBILIARIO. INCLUYE TRANSPORTE Y DISPOSICION DE ESCOMBROS A 21 KM.</v>
          </cell>
          <cell r="D1080" t="str">
            <v>M2</v>
          </cell>
          <cell r="E1080">
            <v>107499</v>
          </cell>
        </row>
        <row r="1081">
          <cell r="B1081">
            <v>4823</v>
          </cell>
          <cell r="C1081" t="str">
            <v>REHABILITACION DE ANDENES EN LOSETA SOBRE MORTERO, INCLUYE DEMOLICIONES, EXCAVACION, RELLENO DE MATERIAL SELECCIONADO PARA UN ANDEN DE 3.5MT. INCLUYE MOBILIARIO. INCLUYE TRANSPORTE Y DISPOSICION DE ESCOMBROS A 21 KM.</v>
          </cell>
          <cell r="D1081" t="str">
            <v>M2</v>
          </cell>
          <cell r="E1081">
            <v>119036</v>
          </cell>
        </row>
        <row r="1082">
          <cell r="B1082">
            <v>4824</v>
          </cell>
          <cell r="C1082" t="str">
            <v>REHABILITACION DE ANDENES EN CONCRETO, INCLUYE DEMOLICIONES, EXCAVACION, RELLENO DE MATERIAL SELECCIONADO PARA UN ANDEN DE 3.5MT. INCLUYE MOBILIARIO. INCLUYE TRANSPORTE Y DISPOSICION DE ESCOMBROS A 21 KM.</v>
          </cell>
          <cell r="D1082" t="str">
            <v>M2</v>
          </cell>
          <cell r="E1082">
            <v>110758</v>
          </cell>
        </row>
        <row r="1083">
          <cell r="B1083">
            <v>4825</v>
          </cell>
          <cell r="C1083" t="str">
            <v>REHABILITACIÓN DE CICLORRUTAS EN CONCRETO ASFÁLTICO MD 12. INCLUYE DEMOLICIONES, EXCAVACIÓN, RELLENOS EN MATERIAL SELECCIONADO. ANCHO CICLORRUTA 2.5MT. TRANSPORTE Y DISPOSICIÓN DE ESCOMBROS A 21KM.</v>
          </cell>
          <cell r="D1083" t="str">
            <v>M</v>
          </cell>
          <cell r="E1083">
            <v>235886</v>
          </cell>
        </row>
        <row r="1084">
          <cell r="B1084">
            <v>4826</v>
          </cell>
          <cell r="C1084" t="str">
            <v>RESINA TERMOPLASTICA COLOR BLANCO PARA PICTOGRAMA BICICLETA (0.8x1.2mt) EN CICLORRUTAS. SUMINISTRO Y APLICACION.</v>
          </cell>
          <cell r="D1084" t="str">
            <v>UN</v>
          </cell>
          <cell r="E1084">
            <v>105101</v>
          </cell>
        </row>
        <row r="1085">
          <cell r="B1085">
            <v>4827</v>
          </cell>
          <cell r="C1085" t="str">
            <v>PINTURA ACRILICA DE TRAFICO COLOR BLANCA PARA CUADROS CRUCE CICLORRUTA DE 0.4mt x 0.4mt. SUMINISTRO Y APLICACION.</v>
          </cell>
          <cell r="D1085" t="str">
            <v>UN</v>
          </cell>
          <cell r="E1085">
            <v>2800</v>
          </cell>
        </row>
        <row r="1086">
          <cell r="B1086">
            <v>4828</v>
          </cell>
          <cell r="C1086" t="str">
            <v>PINTURA EN ESMALTE ALQUÍDICO DE 3 mils ESP. DE PINTURA SECA PARA BARANDAS EXISTENTES, INCL. SUM. DE MATERIALES, ESMALTE, PREPAR. DE SUPERFICIE MEDIANTE LIMPIEZA MANUAL O MECÁNICA, EQUIPO DE PINTURA, M DE O  HERRAMIENTA MENOR.</v>
          </cell>
          <cell r="D1086" t="str">
            <v>M</v>
          </cell>
          <cell r="E1086">
            <v>15493</v>
          </cell>
        </row>
        <row r="1087">
          <cell r="B1087">
            <v>4829</v>
          </cell>
          <cell r="C1087" t="str">
            <v>PLACA EN CONCRETO MR-41 ACELERADO A TRES DIAS PARA LOSAS REFORZADAS PARA PUENTES PEATONALES EN CONCRETO. SUMINISTRO E INSTALACION. INCLUYE CORTE Y SELLO DE JUNTAS.</v>
          </cell>
          <cell r="D1087" t="str">
            <v>M3</v>
          </cell>
          <cell r="E1087">
            <v>664320</v>
          </cell>
        </row>
        <row r="1088">
          <cell r="B1088">
            <v>4830</v>
          </cell>
          <cell r="C1088" t="str">
            <v>MANTENIMIENTO RUTINARIO PARA PUENTE PEATONAL, INCLUYE LAVADO DE ESTRUCTURAS EN CONCRETO Y/O METALICAS A PRESION, INCLUYE ALQUILER DE HIDROLAVADORA 1300W..</v>
          </cell>
          <cell r="D1088" t="str">
            <v>M2</v>
          </cell>
          <cell r="E1088">
            <v>7342</v>
          </cell>
        </row>
        <row r="1089">
          <cell r="B1089">
            <v>4831</v>
          </cell>
          <cell r="C1089" t="str">
            <v>MANTENIMIENTO CORRECTIVO PARA PUENTE PEATONAL EN CONCRETO, INCLUYE REEMPLAZO DE PELDAÑOS DE ESCALERAS Y PISO DE PUENTE, SELLO DE JUNTAS AJUSTE Y PINTURA DE BARANDAS Y PINTURA DEL PUENTE.</v>
          </cell>
          <cell r="D1089" t="str">
            <v>M2</v>
          </cell>
          <cell r="E1089">
            <v>99599</v>
          </cell>
        </row>
        <row r="1090">
          <cell r="B1090">
            <v>4832</v>
          </cell>
          <cell r="C1090" t="str">
            <v>SEGREGADOR BICICLETA (TACHON PLASTICO O CAUCHO ALTA RESISTENCIA COMO POLIPROPILENO DE ALTO IMPACTO, CON ESTRUCTURA DE REFUERZO, ELEMENTOS REFLECTIVOS DE ALTA EFICIENCIA. TIPO TRANSMILENIO 40.5cmx15cmx8.5cm). SUMIN. E INSTAL.</v>
          </cell>
          <cell r="D1090" t="str">
            <v>UN</v>
          </cell>
          <cell r="E1090">
            <v>36289</v>
          </cell>
        </row>
        <row r="1091">
          <cell r="B1091">
            <v>4833</v>
          </cell>
          <cell r="C1091" t="str">
            <v>RETIRO DE CANECAS, SEÑALES DE TRANSITO PROTECTORES DE ARBOLES. INCLUYE REPARACION DEL SITIO EN CONCRETO DE 1500 PSI HECHO EN OBRA Y SUBBASE GRANULAR B-200 e=0.35m DISTANCIA DE TRANSPORTE 21KM.</v>
          </cell>
          <cell r="D1091" t="str">
            <v>UN</v>
          </cell>
          <cell r="E1091">
            <v>7524</v>
          </cell>
        </row>
        <row r="1092">
          <cell r="B1092">
            <v>4834</v>
          </cell>
          <cell r="C1092" t="str">
            <v>PIEZA DE REMATE PARA RAMPA PEATONAL, LONGITUD 1,40MTS FUNDIDO EN SITIO EN CONCRETO PREMEZCLADO DE 3000 PSI (GRAVA COMUN) INCLUYE FORMALETA EN MADERA. SUMINISTRO Y CONSTRUCCION.</v>
          </cell>
          <cell r="D1092" t="str">
            <v>UN</v>
          </cell>
          <cell r="E1092">
            <v>89928</v>
          </cell>
        </row>
        <row r="1093">
          <cell r="B1093">
            <v>4835</v>
          </cell>
          <cell r="C1093" t="str">
            <v>BASE GRANULAR BG-A ESTABILIZADA CON CEMENTO AL 5% (INCLUYE SUMINISTRO TRANSPORTE, COLOCACIÓN Y COMPACTACION).</v>
          </cell>
          <cell r="D1093" t="str">
            <v>M3</v>
          </cell>
          <cell r="E1093">
            <v>194256</v>
          </cell>
        </row>
        <row r="1094">
          <cell r="B1094">
            <v>4836</v>
          </cell>
          <cell r="C1094" t="str">
            <v>BASE GRANULAR CLASE A (BG_A) ESTABILIZADA AL 4%  CON EMULSIÓN ASFÁLTICA CRL-1 (INCLUYE SUMINISTRO TRANSPORTE, COLOCACION Y COMPACTACION).</v>
          </cell>
          <cell r="D1094" t="str">
            <v>M3</v>
          </cell>
          <cell r="E1094">
            <v>255364</v>
          </cell>
        </row>
        <row r="1095">
          <cell r="B1095">
            <v>4837</v>
          </cell>
          <cell r="C1095" t="str">
            <v>RELLENO CON MEZCLA DE GRAVILLA DE 3/4" Y ARENA DE RIO (RELACIÓN 1:1) SUMINISTRO Y COLOCACIÓN. (INCLUYE TRANSPORTE, SUMINISTRO, EXTENDIDO MANUAL Y COLOCACIÓN).</v>
          </cell>
          <cell r="D1095" t="str">
            <v>M3</v>
          </cell>
          <cell r="E1095">
            <v>98543</v>
          </cell>
        </row>
        <row r="1096">
          <cell r="B1096">
            <v>4838</v>
          </cell>
          <cell r="C1096" t="str">
            <v>RELLENO CON GRAVA ENTRE 3/4" Y 1/2" PARA FILTROS (RELACIÓN 1:1) SUMINISTRO Y COLOCACIÓN. (INCLUYE TRANSPORTE, SUMINISTRO, EXTENDIDO MANUAL Y COLOCACIÓN).</v>
          </cell>
          <cell r="D1096" t="str">
            <v>M3</v>
          </cell>
          <cell r="E1096">
            <v>100035</v>
          </cell>
        </row>
        <row r="1097">
          <cell r="B1097">
            <v>4839</v>
          </cell>
          <cell r="C1097" t="str">
            <v>EMPATES DE TUBERÍA EN PVC A PVC 6" LINEAL SEGÚN NORMA NS-023. SUMINISTRO E INSTALACIÓN. (INCLUYE ACCESORIOS).</v>
          </cell>
          <cell r="D1097" t="str">
            <v>UN</v>
          </cell>
          <cell r="E1097">
            <v>333923</v>
          </cell>
        </row>
        <row r="1098">
          <cell r="B1098">
            <v>4840</v>
          </cell>
          <cell r="C1098" t="str">
            <v>EMPATES DE TUBERÍA EN PVC A PVC 3" LINEAL SEGÚN NORMA NS-023 (INCLUYE ACCESORIOS). SUMINISTRO E INSTALACIÓN.</v>
          </cell>
          <cell r="D1098" t="str">
            <v>UN</v>
          </cell>
          <cell r="E1098">
            <v>88508</v>
          </cell>
        </row>
        <row r="1099">
          <cell r="B1099">
            <v>4841</v>
          </cell>
          <cell r="C1099" t="str">
            <v>EMPATES DE TUBERÍA EN PVC A PVC 4" LINEAL SEGÚN NORMA NS-023 (INCLUYE ACCESORIOS). SUMINISTRO E INSTALACIÓN.</v>
          </cell>
          <cell r="D1099" t="str">
            <v>UN</v>
          </cell>
          <cell r="E1099">
            <v>134940</v>
          </cell>
        </row>
        <row r="1100">
          <cell r="B1100">
            <v>4842</v>
          </cell>
          <cell r="C1100" t="str">
            <v>EMPATES DE TUBERÍA EN PVC A AC 4" LINEAL SEGÚN NORMA NS-023 SUMINISTRO E INSTALACIÓN. (INCLUYE ACCESORIOS).</v>
          </cell>
          <cell r="D1100" t="str">
            <v>UN</v>
          </cell>
          <cell r="E1100">
            <v>235734</v>
          </cell>
        </row>
        <row r="1101">
          <cell r="B1101">
            <v>4843</v>
          </cell>
          <cell r="C1101" t="str">
            <v>EMPATES DE TUBERÍA EN PVC A AC 3" LINEAL SEGÚN NORMA NS-023. SUMINISTRO E INSTALACIÓN. (INCLUYE ACCESORIOS).</v>
          </cell>
          <cell r="D1101" t="str">
            <v>UN</v>
          </cell>
          <cell r="E1101">
            <v>181327</v>
          </cell>
        </row>
        <row r="1102">
          <cell r="B1102">
            <v>4844</v>
          </cell>
          <cell r="C1102" t="str">
            <v>EMPATES DE TUBERÍA EN PVC A PVC 12" LINEAL SEGÚN NORMA NS-023 (INCLUYE ACCESORIOS). SUMINISTRO E INSTALACIÓN.</v>
          </cell>
          <cell r="D1102" t="str">
            <v>UN</v>
          </cell>
          <cell r="E1102">
            <v>1719515</v>
          </cell>
        </row>
        <row r="1103">
          <cell r="B1103">
            <v>4845</v>
          </cell>
          <cell r="C1103" t="str">
            <v>EMPATES DE TUBERÍA EN PVC A PVC 8" LINEAL SEGÚN NORMA NS-023. SUMINISTRO E INSTALACIÓN. (INCLUYE ACCESORIOS).</v>
          </cell>
          <cell r="D1103" t="str">
            <v>UN</v>
          </cell>
          <cell r="E1103">
            <v>606462</v>
          </cell>
        </row>
        <row r="1104">
          <cell r="B1104">
            <v>4846</v>
          </cell>
          <cell r="C1104" t="str">
            <v>DEMOLICIÓN MANUAL DE CAJA DOBLE CS 276 (INCLUYE DEMOLICIÓN DE PLACA PISO, TAPA, MUROS Y CAÑUELAS Y CARGUE).</v>
          </cell>
          <cell r="D1104" t="str">
            <v>UN</v>
          </cell>
          <cell r="E1104">
            <v>94279</v>
          </cell>
        </row>
        <row r="1105">
          <cell r="B1105">
            <v>4848</v>
          </cell>
          <cell r="C1105" t="str">
            <v>DEMOLICION DE TUBERIAS DE ACUEDUCTO Y ALCANTARILLADO Ø &lt; 36" (INCLUYE MARTILLO NEUMÁTICO DE 60 LB Y CARGUE).</v>
          </cell>
          <cell r="D1105" t="str">
            <v>M</v>
          </cell>
          <cell r="E1105">
            <v>6570</v>
          </cell>
        </row>
        <row r="1106">
          <cell r="B1106">
            <v>4849</v>
          </cell>
          <cell r="C1106" t="str">
            <v>DEMOLICION O RETIRO MANUAL DE TUBERIAS DE AC Ø &lt; 12" (INCLUYE CARGUE).</v>
          </cell>
          <cell r="D1106" t="str">
            <v>M</v>
          </cell>
          <cell r="E1106">
            <v>1886</v>
          </cell>
        </row>
        <row r="1107">
          <cell r="B1107">
            <v>4850</v>
          </cell>
          <cell r="C1107" t="str">
            <v>DEMOLICION DE POZOS, CAJAS Y CAMARAS DE EMPRESAS DE SERVICIOS PÚBLICOS (INCLUYE MARTILLO NEUMÁTICO DE 60 LB, COMPRESOR Y CARGUE).</v>
          </cell>
          <cell r="D1107" t="str">
            <v>M3</v>
          </cell>
          <cell r="E1107">
            <v>198762</v>
          </cell>
        </row>
        <row r="1108">
          <cell r="B1108">
            <v>4851</v>
          </cell>
          <cell r="C1108" t="str">
            <v>REPARACIÓN DE ACOMETIDA HIDRÁULICA DE LA CAJILLA HACIA EL PREDIO (INCLUYE EL RETIRO DE LA TUBERÍA EXISTENTE E INSTALACIÓN DE TUBERÍA NUEVA).</v>
          </cell>
          <cell r="D1108" t="str">
            <v>UN</v>
          </cell>
          <cell r="E1108">
            <v>21660</v>
          </cell>
        </row>
        <row r="1109">
          <cell r="B1109">
            <v>4852</v>
          </cell>
          <cell r="C1109" t="str">
            <v>CONCRETO GRAVA COMÚN 3000 PSI (210 Kg/Cm2) PARA ESTRIBOS Y SUPERESTRUCTURA, SUMINISTRO Y COLOCACIÓN. (INCLUYE FORMALETA. NO INCLUYE REFUERZO NI CURADO).</v>
          </cell>
          <cell r="D1109" t="str">
            <v>M3</v>
          </cell>
          <cell r="E1109">
            <v>440918</v>
          </cell>
        </row>
        <row r="1110">
          <cell r="B1110">
            <v>4853</v>
          </cell>
          <cell r="C1110" t="str">
            <v>CONCRETO GRAVA COMÚN 3500 PSI (245 Kg/Cm2) PARA ESTRIBOS Y SUPERESTRUCTURA, SUMINISTRO Y COLOCACIÓN. (INCLUYE FORMALETA. NO INCLUYE REFUERZO NI CURADO).</v>
          </cell>
          <cell r="D1110" t="str">
            <v>M3</v>
          </cell>
          <cell r="E1110">
            <v>459679</v>
          </cell>
        </row>
        <row r="1111">
          <cell r="B1111">
            <v>4854</v>
          </cell>
          <cell r="C1111" t="str">
            <v>CONCRETO GRAVA COMÚN 4000 PSI (280 Kg/Cm2) PARA ESTRIBOS Y SUPERESTRUCTURA, SUMINISTRO Y COLOCACIÓN. (INCLUYE FORMALETA. NO INCLUYE REFUERZO NI CURADO).</v>
          </cell>
          <cell r="D1111" t="str">
            <v>M3</v>
          </cell>
          <cell r="E1111">
            <v>474111</v>
          </cell>
        </row>
        <row r="1112">
          <cell r="B1112">
            <v>4855</v>
          </cell>
          <cell r="C1112" t="str">
            <v>CONSTRUCCIÓN DE FRANJA DE AJUSTE EN CONCRETO PREMEZCLADO GRAVA COMÚN 3000 PSI, ESPESOR PROMEDIO 10 cm..</v>
          </cell>
          <cell r="D1112" t="str">
            <v>M2</v>
          </cell>
          <cell r="E1112">
            <v>38435</v>
          </cell>
        </row>
        <row r="1113">
          <cell r="B1113">
            <v>4856</v>
          </cell>
          <cell r="C1113" t="str">
            <v>PISOS EN LOSETA PREFABRICADA A55 TÁCTIL ALERTA O A56 GUIA 40x40x6 cm. SUMINISTRO E INSTALACIÓN. (INCLUYE 4cm DE MORTERO 1:5 HECHO EN OBRA PARA BASE Y ARENA DE PEÑA PARA SELLO).</v>
          </cell>
          <cell r="D1113" t="str">
            <v>M2</v>
          </cell>
          <cell r="E1113">
            <v>58847</v>
          </cell>
        </row>
        <row r="1114">
          <cell r="B1114">
            <v>4857</v>
          </cell>
          <cell r="C1114" t="str">
            <v>IMPRIMACIÓN CON EMULSIÓN ASFÁLTICA CRL-1 (INCLUYE SUMINISTRO, BARRIDO DE SUPERFICIE Y RIEGO).</v>
          </cell>
          <cell r="D1114" t="str">
            <v>M2</v>
          </cell>
          <cell r="E1114">
            <v>1375</v>
          </cell>
        </row>
        <row r="1115">
          <cell r="B1115">
            <v>4858</v>
          </cell>
          <cell r="C1115" t="str">
            <v>KIT DE NIVELACIÓN PARA HIDRANTE DE DIÁMETRO DE 6", LONGITUD 400mm. SUMINISTRO E INSTALACIÓN. (INCLUYE TRANSPORTE Y TODOS LOS ELEMENTOS NECESARIOS PARA SU INSTALACIÓN).</v>
          </cell>
          <cell r="D1115" t="str">
            <v>UN</v>
          </cell>
          <cell r="E1115">
            <v>738751</v>
          </cell>
        </row>
        <row r="1116">
          <cell r="B1116">
            <v>4859</v>
          </cell>
          <cell r="C1116" t="str">
            <v>BORDE CONTENEDOR DE RAICES A 70 (INCLUYE SUMINISTRO E INSTALACIÓN, INCLUYE BASE DE 3cm EN MORTERO 1:3 HECHO EN OBRA)</v>
          </cell>
          <cell r="D1116" t="str">
            <v>M</v>
          </cell>
          <cell r="E1116">
            <v>25552</v>
          </cell>
        </row>
        <row r="1117">
          <cell r="B1117">
            <v>4860</v>
          </cell>
          <cell r="C1117" t="str">
            <v>DEMARCACIÓN PICTOGRAMA TRIÁNGULOS CEDA EL PASO EN PINTURA TERMOPLÁSTICA. (e=2.3mm. INCLUYE SUMINISTRO Y APLICACIÓN CON EQUIPO. INCLUYE MICROESFERAS( (A= 1.434m2). INCLUYE PICTOGRAMA.</v>
          </cell>
          <cell r="D1117" t="str">
            <v>UN</v>
          </cell>
          <cell r="E1117">
            <v>156994</v>
          </cell>
        </row>
        <row r="1118">
          <cell r="B1118">
            <v>4861</v>
          </cell>
          <cell r="C1118" t="str">
            <v>GRAVILLA DE 3/4" PEGADA CON MORTERO 1:3, e= 0.20m PARA ENTREGA A CANAL (INCLUYE SUMINISTRO E INSTALACIÓN).</v>
          </cell>
          <cell r="D1118" t="str">
            <v>M2</v>
          </cell>
          <cell r="E1118">
            <v>86528</v>
          </cell>
        </row>
        <row r="1119">
          <cell r="B1119">
            <v>4862</v>
          </cell>
          <cell r="C1119" t="str">
            <v>TUBERÍA CONCRETO D= 32" CL. III REFORZADA. SUMINISTRO E INSTALACIÓN.</v>
          </cell>
          <cell r="D1119" t="str">
            <v>M</v>
          </cell>
          <cell r="E1119">
            <v>685025</v>
          </cell>
        </row>
        <row r="1120">
          <cell r="B1120">
            <v>4863</v>
          </cell>
          <cell r="C1120" t="str">
            <v>DEMARCACIÓN DE LINEA DE PASO PEATONAL CONTINUA A= 0.3mt, E= 2.3mm TERMOPLÁSTICA. INCLUYE SUMINISTRO Y APLICACIÓN CON EQUIPO. INCLUYE MICROESFERAS.</v>
          </cell>
          <cell r="D1120" t="str">
            <v>M</v>
          </cell>
          <cell r="E1120">
            <v>32844</v>
          </cell>
        </row>
        <row r="1121">
          <cell r="B1121">
            <v>4864</v>
          </cell>
          <cell r="C1121" t="str">
            <v>DEMARCACIÓN DE LINEA SENDERO PEATONAL CONTINUA A= 0.4mt, E= 2.3mm TERMOPLÁSTICA. INCLUYE SUMINISTRO Y APLICACIÓN CON EQUIPO. INCLUYE MICROESFERAS.</v>
          </cell>
          <cell r="D1121" t="str">
            <v>M</v>
          </cell>
          <cell r="E1121">
            <v>43792</v>
          </cell>
        </row>
        <row r="1122">
          <cell r="B1122">
            <v>4865</v>
          </cell>
          <cell r="C1122" t="str">
            <v>DEMARCACIÓN LINEA DE CANALIZACIÓN A= 0.2mt, E= 2.3mm TERMOPLÁSTICA. INCLUYE SUMINISTRO Y APLICACIÓN CON EQUIPO. INCLUYE MICROESFERAS.</v>
          </cell>
          <cell r="D1122" t="str">
            <v>M</v>
          </cell>
          <cell r="E1122">
            <v>21896</v>
          </cell>
        </row>
        <row r="1123">
          <cell r="B1123">
            <v>4866</v>
          </cell>
          <cell r="C1123" t="str">
            <v>DEMARCACIÓN ZONA ANTIBLOQUEO A= 0.4mt, E= 2.3mm TERMOPLÁSTICA. INCLUYE SUMINISTRO Y APLICACIÓN CON EQUIPO. INCLUYE MICROESFERAS.</v>
          </cell>
          <cell r="D1123" t="str">
            <v>M</v>
          </cell>
          <cell r="E1123">
            <v>43792</v>
          </cell>
        </row>
        <row r="1124">
          <cell r="B1124">
            <v>4867</v>
          </cell>
          <cell r="C1124" t="str">
            <v>DEMARCACIÓN LINEA DE PARE A= 0.6mt, E= 2.3mm TERMOPLÁSTICA. INCLUYE SUMINISTRO Y APLICACIÓN CON EQUIPO. INCLUYE MICROESFERAS.</v>
          </cell>
          <cell r="D1124" t="str">
            <v>M</v>
          </cell>
          <cell r="E1124">
            <v>65688</v>
          </cell>
        </row>
        <row r="1125">
          <cell r="B1125">
            <v>4869</v>
          </cell>
          <cell r="C1125" t="str">
            <v>DEMOLICIÓN MANUAL DE CAJA SENCILLA CS 275 (INCLUYE DEMOLICIÓN DE PLACA PISO, TAPA, MUROS Y CAÑUELAS Y CARGUE).</v>
          </cell>
          <cell r="D1125" t="str">
            <v>UN</v>
          </cell>
          <cell r="E1125">
            <v>47140</v>
          </cell>
        </row>
        <row r="1126">
          <cell r="B1126">
            <v>4870</v>
          </cell>
          <cell r="C1126" t="str">
            <v>DEMOLICIÓN MANUAL DE CÁMARA T-14 (INCLUYE DEMOLICIÓN DE PLACA PISO, TAPA, MUROS Y CAÑUELAS Y CARGUE).</v>
          </cell>
          <cell r="D1126" t="str">
            <v>UN</v>
          </cell>
          <cell r="E1126">
            <v>47140</v>
          </cell>
        </row>
        <row r="1127">
          <cell r="B1127">
            <v>4871</v>
          </cell>
          <cell r="C1127" t="str">
            <v>DEMOLICIÓN MANUAL DE CÁMARA DE PASO SENCILLA ETB (INCLUYE DEMOLICIÓN DE PLACA PISO, TAPA, MUROS Y CAÑUELAS Y CARGUE).</v>
          </cell>
          <cell r="D1127" t="str">
            <v>UN</v>
          </cell>
          <cell r="E1127">
            <v>23570</v>
          </cell>
        </row>
        <row r="1128">
          <cell r="B1128">
            <v>4872</v>
          </cell>
          <cell r="C1128" t="str">
            <v xml:space="preserve">REDUCCIÓN CONCENTRICA HD EL 4" x 3". SUMINISTRO E INSTALACIÓN. </v>
          </cell>
          <cell r="D1128" t="str">
            <v>UN</v>
          </cell>
          <cell r="E1128">
            <v>141840</v>
          </cell>
        </row>
        <row r="1129">
          <cell r="B1129">
            <v>4873</v>
          </cell>
          <cell r="C1129" t="str">
            <v>REDUCCIÓN CONCENTRICA HD EL 8" x 6". SUMINISTRO E INSTALACIÓN.</v>
          </cell>
          <cell r="D1129" t="str">
            <v>UN</v>
          </cell>
          <cell r="E1129">
            <v>410536</v>
          </cell>
        </row>
        <row r="1130">
          <cell r="B1130">
            <v>4874</v>
          </cell>
          <cell r="C1130" t="str">
            <v>REDUCCIÓN HD 6" x 4" J.H. SUMINISTRO E INSTALACIÓN.</v>
          </cell>
          <cell r="D1130" t="str">
            <v>UN</v>
          </cell>
          <cell r="E1130">
            <v>321938</v>
          </cell>
        </row>
        <row r="1131">
          <cell r="B1131">
            <v>4875</v>
          </cell>
          <cell r="C1131" t="str">
            <v>REDUCCIÓN HD 4" x 2" J.H. SUMINISTRO E INSTALACIÓN.</v>
          </cell>
          <cell r="D1131" t="str">
            <v>UN</v>
          </cell>
          <cell r="E1131">
            <v>127133</v>
          </cell>
        </row>
        <row r="1132">
          <cell r="B1132">
            <v>4876</v>
          </cell>
          <cell r="C1132" t="str">
            <v>RELOCALIZACIÓN DE MEDIDOR DE ACUEDUCTO D= 3/4" (INCLUYE: 1mt TUBERÍA GALVANIZADA D= 3/4", SOLDADURA, CINTA DE TEFLON, REPOSICIÓN DE CAJILLA EN POLIPROPILENO DE ALTA RESISTENCIA CON TAPA. NO INCLUYE MEDIDOR).</v>
          </cell>
          <cell r="D1132" t="str">
            <v>UN</v>
          </cell>
          <cell r="E1132">
            <v>242517</v>
          </cell>
        </row>
        <row r="1133">
          <cell r="B1133">
            <v>4877</v>
          </cell>
          <cell r="C1133" t="str">
            <v>RELOCALIZACIÓN DE MEDIDOR DE ACUEDUCTO D= 1" (INCLUYE: 1mt TUBERÍA GALVANIZADA D= 1", SOLDADURA, CINTA DE TEFLON, REPOSICIÓN DE CAJILLA EN POLIPROPILENO DE ALTA RESISTENCIA CON TAPA. NO INCLUYE MEDIDOR).</v>
          </cell>
          <cell r="D1133" t="str">
            <v>UN</v>
          </cell>
          <cell r="E1133">
            <v>224984</v>
          </cell>
        </row>
        <row r="1134">
          <cell r="B1134">
            <v>4878</v>
          </cell>
          <cell r="C1134" t="str">
            <v>CONEXIONES KIT SILLA YEE 200 x 160 PVC. SUMINISTRO E INSTALACIÓN.</v>
          </cell>
          <cell r="D1134" t="str">
            <v>UN</v>
          </cell>
          <cell r="E1134">
            <v>118931</v>
          </cell>
        </row>
        <row r="1135">
          <cell r="B1135">
            <v>4879</v>
          </cell>
          <cell r="C1135" t="str">
            <v>CONEXIONES KIT SILLA YEE 315 x 160 PVC. SUMINISTRO E INSTALACIÓN.</v>
          </cell>
          <cell r="D1135" t="str">
            <v>UN</v>
          </cell>
          <cell r="E1135">
            <v>182519</v>
          </cell>
        </row>
        <row r="1136">
          <cell r="B1136">
            <v>4880</v>
          </cell>
          <cell r="C1136" t="str">
            <v>26 DUCTOS D= 4" DE PVC TDP. SUMINISTRO E INSTALACIÓN. (NO INCLUYE RELLENO).</v>
          </cell>
          <cell r="D1136" t="str">
            <v>M</v>
          </cell>
          <cell r="E1136">
            <v>380843</v>
          </cell>
        </row>
        <row r="1137">
          <cell r="B1137">
            <v>4881</v>
          </cell>
          <cell r="C1137" t="str">
            <v>ALCAPARRO (Incluye siembra, caja, tierra negra, abono y tutor. Incluye transporte y disposición final de escombros en sitio autorizado (Distancia de transporte 28 Km). SUMINISTRO Y PLANTACION.</v>
          </cell>
          <cell r="D1137" t="str">
            <v>UN</v>
          </cell>
          <cell r="E1137">
            <v>189953</v>
          </cell>
        </row>
        <row r="1138">
          <cell r="B1138">
            <v>4882</v>
          </cell>
          <cell r="C1138" t="str">
            <v>EUCALIPTO POMARROSO H= 1.5m  (Incluye siembra, caja, tierra negra, abono y tutor. Incluye transporte y disposición final de escombros en sitio autorizado (Distancia de transporte 28 Km). SUMINISTRO Y PLANTACION.</v>
          </cell>
          <cell r="D1138" t="str">
            <v>UN</v>
          </cell>
          <cell r="E1138">
            <v>189953</v>
          </cell>
        </row>
        <row r="1139">
          <cell r="B1139">
            <v>4883</v>
          </cell>
          <cell r="C1139" t="str">
            <v>PASTO KYKUYO CORTADO A MÁQUINA (Incluye suministro y riego de tierra fértil de 10CM de espesor e instalación y siembra de pasto y salado y nivelación. SUMINISTRO Y PLANTACION.</v>
          </cell>
          <cell r="D1139" t="str">
            <v>M2</v>
          </cell>
          <cell r="E1139">
            <v>51170</v>
          </cell>
        </row>
        <row r="1140">
          <cell r="B1140">
            <v>4884</v>
          </cell>
          <cell r="C1140" t="str">
            <v>NOGAL H= 1.5m  (Incluye siembra, caja, tierra negra, abono y tutor. Incluye transporte y disposición final de escombros en sitio autorizado (Distancia de transporte 28 Km). SUMINISTRO Y PLANTACION.</v>
          </cell>
          <cell r="D1140" t="str">
            <v>UN</v>
          </cell>
          <cell r="E1140">
            <v>239953</v>
          </cell>
        </row>
        <row r="1141">
          <cell r="B1141">
            <v>4885</v>
          </cell>
          <cell r="C1141" t="str">
            <v>ROBLE H= 1.5m  (Incluye siembra, caja, tierra negra, abono y tutor. Incluye transporte y disposición final de escombros en sitio autorizado (Distancia de transporte 28 Km). SUMINISTRO Y PLANTACION.</v>
          </cell>
          <cell r="D1141" t="str">
            <v>UN</v>
          </cell>
          <cell r="E1141">
            <v>189953</v>
          </cell>
        </row>
        <row r="1142">
          <cell r="B1142">
            <v>4886</v>
          </cell>
          <cell r="C1142" t="str">
            <v>CAUCHO SABANERO H= 1.5m  (Incluye siembra, caja, tierra negra, abono y tutor. Incluye transporte y disposición final de escombros en sitio autorizado (Distancia de transporte 28 Km). SUMINISTRO Y PLANTACION.</v>
          </cell>
          <cell r="D1142" t="str">
            <v>UN</v>
          </cell>
          <cell r="E1142">
            <v>197979</v>
          </cell>
        </row>
        <row r="1143">
          <cell r="B1143">
            <v>4887</v>
          </cell>
          <cell r="C1143" t="str">
            <v>MAGNÓLIO H= 1.5m  (Incluye siembra, caja, tierra negra, abono y tutor. Incluye transporte y disposición final de escombros en sitio autorizado (Distancia de transporte 28 Km). SUMINISTRO Y PLANTACION.</v>
          </cell>
          <cell r="D1143" t="str">
            <v>UN</v>
          </cell>
          <cell r="E1143">
            <v>280046</v>
          </cell>
        </row>
        <row r="1144">
          <cell r="B1144">
            <v>4888</v>
          </cell>
          <cell r="C1144" t="str">
            <v>YARUMO H= 1.5m  (Incluye siembra, caja, tierra negra, abono y tutor. Incluye transporte y disposición final de escombros en sitio autorizado (Distancia de transporte 28 Km). SUMINISTRO Y PLANTACION.</v>
          </cell>
          <cell r="D1144" t="str">
            <v>UN</v>
          </cell>
          <cell r="E1144">
            <v>265577</v>
          </cell>
        </row>
        <row r="1145">
          <cell r="B1145">
            <v>4889</v>
          </cell>
          <cell r="C1145" t="str">
            <v>CONSTRUCCIÓN DE CAJA DE INSPECCIÓN CS 285. INCLUYE TAPA PREFABRICADA Y MARCO.</v>
          </cell>
          <cell r="D1145" t="str">
            <v>UN</v>
          </cell>
          <cell r="E1145">
            <v>975458</v>
          </cell>
        </row>
        <row r="1146">
          <cell r="B1146">
            <v>4890</v>
          </cell>
          <cell r="C1146" t="str">
            <v>NIVELACIÓN DE CAJA CS 274 EN ANDEN H= 0.40m (INCLUYE CONCRETO 2500 PSI HECHO EN OBRA, LADRILLO TOLETE RECOCIDO 24x12x6. MORTERO 1:5 HECHO EN OBRA. INCLUYE REPOSICIÓN DE MARCO Y TAPA PREFABRICADA).</v>
          </cell>
          <cell r="D1146" t="str">
            <v>UN</v>
          </cell>
          <cell r="E1146">
            <v>306649</v>
          </cell>
        </row>
        <row r="1147">
          <cell r="B1147">
            <v>4891</v>
          </cell>
          <cell r="C1147" t="str">
            <v>NIVELACIÓN DE CAJA CS 275 EN ANDEN H= 0.40m (INCLUYE CONCRETO 2500 PSI HECHO EN OBRA, LADRILLO TOLETE RECOCIDO 24x12x6. MORTERO 1:5 HECHO EN OBRA. INCLUYE REPOSICIÓN DE MARCO Y TAPA PREFABRICADA).</v>
          </cell>
          <cell r="D1147" t="str">
            <v>UN</v>
          </cell>
          <cell r="E1147">
            <v>498673</v>
          </cell>
        </row>
        <row r="1148">
          <cell r="B1148">
            <v>4892</v>
          </cell>
          <cell r="C1148" t="str">
            <v>TUBERIA CONCRETO ALTA RESISTENCIA D= 10" (INCLUYE SUMINISTRO, INSTALACIÓN Y MORTERO 2000 PSI PARA RECUBRIMIENTO DE JUNTA).</v>
          </cell>
          <cell r="D1148" t="str">
            <v>M</v>
          </cell>
          <cell r="E1148">
            <v>200990</v>
          </cell>
        </row>
        <row r="1149">
          <cell r="B1149">
            <v>4894</v>
          </cell>
          <cell r="C1149" t="str">
            <v>CUADRILLA (TUBERO + 3 AYUDANTES)</v>
          </cell>
          <cell r="D1149" t="str">
            <v>JR</v>
          </cell>
          <cell r="E1149">
            <v>211733</v>
          </cell>
        </row>
        <row r="1150">
          <cell r="B1150">
            <v>4895</v>
          </cell>
          <cell r="C1150" t="str">
            <v>CUADRILLA (TUBERO + 3 AYUDANTES)</v>
          </cell>
          <cell r="D1150" t="str">
            <v>HR</v>
          </cell>
          <cell r="E1150">
            <v>26467</v>
          </cell>
        </row>
        <row r="1151">
          <cell r="B1151">
            <v>4896</v>
          </cell>
          <cell r="C1151" t="str">
            <v>TUBERIA CONCRETO ALTA RESISTENCIA D= 12" (INCLUYE SUMINISTRO, INSTALACIÓN Y MORTERO 2000 PSI PARA RECUBRIMIENTO DE JUNTA).</v>
          </cell>
          <cell r="D1151" t="str">
            <v>M</v>
          </cell>
          <cell r="E1151">
            <v>250268</v>
          </cell>
        </row>
        <row r="1152">
          <cell r="B1152">
            <v>4897</v>
          </cell>
          <cell r="C1152" t="str">
            <v>TUBERIA CONCRETO ALTA RESISTENCIA D= 14" (INCLUYE SUMINISTRO, INSTALACIÓN Y MORTERO 2000 PSI PARA RECUBRIMIENTO DE JUNTA).</v>
          </cell>
          <cell r="D1152" t="str">
            <v>M</v>
          </cell>
          <cell r="E1152">
            <v>307751</v>
          </cell>
        </row>
        <row r="1153">
          <cell r="B1153">
            <v>4898</v>
          </cell>
          <cell r="C1153" t="str">
            <v>REDUCCION HD 4"x2" J.H. (Suministro e Instalación).</v>
          </cell>
          <cell r="D1153" t="str">
            <v>UN</v>
          </cell>
          <cell r="E1153">
            <v>123030</v>
          </cell>
        </row>
        <row r="1154">
          <cell r="B1154">
            <v>4899</v>
          </cell>
          <cell r="C1154" t="str">
            <v>REDUCCION HD 4"x 3" J.H. (Suministro e Instalación).</v>
          </cell>
          <cell r="D1154" t="str">
            <v>UN</v>
          </cell>
          <cell r="E1154">
            <v>146068</v>
          </cell>
        </row>
        <row r="1155">
          <cell r="B1155">
            <v>4900</v>
          </cell>
          <cell r="C1155" t="str">
            <v>REDUCCION HD 8"x 6" J.H. (Suministro e Instalación).</v>
          </cell>
          <cell r="D1155" t="str">
            <v>UN</v>
          </cell>
          <cell r="E1155">
            <v>444128</v>
          </cell>
        </row>
        <row r="1156">
          <cell r="B1156">
            <v>4901</v>
          </cell>
          <cell r="C1156" t="str">
            <v>KIT DE NIVELACIÓN PARA HIDRANTE TRÁFICO DE DIÁMETRO DE 4", LONGITUD 400mm. SUMINISTRO E INSTALACIÓN  (INCLUYE TRANSPORTE Y TODOS LOS ELEMENTOS NECESARIOS PARA SU INSTALACIÓN).</v>
          </cell>
          <cell r="D1156" t="str">
            <v>UN</v>
          </cell>
          <cell r="E1156">
            <v>970328</v>
          </cell>
        </row>
        <row r="1157">
          <cell r="B1157">
            <v>4902</v>
          </cell>
          <cell r="C1157" t="str">
            <v>RAMPA TIPO A (B5) (BASE EN MORTERO 2000 PSI, DESARROLLO DE 1.40m).</v>
          </cell>
          <cell r="D1157" t="str">
            <v>UN</v>
          </cell>
          <cell r="E1157">
            <v>709154</v>
          </cell>
        </row>
        <row r="1158">
          <cell r="B1158">
            <v>4903</v>
          </cell>
          <cell r="C1158" t="str">
            <v>PIEZA DE REMATE PARA RAMPA PEATONAL, SUMINISTRO Y CONSTRUCCION. LONGITUD 1,20MTS FUNDIDO EN SITIO EN CONCRETO PREMEZCLADO DE 3000 PSI (GRAVA COMUN) INCLUYE FORMALETA EN MADERA</v>
          </cell>
          <cell r="D1158" t="str">
            <v>UN</v>
          </cell>
          <cell r="E1158">
            <v>80657</v>
          </cell>
        </row>
        <row r="1159">
          <cell r="B1159">
            <v>4904</v>
          </cell>
          <cell r="C1159" t="str">
            <v>PISO EN CONCRETO COLOR OCRE 4000 PSI ESTAMPADO TIPO ESPINA DE PESCADO e=0.12m (INCLUYE SUMINISTRO Y COLOCACIÓN DE CONCRETO, MOLDE DESMOLDANTE, COLOR ENDURECEDOR DE CUARZO, SELLANTE. INCLUYE CORTE Y SELLADO DE JUNTAS..</v>
          </cell>
          <cell r="D1159" t="str">
            <v>M2</v>
          </cell>
          <cell r="E1159">
            <v>182837</v>
          </cell>
        </row>
        <row r="1160">
          <cell r="B1160">
            <v>4905</v>
          </cell>
          <cell r="C1160" t="str">
            <v>GEODREN VIAL DE 100mm x 1.0m. SUMINISTRO E INSTALACIÓN. (INCLUYE EXCAVACIÓN MANUAL e= 30cm Y RELLENO EN MATERIAL SELECCIONADO PROVENIENTE DE EXCAVACIÓN..</v>
          </cell>
          <cell r="D1160" t="str">
            <v>M</v>
          </cell>
          <cell r="E1160">
            <v>68676</v>
          </cell>
        </row>
        <row r="1161">
          <cell r="B1161">
            <v>4907</v>
          </cell>
          <cell r="C1161" t="str">
            <v>SUBBASE GRANULAR PEATONAL SBG_PEA. SUMINISTRO, EXTENDIDO MANUAL, NIVELACIÓN, HUMEDECIMIENTO Y COMPACTACIÓN</v>
          </cell>
          <cell r="D1161" t="str">
            <v>M3</v>
          </cell>
          <cell r="E1161">
            <v>97022</v>
          </cell>
        </row>
        <row r="1162">
          <cell r="B1162">
            <v>4908</v>
          </cell>
          <cell r="C1162" t="str">
            <v>MATERIAL SELECCIONADO. SUMINISTRO, EXTENDIDO MANUAL, NIVELACIÓN, HUMEDECIMIENTO Y COMPACTACIÓN.</v>
          </cell>
          <cell r="D1162" t="str">
            <v>M3</v>
          </cell>
          <cell r="E1162">
            <v>55729</v>
          </cell>
        </row>
        <row r="1163">
          <cell r="B1163">
            <v>4909</v>
          </cell>
          <cell r="C1163" t="str">
            <v>RAMPA VEHICULAR FUNDIDA EN EL SITIO EN CONCRETO PREMEZCLADO DE 3000 PSI (GRAVA COMUN) SUM, CONSTR. E INSTALACIÓN. INCLUYE ACABADO EN ADOQUIN DE ARCILLA TIPO TRÁFICO PESADO O SIMILAR, BASE DE 4cm EN MORTERO DE 2000 PSI.</v>
          </cell>
          <cell r="D1163" t="str">
            <v>M2</v>
          </cell>
          <cell r="E1163">
            <v>109192</v>
          </cell>
        </row>
        <row r="1164">
          <cell r="B1164">
            <v>4910</v>
          </cell>
          <cell r="C1164" t="str">
            <v>CONCRETO GRAVA COMUN DE 3000 PSI (210 Kg/Cm2) PARA RAMPAS DE EMPALME E= 0.20m PROMEDIO, SUMINISTRO Y COLOCACIÓN (INCLUYE EQUIPOS, SUMINISTRO E INSTALACIÓN DE FORMALETA, CURADO DE CONCRETO, MANO DE OBRA).</v>
          </cell>
          <cell r="D1164" t="str">
            <v>M2</v>
          </cell>
          <cell r="E1164">
            <v>102202</v>
          </cell>
        </row>
        <row r="1165">
          <cell r="B1165">
            <v>4911</v>
          </cell>
          <cell r="C1165" t="str">
            <v>SARDINEL CHAFLANADO DE H-Max 0.50m Y A- Prom 0.15m PARA SEPARADORES. SUM. Y CONST. FUNDIDO EN SITIO EN CONCRETO PREMEZCLADO DE 3000 PSI (GRAVA COMUN) INCLUYE FORMALETA METÁLICA PARA SARDINEL. NO INCLUYE REFUERZO.</v>
          </cell>
          <cell r="D1165" t="str">
            <v>M</v>
          </cell>
          <cell r="E1165">
            <v>41292</v>
          </cell>
        </row>
        <row r="1166">
          <cell r="B1166">
            <v>4912</v>
          </cell>
          <cell r="C1166" t="str">
            <v>NIVELACIÓN DE CAJA ETB T-14 H= 0.30m INCLUYE PLACA SUPERIOR EN CONCRETO DE 3000 PSI HECHO EN OBRA 1:2:2, ACERO DE REFUERZO, BLOQUE PARA CÁMARA TELEFÓNICA.</v>
          </cell>
          <cell r="D1166" t="str">
            <v>UN</v>
          </cell>
          <cell r="E1166">
            <v>1436165</v>
          </cell>
        </row>
        <row r="1167">
          <cell r="B1167">
            <v>4913</v>
          </cell>
          <cell r="C1167" t="str">
            <v>NIVELACIÓN DE CAJA ETB T-13 H= 0.30m (INCLUYE CONCRETO, ACERO DE REFUERZO, BLOQUE PARA CÁMARA TELEFÓNICA, MORTERO, ARO Y TAPA ETB).</v>
          </cell>
          <cell r="D1167" t="str">
            <v>UN</v>
          </cell>
          <cell r="E1167">
            <v>1191850</v>
          </cell>
        </row>
        <row r="1168">
          <cell r="B1168">
            <v>4914</v>
          </cell>
          <cell r="C1168" t="str">
            <v>NIVELACIÓN DE CAJA DOBLE DE PASO ETB H= 0.30m (INCLUYE REPOSICIÓN DE MARCO Y TAPA Y BORDILLO PERIMETRAL EN CONCRETO DE  3000 PSI HECHO EN OBRA 1:2:2 CON ARENA DE RIO Y TRITURADO DE 3/4", ACERO DE REFUERZO DE 3/8" Y  1/2".</v>
          </cell>
          <cell r="D1168" t="str">
            <v>UN</v>
          </cell>
          <cell r="E1168">
            <v>591781</v>
          </cell>
        </row>
        <row r="1169">
          <cell r="B1169">
            <v>4915</v>
          </cell>
          <cell r="C1169" t="str">
            <v>SARDINEL CURVO FUNDIDO EN SITIO EN CONCRETO PREMEZCLADO DE 3000 PSI (GRAVA COMUN) e= 0.20m H= 0.35m SUMINISTRO Y CONSTRUCCIÓN (INCLUYE FORMALETA METÁLICA, ACERO DE REFUERZO Y ALAMBRE NEGRO.</v>
          </cell>
          <cell r="D1169" t="str">
            <v>M</v>
          </cell>
          <cell r="E1169">
            <v>36242</v>
          </cell>
        </row>
        <row r="1170">
          <cell r="B1170">
            <v>4918</v>
          </cell>
          <cell r="C1170" t="str">
            <v>JUNTA DE DILATACIÓN ELASTOMÉRICA 250 TAMAÑO 64 x 70 mm (INCLUYE SUMINISTRO E INSTALACIÓN Y TODOS LOS COSTOS DE SUMINISTRO E INSTALACIÓN DE MATERIAL PARA ANCLAJE..</v>
          </cell>
          <cell r="D1170" t="str">
            <v>M</v>
          </cell>
          <cell r="E1170">
            <v>121388</v>
          </cell>
        </row>
        <row r="1171">
          <cell r="B1171">
            <v>4919</v>
          </cell>
          <cell r="C1171" t="str">
            <v>ADOQUIN EN CONCRETO 200x100x60mm  A25 (SUMINISTRO E INSTALACIÓN. INCLUYE BASE 4cm MORTERO 2000 PSI Y ARENA DE SELLO).</v>
          </cell>
          <cell r="D1171" t="str">
            <v>M2</v>
          </cell>
          <cell r="E1171">
            <v>65217</v>
          </cell>
        </row>
        <row r="1172">
          <cell r="B1172">
            <v>4920</v>
          </cell>
          <cell r="C1172" t="str">
            <v>CANECA DE ACERO INOXIDABLE TIPO BARCELONA (SUMINISTRO E INSTALACIÓN. INCLUYE CONCRETO PARA ANCLAJE DE 3000 PSI PREMEZCLADO GRAVA COMÚN..</v>
          </cell>
          <cell r="D1172" t="str">
            <v>UN</v>
          </cell>
          <cell r="E1172">
            <v>473142</v>
          </cell>
        </row>
        <row r="1173">
          <cell r="B1173">
            <v>4921</v>
          </cell>
          <cell r="C1173" t="str">
            <v>POSTE DE REFERENCIA TIPO INVIAS. INCLUYE SUMINISTRO E INSTALACIÓN. (INCLUYE CONCRETO 2000 PSI PARA ANCLAJE , CONCRETO 2500 PSI PARA POSTE, CONCRETOS HECHOS EN OBRA, INCLUYE REFUERZO, FORMALETA Y PINTURA REFLECTIVA.</v>
          </cell>
          <cell r="D1173" t="str">
            <v>UN</v>
          </cell>
          <cell r="E1173">
            <v>82146</v>
          </cell>
        </row>
        <row r="1174">
          <cell r="B1174">
            <v>4922</v>
          </cell>
          <cell r="C1174" t="str">
            <v>CUADRILLA (3 AYUDANTES)</v>
          </cell>
          <cell r="D1174" t="str">
            <v>JR</v>
          </cell>
          <cell r="E1174">
            <v>136316</v>
          </cell>
        </row>
        <row r="1175">
          <cell r="B1175">
            <v>4923</v>
          </cell>
          <cell r="C1175" t="str">
            <v>CUADRILLA (3 AYUDANTES)</v>
          </cell>
          <cell r="D1175" t="str">
            <v>HR</v>
          </cell>
          <cell r="E1175">
            <v>17040</v>
          </cell>
        </row>
        <row r="1176">
          <cell r="B1176">
            <v>4925</v>
          </cell>
          <cell r="C1176" t="str">
            <v>FRESADO ESTABILIZADO AL 5% CON EMULSIÓN CRL-1 (INCLUYE TRANSPORTE DE MATERIAL FRESADO AL FRENTE DE OBRA DE 40 Km, SUMINISTRO DE EMULSIÓN, INSTALACIÓN DE MATERIAL ESTABILIZADO).</v>
          </cell>
          <cell r="D1176" t="str">
            <v>M3</v>
          </cell>
          <cell r="E1176">
            <v>169816</v>
          </cell>
        </row>
        <row r="1177">
          <cell r="B1177">
            <v>4926</v>
          </cell>
          <cell r="C1177" t="str">
            <v>FRESADO ESTABILIZADO AL 5% CON EMULSIÓN CRL-1 (INCLUYE TRANSPORTE DE MATERIAL FRESADO AL FRENTE DE OBRA DE 10 Km, SUMINISTRO DE EMULSIÓN, INSTALACIÓN DE MATERIAL ESTABILIZADO).</v>
          </cell>
          <cell r="D1177" t="str">
            <v>M3</v>
          </cell>
          <cell r="E1177">
            <v>141316</v>
          </cell>
        </row>
        <row r="1178">
          <cell r="B1178">
            <v>4928</v>
          </cell>
          <cell r="C1178" t="str">
            <v>CANALIZACIÓN DE TRÁFICO (INSTALACIÓN, MANTENIMIENTO Y DESINSTALACIÓN MENSUAL) CON SEÑALIZADORES TUBULARES COLOMBINA PLÁSTICA Y TRIPLE CINTA DE SEÑALIZACIÓN (INCLUYE ALQUILER DE SEÑALIZADORES TUBULARES). LONGITUD 3 METROS.</v>
          </cell>
          <cell r="D1178" t="str">
            <v>UN/MES</v>
          </cell>
          <cell r="E1178">
            <v>4979</v>
          </cell>
        </row>
        <row r="1179">
          <cell r="B1179">
            <v>4930</v>
          </cell>
          <cell r="C1179" t="str">
            <v>BANDERERO (INCLUYE ALQUILER DE PALETA PARE-SIGA EN POLIETILENO).</v>
          </cell>
          <cell r="D1179" t="str">
            <v>H/ME</v>
          </cell>
          <cell r="E1179">
            <v>1363324</v>
          </cell>
        </row>
        <row r="1180">
          <cell r="B1180">
            <v>4931</v>
          </cell>
          <cell r="C1180" t="str">
            <v>ALQUILER KIT DE EMERGENCIAS (INCLUYE EXTINTOR DE 5 LBS, CAMILLA EN MADERA PRIMEROS AUXILIOS, INMOVILIZADOR CABEZA, CONO DE H= 1.0m Y BOTIQUÍN.</v>
          </cell>
          <cell r="D1180" t="str">
            <v>UN/MES</v>
          </cell>
          <cell r="E1180">
            <v>24046</v>
          </cell>
        </row>
        <row r="1181">
          <cell r="B1181">
            <v>4932</v>
          </cell>
          <cell r="C1181" t="str">
            <v>PUNTO DE ACOPIO DE MATERIALES O ESCOMBROS (INCLUYE INSTALACIÓN, MANTENIMIENTO Y DESINSTALACIÓN) (ACOPIO DE FORMA CUADRADA CADA LADO DE 2.50m, CAPCIDAD APROXIMADA 6M3.</v>
          </cell>
          <cell r="D1181" t="str">
            <v>UN</v>
          </cell>
          <cell r="E1181">
            <v>142058</v>
          </cell>
        </row>
        <row r="1182">
          <cell r="B1182">
            <v>4933</v>
          </cell>
          <cell r="C1182" t="str">
            <v>AVISO PUNTO CREA 1.50m x 0.90m (MATERIAL DE IMPRESIÓN VINILO PARA EXTERIORES. INCLUYE SUMINISTRO E INSTALACIÓN).</v>
          </cell>
          <cell r="D1182" t="str">
            <v>UN</v>
          </cell>
          <cell r="E1182">
            <v>272000</v>
          </cell>
        </row>
        <row r="1183">
          <cell r="B1183">
            <v>4934</v>
          </cell>
          <cell r="C1183" t="str">
            <v>ALQUILER CARPA VESTIER 2.0m x 2.0m CON ESTRUCTURA, TECHO Y LATERALES EN LONA.</v>
          </cell>
          <cell r="D1183" t="str">
            <v>UN/MES</v>
          </cell>
          <cell r="E1183">
            <v>92795</v>
          </cell>
        </row>
        <row r="1184">
          <cell r="B1184">
            <v>4935</v>
          </cell>
          <cell r="C1184" t="str">
            <v>PROTECCIÓN A ÁRBOLES (INCLUYE SUMINISTRO Y COLOCACIÓN DE DURMIENTES DE 2.90m x 0.04m x 0.04m Y POLISOMBRA AL 47% DE TAL MANERA QUE GARANTICE la protección al individuo vegetal.</v>
          </cell>
          <cell r="D1184" t="str">
            <v>UN</v>
          </cell>
          <cell r="E1184">
            <v>61098</v>
          </cell>
        </row>
        <row r="1185">
          <cell r="B1185">
            <v>4936</v>
          </cell>
          <cell r="C1185" t="str">
            <v>ACCESO TEMPORAL A VIVIENDA EN MADERA. SUMINISTRO Y CONSTRUCCIÓN.</v>
          </cell>
          <cell r="D1185" t="str">
            <v>UN</v>
          </cell>
          <cell r="E1185">
            <v>23175</v>
          </cell>
        </row>
        <row r="1186">
          <cell r="B1186">
            <v>4937</v>
          </cell>
          <cell r="C1186" t="str">
            <v>BARRERA DE CONTENCIÓN MATERIAL DE ARRASTRE (INCLUYE SUMINISTRO Y COLOCACIÓN DE MALLA DE GALLINERO 1 1/4" Y POLISOMBRA 47%).</v>
          </cell>
          <cell r="D1186" t="str">
            <v>M2</v>
          </cell>
          <cell r="E1186">
            <v>5520</v>
          </cell>
        </row>
        <row r="1187">
          <cell r="B1187">
            <v>4943</v>
          </cell>
          <cell r="C1187" t="str">
            <v>ESTABILIZACIÓN DE BASE GRANULAR CON ADITIVO POTENCIALIZADOR FLEXIBILIZANTE + CEMENTO 5%</v>
          </cell>
          <cell r="D1187" t="str">
            <v>M3</v>
          </cell>
          <cell r="E1187">
            <v>232097</v>
          </cell>
        </row>
        <row r="1188">
          <cell r="B1188">
            <v>4945</v>
          </cell>
          <cell r="C1188" t="str">
            <v>ALQUILER DE CERRAMIENTO TIPO 1: CONSTA DE SEÑALIZADORES TUBULARES PLÁSTICOS, TRIPLE CINTA PELIGRO CAL. 4, POLISOMBRA 65% PARA CERRAMIENTO. (INCLUYE INSTALACIÓN, MANTENIMIENTO Y DESINSTALACIÓN).</v>
          </cell>
          <cell r="D1188" t="str">
            <v>M/ME</v>
          </cell>
          <cell r="E1188">
            <v>5012</v>
          </cell>
        </row>
        <row r="1189">
          <cell r="B1189">
            <v>4946</v>
          </cell>
          <cell r="C1189" t="str">
            <v>ALQUILER DE CERRAMIENTO TIPO 2: CONSTA DE POSTES ROLLIZOS DE 1.90mt DE ALTURA LIBRE CON BASE EN CONCRETO 1500 PSI DE 30cm x 30cm, DOBLE CINTA PELIGRO CAL. 4, TELA PARA CERRAMIENTO.(INCL INSTALACION, MANTENIMIENTO Y DESINSTALACIÓN).</v>
          </cell>
          <cell r="D1189" t="str">
            <v>M/ME</v>
          </cell>
          <cell r="E1189">
            <v>15905</v>
          </cell>
        </row>
        <row r="1190">
          <cell r="B1190">
            <v>4947</v>
          </cell>
          <cell r="C1190" t="str">
            <v>LAVADO DE ESTRUCTURA EN CONCRETO Y/O METÁLICAS. INCLUYE ALQUILER DE HIDROLAVADORA 1300W MOTOR A GASOLINA PRESIÓN 3200 PSI. INCLUYE IMPLEMENTOS DE ASEO (DETERGENTE INDUSTRIAL), AGUA, COMBUSTIBLE Y MANO DE OBRA.</v>
          </cell>
          <cell r="D1190" t="str">
            <v>M2</v>
          </cell>
          <cell r="E1190">
            <v>4348</v>
          </cell>
        </row>
        <row r="1191">
          <cell r="B1191">
            <v>4949</v>
          </cell>
          <cell r="C1191" t="str">
            <v>CONTENEDOR DE RAICES (1.40m x 1.40m x 1.40m)INCLUYE MUROS EN CONCRETO GRAVA COMÚN 3000 PSI (210 Kg/Cm2), SUMINISTRO CONSTRUCCIÓN Y FILTRO EN GRAVILLA 1/2", FORMALETA Y REFUERZO. NO INCLUYE TIERRA NEGRA.</v>
          </cell>
          <cell r="D1191" t="str">
            <v>UN</v>
          </cell>
          <cell r="E1191">
            <v>621097</v>
          </cell>
        </row>
        <row r="1192">
          <cell r="B1192">
            <v>4950</v>
          </cell>
          <cell r="C1192" t="str">
            <v>SEMÁFORO VEHICULAR DE POLICARBONATO (3x200), LENTES DE POLICARBONATO DE 8", TRES LUCES, SISTEMA DE ILUMINACIÓN A LEDS. SUMINISTRO E INSTALACIÓN.</v>
          </cell>
          <cell r="D1192" t="str">
            <v>UN</v>
          </cell>
          <cell r="E1192">
            <v>3410540</v>
          </cell>
        </row>
        <row r="1193">
          <cell r="B1193">
            <v>4951</v>
          </cell>
          <cell r="C1193" t="str">
            <v xml:space="preserve">SEMÁFORO PEATONAL DE POLICARBONATO (2x200), LENTES DE POLICARBONATO DE 8", DOS LUCES, SISTEMA DE ILUMINACIÓN A LEDS. SUMINISTRO E INSTALACIÓN. </v>
          </cell>
          <cell r="D1193" t="str">
            <v>UN</v>
          </cell>
          <cell r="E1193">
            <v>2483530</v>
          </cell>
        </row>
        <row r="1194">
          <cell r="B1194">
            <v>4952</v>
          </cell>
          <cell r="C1194" t="str">
            <v>POSTE TIPO MASTIL T1 (3.60m) EN TUBO SCH 40 GALVANIZADO Y PINTADO. SUMINISTRO E INSTALACIÓN.</v>
          </cell>
          <cell r="D1194" t="str">
            <v>UN</v>
          </cell>
          <cell r="E1194">
            <v>1491334</v>
          </cell>
        </row>
        <row r="1195">
          <cell r="B1195">
            <v>4953</v>
          </cell>
          <cell r="C1195" t="str">
            <v>POSTE TIPO MENSULA T2 (5.50m) EN TUBO SCH 40 GALVANIZADO Y PINTADO. SUMINISTRO E INSTALACIÓN.</v>
          </cell>
          <cell r="D1195" t="str">
            <v>UN</v>
          </cell>
          <cell r="E1195">
            <v>2376298</v>
          </cell>
        </row>
        <row r="1196">
          <cell r="B1196">
            <v>4954</v>
          </cell>
          <cell r="C1196" t="str">
            <v>CABLE ELÉCTRICO 4x16 AWG PARA CONTROL DE SEMÁFOROS VEHICULARES TIPO ST CU 600V 75°C. SUMINISTRO E INSTALACIÓN.</v>
          </cell>
          <cell r="D1196" t="str">
            <v>M</v>
          </cell>
          <cell r="E1196">
            <v>12138</v>
          </cell>
        </row>
        <row r="1197">
          <cell r="B1197">
            <v>4955</v>
          </cell>
          <cell r="C1197" t="str">
            <v>CABLE ELÉCTRICO 3x16 AWG PARA CONTROL DE SEMÁFOROS PEATONALES TIPO ST CU 600V 75°C. SUMINISTRO E INSTALACIÓN.</v>
          </cell>
          <cell r="D1197" t="str">
            <v>M</v>
          </cell>
          <cell r="E1197">
            <v>11543</v>
          </cell>
        </row>
        <row r="1198">
          <cell r="B1198">
            <v>4956</v>
          </cell>
          <cell r="C1198" t="str">
            <v>CABLE ELÉCTRICO 2x8 AWG PARA ACOMETIDA TIPO ST CU 600V 75°C. SUMINISTRO E INSTALACIÓN.</v>
          </cell>
          <cell r="D1198" t="str">
            <v>M</v>
          </cell>
          <cell r="E1198">
            <v>7365</v>
          </cell>
        </row>
        <row r="1199">
          <cell r="B1199">
            <v>4958</v>
          </cell>
          <cell r="C1199" t="str">
            <v>ADOQUIN DE ARCILLA COLOR ROJO O SIMILAR (26x6x6cm) (Incluye arena de peña para sello, Base 5cm en mortero de 2000 PSI) Transporte petreos 28 Km. SUMINISTRO E INSTALACIÓN.</v>
          </cell>
          <cell r="D1199" t="str">
            <v>M2</v>
          </cell>
          <cell r="E1199">
            <v>47167</v>
          </cell>
        </row>
        <row r="1200">
          <cell r="B1200">
            <v>4959</v>
          </cell>
          <cell r="C1200" t="str">
            <v>ACERO LISO PARA TRANSFERENCIA DE LOSAS D= 1 1/4" (NO INCLUYE CANASTILLA). SUMINISTRO E INSTALACIÓN.</v>
          </cell>
          <cell r="D1200" t="str">
            <v>KG</v>
          </cell>
          <cell r="E1200">
            <v>3005</v>
          </cell>
        </row>
        <row r="1201">
          <cell r="B1201">
            <v>4960</v>
          </cell>
          <cell r="C1201" t="str">
            <v>FLECHA DIRECCIONAL "DE FRENTE A LA IZQUIERDA" (e=2.3mm,Termoplástica. Inc. Sumin. y Aplic. con Equipo. Inc. Microesferas).</v>
          </cell>
          <cell r="D1201" t="str">
            <v>UN</v>
          </cell>
          <cell r="E1201">
            <v>238666</v>
          </cell>
        </row>
        <row r="1202">
          <cell r="B1202">
            <v>4961</v>
          </cell>
          <cell r="C1202" t="str">
            <v>DEMARCACIÓN LINEA DE CRUCE DE BICICLETA A= 0.4mt, E= 2.3mm TERMOPLÁSTICA. INCLUYE SUMINISTRO Y APLICACIÓN CON EQUIPO. INCLUYE MICROESFERAS..</v>
          </cell>
          <cell r="D1202" t="str">
            <v>M</v>
          </cell>
          <cell r="E1202">
            <v>43792</v>
          </cell>
        </row>
        <row r="1203">
          <cell r="B1203">
            <v>4962</v>
          </cell>
          <cell r="C1203" t="str">
            <v>DEMARCACIÓN LINEAL CARRIL CICLORRUTA A= 0.1mt,  L= 1.20mt  E= 2.3mm EN PINTURA TERMOPLÁSTICA. INCLUYE SUMINISTRO Y APLICACIÓN CON EQUIPO. INCLUYE MICROESFERAS..</v>
          </cell>
          <cell r="D1203" t="str">
            <v>M</v>
          </cell>
          <cell r="E1203">
            <v>10948</v>
          </cell>
        </row>
        <row r="1204">
          <cell r="B1204">
            <v>4963</v>
          </cell>
          <cell r="C1204" t="str">
            <v>DEMARCACIÓN LINEAL BORDE CICLORRUTA A= 0.1mt,   E= 2.3mm EN PINTURA TERMOPLÁSTICA. INCLUYE SUMINISTRO Y APLICACIÓN CON EQUIPO. INCLUYE MICROESFERAS..</v>
          </cell>
          <cell r="D1204" t="str">
            <v>M</v>
          </cell>
          <cell r="E1204">
            <v>10948</v>
          </cell>
        </row>
        <row r="1205">
          <cell r="B1205">
            <v>4964</v>
          </cell>
          <cell r="C1205" t="str">
            <v>DEMARCACIÓN LINEAL PARADA CICLORRUTA A= 0.1mt,   E= 2.3mm EN PINTURA TERMOPLÁSTICA. INCLUYE SUMINISTRO Y APLICACIÓN CON EQUIPO. INCLUYE MICROESFERAS..</v>
          </cell>
          <cell r="D1205" t="str">
            <v>M</v>
          </cell>
          <cell r="E1205">
            <v>10948</v>
          </cell>
        </row>
        <row r="1206">
          <cell r="B1206">
            <v>4965</v>
          </cell>
          <cell r="C1206" t="str">
            <v>NEOPRENO REFORZADO 0.40 x 0.90 x 1" DOBLE REFUERZO SUMINISTRO E INSTALACIÓN (INCLUYE LIMPIEZA DE LA SUPERFICIE CON CHORRO DE AIRE A PRESIÓN, HERRAMIENTA MENOR Y COMPRESOR).</v>
          </cell>
          <cell r="D1206" t="str">
            <v>UN</v>
          </cell>
          <cell r="E1206">
            <v>400108</v>
          </cell>
        </row>
        <row r="1207">
          <cell r="B1207">
            <v>4966</v>
          </cell>
          <cell r="C1207" t="str">
            <v>DESMONTE SEÑAL VERTICAL.</v>
          </cell>
          <cell r="D1207" t="str">
            <v>UN</v>
          </cell>
          <cell r="E1207">
            <v>2918</v>
          </cell>
        </row>
        <row r="1208">
          <cell r="B1208">
            <v>4967</v>
          </cell>
          <cell r="C1208" t="str">
            <v>EMPATE EN LÍNEA DE TUBERÍA DE ACERO (HA) A TUBERÍA PVC 8". SUMINISTRO E INSTALACIÓN. (INCLUYE ACOPLE UNIVERSAL D= 8" R1, UNIÓN DE REPARACIÓN D=8" Y 1mt DE TUBERÍA PVC D= 8" RDE 21).</v>
          </cell>
          <cell r="D1208" t="str">
            <v>UN</v>
          </cell>
          <cell r="E1208">
            <v>678791</v>
          </cell>
        </row>
        <row r="1209">
          <cell r="B1209">
            <v>4968</v>
          </cell>
          <cell r="C1209" t="str">
            <v>EMPATE EN LÍNEA DE TUBERÍA DE ACERO (HA) A TUBERÍA PVC 4". SUMINISTRO E INSTALACIÓN. (INCLUYE ACOPLE UNIVERSAL D= 4", UNIÓN DE REPARACIÓN D=4" Y 1mt DE TUBERÍA PVC D= 4" RDE 21).</v>
          </cell>
          <cell r="D1209" t="str">
            <v>UN</v>
          </cell>
          <cell r="E1209">
            <v>209419</v>
          </cell>
        </row>
        <row r="1210">
          <cell r="B1210">
            <v>4969</v>
          </cell>
          <cell r="C1210" t="str">
            <v>EMPATE EN LÍNEA DE TUBERÍA DE ACERO (HA) A TUBERÍA PVC 3". SUMINISTRO E INSTALACIÓN. (INCLUYE ACOPLE UNIVERSAL D= 3", UNIÓN DE REPARACIÓN D=3" Y 1mt DE TUBERÍA PVC D= 3" RDE 21).</v>
          </cell>
          <cell r="D1210" t="str">
            <v>UN</v>
          </cell>
          <cell r="E1210">
            <v>168619</v>
          </cell>
        </row>
        <row r="1211">
          <cell r="B1211">
            <v>4970</v>
          </cell>
          <cell r="C1211" t="str">
            <v>EMPATE EN LÍNEA DE TUBERÍA DE ACERO (HA) A ASBESTO CEMENTO (AC) 8".SUMINISTRO E INSTALACIÓN. (INCLUYE DOS ACOPLES UNIVERSAL D= 8" R1  Y 1mt DE TUBERÍA PVC D= 8" RDE 21).</v>
          </cell>
          <cell r="D1211" t="str">
            <v>UN</v>
          </cell>
          <cell r="E1211">
            <v>419555</v>
          </cell>
        </row>
        <row r="1212">
          <cell r="B1212">
            <v>4971</v>
          </cell>
          <cell r="C1212" t="str">
            <v>EMPATES EN LÍNEA DE TUBERÍA EN PVC A HD 12". SUMINISTRO E INSTALACIÓN. (INCLUYE ADAPTADOR BRIDA 12" R2, UNIÓN DE REPARACIÓN 12" Y 1mt DE TUBERÍA PVC D= 12" RDE 21).</v>
          </cell>
          <cell r="D1212" t="str">
            <v>UN</v>
          </cell>
          <cell r="E1212">
            <v>1820523</v>
          </cell>
        </row>
        <row r="1213">
          <cell r="B1213">
            <v>4972</v>
          </cell>
          <cell r="C1213" t="str">
            <v>EMPATES EN LÍNEA DE TUBERÍA EN PVC A AC 6". SUM E INST. (INCL ACOPLE UNIVERSAL R1 - R2 D= 6", UNIÓN PVC U.M. D= 6", UNIÓN GIBAULT HD PARA AC CL. 25 D= 6", UNION DE REPARACIÓN D= 6 Y 1 METRO DE TUBERÍA PVC D= 6" RDE 21).</v>
          </cell>
          <cell r="D1213" t="str">
            <v>UN</v>
          </cell>
          <cell r="E1213">
            <v>768070</v>
          </cell>
        </row>
        <row r="1214">
          <cell r="B1214">
            <v>4973</v>
          </cell>
          <cell r="C1214" t="str">
            <v>EMPATES EN LÍNEA DE TUBERÍA EN PVC A AC 8". SUM E INST. (INCL ACOPLE UNIVERSAL R1- R2 D= 8", UNIÓN PVC U.M. D= 8", UNIÓN GIBAULT HD PARA AC CL. 25 D= 8", UNION DE REPARACIÓN D= 8 Y 1 METRO DE TUBERÍA PVC D= 8" RDE 21).</v>
          </cell>
          <cell r="D1214" t="str">
            <v>UN</v>
          </cell>
          <cell r="E1214">
            <v>1201504</v>
          </cell>
        </row>
        <row r="1215">
          <cell r="B1215">
            <v>4974</v>
          </cell>
          <cell r="C1215" t="str">
            <v>EMPATES EN LÍNEA DE TUBERÍA EN PVC A AC 12". SUM E INST. (INCL ACOPLE UNIVERSAL R1- R2 D= 12", UNIÓN PVC U.M. D= 12", UNIÓN GIBAULT HD PARA AC CL. 25 D= 12", UNION DE REPARACIÓN D= 12 Y 1 METRO DE TUB PVC D= 12" RDE 21).</v>
          </cell>
          <cell r="D1215" t="str">
            <v>UN</v>
          </cell>
          <cell r="E1215">
            <v>3012028</v>
          </cell>
        </row>
        <row r="1216">
          <cell r="B1216">
            <v>4975</v>
          </cell>
          <cell r="C1216" t="str">
            <v>EMPATE EN LÍNEA DE TUBERÍA EN PVC  A HF 4". SUM E INST. (INCL UNIÓN DE REPARACIÓN PVC U.M.  D=4", ADAPTADOR MACHO PVC US D=4", UNIÓN GIBAULT HD CL. 25 D= 4"  Y 1mt DE TUBERÍA PVC D= 4" RDE 21).</v>
          </cell>
          <cell r="D1216" t="str">
            <v>UN</v>
          </cell>
          <cell r="E1216">
            <v>243839</v>
          </cell>
        </row>
        <row r="1217">
          <cell r="B1217">
            <v>4976</v>
          </cell>
          <cell r="C1217" t="str">
            <v>EMPATES EN LÍNEA DE TUBERÍA EN PVC A HF 6". SUM E INST. (INCL UNIÓN GIBAULT D=6", UNIÓN PVC U.M. D= 6", UNIÓN, UNION DE REPARACIÓN D= 6 Y 1 METRO DE TUBERÍA PVC D= 6" RDE 21).</v>
          </cell>
          <cell r="D1217" t="str">
            <v>UN</v>
          </cell>
          <cell r="E1217">
            <v>541056</v>
          </cell>
        </row>
        <row r="1218">
          <cell r="B1218">
            <v>4977</v>
          </cell>
          <cell r="C1218" t="str">
            <v>EMPATE EN LÍNEA DE TUBERÍA EN PVC  A HG 4". SUM E INST. (INCL UNIÓN DE REPARACIÓN PVC U.M.  D=4", ADAPTADOR MACHO PVC US D=4", UNIÓN GIBAULT HD CL. 25 D= 4"  Y 1mt DE TUBERÍA PVC D= 4" RDE 21).</v>
          </cell>
          <cell r="D1218" t="str">
            <v>UN</v>
          </cell>
          <cell r="E1218">
            <v>243839</v>
          </cell>
        </row>
        <row r="1219">
          <cell r="B1219">
            <v>4978</v>
          </cell>
          <cell r="C1219" t="str">
            <v>CONSTRUCCIÓN DE CAJA PARA VALVULA D= 3", D= 4", D= 6" Y D= 8" (NORMA EAAB NS-027) DE 0.4m x0.5m H=2.0m (Incluye Marco y Tapa).</v>
          </cell>
          <cell r="D1219" t="str">
            <v>UN</v>
          </cell>
          <cell r="E1219">
            <v>424196</v>
          </cell>
        </row>
        <row r="1220">
          <cell r="B1220">
            <v>4979</v>
          </cell>
          <cell r="C1220" t="str">
            <v>CONSTRUCCIÓN DE CAJA PARA VALVULA D= 10", D= 12" DE 0.5m x0.6m H=2.0m (Incluye tapa válvula de seguridad).</v>
          </cell>
          <cell r="D1220" t="str">
            <v>UN</v>
          </cell>
          <cell r="E1220">
            <v>451201</v>
          </cell>
        </row>
        <row r="1221">
          <cell r="B1221">
            <v>4980</v>
          </cell>
          <cell r="C1221" t="str">
            <v>2 DUCTOS D=3"  Y 9 DUCTOS D=6" PVC A TDP. SUMINISTRO E INSTALACIÓN. (No Incluye Rellenos).</v>
          </cell>
          <cell r="D1221" t="str">
            <v>M</v>
          </cell>
          <cell r="E1221">
            <v>324783</v>
          </cell>
        </row>
        <row r="1222">
          <cell r="B1222">
            <v>4981</v>
          </cell>
          <cell r="C1222" t="str">
            <v>ENTIBADO EC-2 CONTÍNUO MADERA CON PERFILES METÁLICOS Y PARALES TELESCÓPICOS. SUMINISTRO E INSTALACIÓN.</v>
          </cell>
          <cell r="D1222" t="str">
            <v>M2</v>
          </cell>
          <cell r="E1222">
            <v>48716</v>
          </cell>
        </row>
        <row r="1223">
          <cell r="B1223">
            <v>4982</v>
          </cell>
          <cell r="C1223" t="str">
            <v>ACOMETIDA DOMICILIARIA DE 1/2". SUMINISTRO E INSTALACIÓN. (INCLUYE TUBERIA PF D=1/2", REGISTROS Y ACCESORIOS, LOG. PROM. = 6.50m).</v>
          </cell>
          <cell r="D1223" t="str">
            <v>UN</v>
          </cell>
          <cell r="E1223">
            <v>98871</v>
          </cell>
        </row>
        <row r="1224">
          <cell r="B1224">
            <v>4983</v>
          </cell>
          <cell r="C1224" t="str">
            <v>PROTECTOR DE RAMPA EN TUBERÍA A.N. 2". SUMINISTRO E INSTALACIÓN. INCLUYE ANCLAJES EN CONCRETO PREMEZCLADO DE 3000 PSI (GRAVA COMUN).</v>
          </cell>
          <cell r="D1224" t="str">
            <v>UN</v>
          </cell>
          <cell r="E1224">
            <v>34859</v>
          </cell>
        </row>
        <row r="1225">
          <cell r="B1225">
            <v>4984</v>
          </cell>
          <cell r="C1225" t="str">
            <v>RELOCALIZACIÓN DE MEDIDOR DE ACUEDUCTO D= 1/2" (INCLUYE 1.0m TUBERÍA GALVANIZADA D= 1/2", SOLDADURA, CINTA DE TEFLON,  Y REPOSICIÓN DE CAJILLA EN POLIPROPILENO DE ALTA RESISTENCIA CON TAPA, NO INCLUYE MEDIDOR.).</v>
          </cell>
          <cell r="D1225" t="str">
            <v>UN</v>
          </cell>
          <cell r="E1225">
            <v>217379</v>
          </cell>
        </row>
        <row r="1226">
          <cell r="B1226">
            <v>4985</v>
          </cell>
          <cell r="C1226" t="str">
            <v>CONCRETO GRAVA COMÚN 4000 PSI (280 Kg/Cm2) PARA PLACAS DE ACCESO. SUMINISTRO Y COLOCACIÓN. (INCLUYE EQUIPOS, SUMINISTRO E INSTALACIÓN DE FORMALETA, CURADO DEL CONCRETO, MANO DE OBRA).</v>
          </cell>
          <cell r="D1226" t="str">
            <v>M3</v>
          </cell>
          <cell r="E1226">
            <v>495691</v>
          </cell>
        </row>
        <row r="1227">
          <cell r="B1227">
            <v>4986</v>
          </cell>
          <cell r="C1227" t="str">
            <v>CONCRETO 4000 PSI (280 Kg/Cm2) PARA CÁMARAS ESPECIALES DE INTERCONEXIÓN DE ALCANTARILLADO (PREMEZCLADO, INCLUYE SUMINISTRO, FORMALETA Y COLOACIÓN. NO INCLUYE REFUERZO NI CURADO).</v>
          </cell>
          <cell r="D1227" t="str">
            <v>M3</v>
          </cell>
          <cell r="E1227">
            <v>610818</v>
          </cell>
        </row>
        <row r="1228">
          <cell r="B1228">
            <v>4987</v>
          </cell>
          <cell r="C1228" t="str">
            <v>PEDESTAL PARA EQUIPO DE CONTROL EN CONCRETO DE 3000 PSI (1.0m x 1.0m x 1.0m).</v>
          </cell>
          <cell r="D1228" t="str">
            <v>UN</v>
          </cell>
          <cell r="E1228">
            <v>1014216</v>
          </cell>
        </row>
        <row r="1229">
          <cell r="B1229">
            <v>4988</v>
          </cell>
          <cell r="C1229" t="str">
            <v>MOVILIZACIÓN DE EQUIPO DESDE LA OBRA HASTA SITIO AUTORIZADO EN CUMPLIMIENTO DEL PMT DENTRO DEL AREA DE INFLUENCIA DE LA OBRA (INCLUYE CARGUE, DESCARGUE Y CARROS ESCOLTA). EL VIAJE ES IDA Y VUELTA.</v>
          </cell>
          <cell r="D1229" t="str">
            <v>VIAJE</v>
          </cell>
          <cell r="E1229">
            <v>794920</v>
          </cell>
        </row>
        <row r="1230">
          <cell r="B1230">
            <v>4989</v>
          </cell>
          <cell r="C1230" t="str">
            <v>SARDINEL ESPECIAL A 110 PARA RAMPA TIPO B (SUMINISTRO E INSTALACION. INCLUYE 3CM MORTERO 2000 PSI)</v>
          </cell>
          <cell r="D1230" t="str">
            <v>M</v>
          </cell>
          <cell r="E1230">
            <v>163381</v>
          </cell>
        </row>
        <row r="1231">
          <cell r="B1231">
            <v>4990</v>
          </cell>
          <cell r="C1231" t="str">
            <v>RAMPA TIPO B (B12) LONGITUD=3.00m, DESARROLLO=0.40mt (Incluye material de base mortero 2000 PSI)</v>
          </cell>
          <cell r="D1231" t="str">
            <v>UN</v>
          </cell>
          <cell r="E1231">
            <v>490143</v>
          </cell>
        </row>
        <row r="1232">
          <cell r="B1232">
            <v>4991</v>
          </cell>
          <cell r="C1232" t="str">
            <v>SARDINEL ESPECIAL A 110 PARA RAMPA TIPO B (SUMINISTRO E INSTALACION. NO INCLUYE MATERIAL DE BASE)</v>
          </cell>
          <cell r="D1232" t="str">
            <v>M</v>
          </cell>
          <cell r="E1232">
            <v>158845</v>
          </cell>
        </row>
        <row r="1233">
          <cell r="B1233">
            <v>4992</v>
          </cell>
          <cell r="C1233" t="str">
            <v>RAMPA TIPO B (B12) LONGITUD=3.00m, DESARROLLO=0.40mt (Incluye material de base mortero 1:5 hecho en obra)</v>
          </cell>
          <cell r="D1233" t="str">
            <v>UN</v>
          </cell>
          <cell r="E1233">
            <v>485490</v>
          </cell>
        </row>
        <row r="1234">
          <cell r="B1234">
            <v>4993</v>
          </cell>
          <cell r="C1234" t="str">
            <v>RAMPA TIPO B (B12) LONGITUD=3.00m, DESARROLLO=0.40mt (No incluye material de base)</v>
          </cell>
          <cell r="D1234" t="str">
            <v>UN</v>
          </cell>
          <cell r="E1234">
            <v>476535</v>
          </cell>
        </row>
        <row r="1235">
          <cell r="B1235">
            <v>4994</v>
          </cell>
          <cell r="C1235" t="str">
            <v>SUBBASE GRANULAR CLASE A (SBG_A) ESTABILIZADA CON CEMENTO AL 4% (Suministro, Extendido, Nivelación, Humedecimiento y Compactación con vibrocompactador)</v>
          </cell>
          <cell r="D1235" t="str">
            <v>M3</v>
          </cell>
          <cell r="E1235">
            <v>109402</v>
          </cell>
        </row>
        <row r="1236">
          <cell r="B1236">
            <v>4995</v>
          </cell>
          <cell r="C1236" t="str">
            <v>SUBBASE GRANULAR CLASE A (SBG_A) ESTABILIZADA CON CEMENTO AL 4% (Suministro, Extendido, Nivelación, Humedecimiento y Compactación con vibrocompactador) Distancia de transporte 28 Km</v>
          </cell>
          <cell r="D1236" t="str">
            <v>M3</v>
          </cell>
          <cell r="E1236">
            <v>157881</v>
          </cell>
        </row>
        <row r="1237">
          <cell r="B1237">
            <v>4996</v>
          </cell>
          <cell r="C1237" t="str">
            <v>CODO HD 22,5° EXTREMO LISO PARA PVC D=8" (Suministro e Instalación)</v>
          </cell>
          <cell r="D1237" t="str">
            <v>UN</v>
          </cell>
          <cell r="E1237">
            <v>471631</v>
          </cell>
        </row>
        <row r="1238">
          <cell r="B1238">
            <v>4997</v>
          </cell>
          <cell r="C1238" t="str">
            <v>ELIMINACIÓN DE SETO (H&gt; 2m) INCLUYE DESENRAIZAMIENTO, TRANSPORTE Y DISPOSICIÓN FINAL DE ESCOMBROS EN SITIO AUTORIZADO (Distancia de transporte 28 Km)</v>
          </cell>
          <cell r="D1238" t="str">
            <v>M</v>
          </cell>
          <cell r="E1238">
            <v>17083</v>
          </cell>
        </row>
        <row r="1239">
          <cell r="B1239">
            <v>5000</v>
          </cell>
          <cell r="C1239" t="str">
            <v>1 DUCTO D= 3" PVC-TDP CON 3 CABLES. SUMINISTRO E INSTALACIÓN. INCL. EXCAV. EXTENDIDO, HUMEDECIMIENTO Y COMPACTACIÓN DE RELLENOS PARA REDES EN ARENA DE PEÑA Y EN MATERIAL SELECC. PROVENIENTE DE LA EXCAVACIÓN.</v>
          </cell>
          <cell r="D1239" t="str">
            <v>M</v>
          </cell>
          <cell r="E1239">
            <v>72513</v>
          </cell>
        </row>
        <row r="1240">
          <cell r="B1240">
            <v>5001</v>
          </cell>
          <cell r="C1240" t="str">
            <v>CONSTRUCCIÓN DE BASE MOTOR. INCLUYE SUMINISTRO Y COLOCACIÓN DE CONCRETO 3000 PSI HECHO EN OBRA 1:2:2, ARENA DE RIO Y TRITURADO 3/4". INCLUYE ACERO DE REFUERZO Y SISTEMA DE ANCLAJE PARA POSTE METÁLICO.</v>
          </cell>
          <cell r="D1240" t="str">
            <v>UN</v>
          </cell>
          <cell r="E1240">
            <v>646538</v>
          </cell>
        </row>
        <row r="1241">
          <cell r="B1241">
            <v>5002</v>
          </cell>
          <cell r="C1241" t="str">
            <v xml:space="preserve">1 DUCTO D= 3" PVC-TDP CON 2 CABLES. SUMINISTRO E INSTALACIÓN. INCL. EXCAV. EXTENDIDO, HUMEDECIMIENTO Y COMPACTACIÓN DE RELLENOS PARA REDES EN ARENA DE PEÑA Y EN MATERIAL SELECC. PROVENIENTE DE LA EXCAVACIÓN. </v>
          </cell>
          <cell r="D1241" t="str">
            <v>M</v>
          </cell>
          <cell r="E1241">
            <v>58538</v>
          </cell>
        </row>
        <row r="1242">
          <cell r="B1242">
            <v>5003</v>
          </cell>
          <cell r="C1242" t="str">
            <v>CONSTRUCCIÓN DE BASE PARA INSTALACIÓN DE SEMÁFORO FERROVIARIO. INCLUYE SUMINISTRO Y COLOCACIÓN DE CONCRETO 3000 PSI HECHO EN OBRA 1:2:2, ARENA DE RIO Y TRITURADO DE 3/4". INCLUYE ACERO DE REFUERZO.</v>
          </cell>
          <cell r="D1242" t="str">
            <v>UN</v>
          </cell>
          <cell r="E1242">
            <v>32609</v>
          </cell>
        </row>
        <row r="1243">
          <cell r="B1243">
            <v>5004</v>
          </cell>
          <cell r="C1243" t="str">
            <v>CUADRILLA (OFICIAL + 10 AYUDANTES)</v>
          </cell>
          <cell r="D1243" t="str">
            <v>HR</v>
          </cell>
          <cell r="E1243">
            <v>64977</v>
          </cell>
        </row>
        <row r="1244">
          <cell r="B1244">
            <v>5005</v>
          </cell>
          <cell r="C1244" t="str">
            <v>CUADRILLA (OFICIAL + 10 AYUDANTES)</v>
          </cell>
          <cell r="D1244" t="str">
            <v>JR</v>
          </cell>
          <cell r="E1244">
            <v>519859</v>
          </cell>
        </row>
        <row r="1245">
          <cell r="B1245">
            <v>5010</v>
          </cell>
          <cell r="C1245" t="str">
            <v>DESMONTE, INSTALACIÓN Y NIVELACIÓN DE RIELES (INCLUYE EQUIPO DE OXICORTE Y RETIRO CON EQUIPO)</v>
          </cell>
          <cell r="D1245" t="str">
            <v>UN</v>
          </cell>
          <cell r="E1245">
            <v>232535</v>
          </cell>
        </row>
        <row r="1246">
          <cell r="B1246">
            <v>5015</v>
          </cell>
          <cell r="C1246" t="str">
            <v>CAJA DE INSPECCION 0.80X0.8M. SUMINISTRO Y CONSTRUCCION. (H=0.6M. Incluye marco y tapa, no incluye base y cañuela).</v>
          </cell>
          <cell r="D1246" t="str">
            <v>UN</v>
          </cell>
          <cell r="E1246">
            <v>342736</v>
          </cell>
        </row>
        <row r="1247">
          <cell r="B1247">
            <v>5017</v>
          </cell>
          <cell r="C1247" t="str">
            <v>CONEXIÓN GEODRÉN VIAL 100MMX1.00M A POZO EXISTENTE (INC. EXCAVACION MANUAL, TRANSPORTE Y DISPOSICIÓN FINAL, RELLENOS EN BASE GRANULAR CLASE B,SUMINISTRO E INSTALACION TUBERIA SANITARIA PVC D=4" Y ACCESORIOS PVC SANITARIA.</v>
          </cell>
          <cell r="D1247" t="str">
            <v>UN</v>
          </cell>
          <cell r="E1247">
            <v>302332</v>
          </cell>
        </row>
        <row r="1248">
          <cell r="B1248">
            <v>5019</v>
          </cell>
          <cell r="C1248" t="str">
            <v>TEE HD 22,5° EXTREMO LISO 4"X2" (SUMINISTRO E INSTALACION).</v>
          </cell>
          <cell r="D1248" t="str">
            <v>UN</v>
          </cell>
          <cell r="E1248">
            <v>209463</v>
          </cell>
        </row>
        <row r="1249">
          <cell r="B1249">
            <v>5021</v>
          </cell>
          <cell r="C1249" t="str">
            <v>TUBERIA DE ACERO SIN COSTURAS ASTM-A-53 SCH40 D=12". SUMINISTRO E INSTALACION. (INCLUYE TRANSPORTE).</v>
          </cell>
          <cell r="D1249" t="str">
            <v>M</v>
          </cell>
          <cell r="E1249">
            <v>388528</v>
          </cell>
        </row>
        <row r="1250">
          <cell r="B1250">
            <v>5023</v>
          </cell>
          <cell r="C1250" t="str">
            <v>2 DUCTOS D=2" PVC PESADO DB. SUMINISTRO E INSTALACION. (NO INCLUYE RELLENOS).</v>
          </cell>
          <cell r="D1250" t="str">
            <v>M</v>
          </cell>
          <cell r="E1250">
            <v>14748</v>
          </cell>
        </row>
        <row r="1251">
          <cell r="B1251">
            <v>5024</v>
          </cell>
          <cell r="C1251" t="str">
            <v>VADO PARA ACCESIBILIDAD A MOVILIDAD REDUCIDA EN ANCHO=3.20M, DESARROLLO=2.00M, SUMINISTRO Y CONSTRUCCION, EN ESPACIO PUBLICO EXISTENTE. ALTO ESTANDAR DE ANDEN DE 0.20M (INC. BASE ARENA NIVELADA, ARENA SELLO, RELLENO.</v>
          </cell>
          <cell r="D1251" t="str">
            <v>UN</v>
          </cell>
          <cell r="E1251">
            <v>898485</v>
          </cell>
        </row>
        <row r="1252">
          <cell r="B1252">
            <v>5025</v>
          </cell>
          <cell r="C1252" t="str">
            <v>VADO PARA ACCESIBILIDAD A MOVILIDAD REDUCIDA EN ANCHO=3.20M, DESARROLLO=2.00M, SUMINISTRO Y CONSTRUCCION, EN ESPACIO PUBLICO EXISTENTE. ALTO ESTANDAR DE ANDEN DE 0.20M (INC. BASE ARENA NIVELADA, ARENA SELLO, (A=1M2).</v>
          </cell>
          <cell r="D1252" t="str">
            <v>M2</v>
          </cell>
          <cell r="E1252">
            <v>150072</v>
          </cell>
        </row>
        <row r="1253">
          <cell r="B1253">
            <v>5026</v>
          </cell>
          <cell r="C1253" t="str">
            <v>ESQUINA DEPRIMIDA ANCHO DE ANDEN =4.50M. SUMINISTRO Y CONSTRUCCION. (INCLUYE RELLENO DE 1.70M PENDIENTE 10% H ANDEN=0.20M(INCLUYE RELLENO, LOSETA PREFABRICADA,BASE ARENA NIVELACION Y SELLO, LOSA EN CONCRETO).</v>
          </cell>
          <cell r="D1253" t="str">
            <v>UN</v>
          </cell>
          <cell r="E1253">
            <v>3421689</v>
          </cell>
        </row>
        <row r="1254">
          <cell r="B1254">
            <v>5028</v>
          </cell>
          <cell r="C1254" t="str">
            <v>CONSTRUCCION Y ADECUACION DE SEPARADOR CENTRAL CON PASO A NIVEL CERO PARA ACCESIBILIDAD A MOVILIDAD REDUCIDA DE ANCHO=4,00M. EN ESPACIO PUBLICO EXISTENTE ALTO ESTANDAR DE ANDEN EN CONCRETRO DE 0.20M.</v>
          </cell>
          <cell r="D1254" t="str">
            <v>UN</v>
          </cell>
          <cell r="E1254">
            <v>3084236</v>
          </cell>
        </row>
        <row r="1255">
          <cell r="B1255">
            <v>5032</v>
          </cell>
          <cell r="C1255" t="str">
            <v>FUCCIA H=1.3mt (Incluye tierra, abono, tutor, transporte y disposición final de escombros a 28 km). SUMINISTRO Y PLANTACION.</v>
          </cell>
          <cell r="D1255" t="str">
            <v>UN</v>
          </cell>
          <cell r="E1255">
            <v>187953</v>
          </cell>
        </row>
        <row r="1256">
          <cell r="B1256">
            <v>5033</v>
          </cell>
          <cell r="C1256" t="str">
            <v>DURAZNILLO H=1.5mt (Incluye tierra, abono, tutor, transporte y disposición final de escombros a 28 km). SUMINISTRO Y PLANTACION.</v>
          </cell>
          <cell r="D1256" t="str">
            <v>UN</v>
          </cell>
          <cell r="E1256">
            <v>189953</v>
          </cell>
        </row>
        <row r="1257">
          <cell r="B1257">
            <v>5034</v>
          </cell>
          <cell r="C1257" t="str">
            <v>CALISTEMO H=1.5mt (Incluye tierra, abono, tutor, transporte y disposición final de escombros a 28 km). SUMINISTRO Y PLANTACION.</v>
          </cell>
          <cell r="D1257" t="str">
            <v>UN</v>
          </cell>
          <cell r="E1257">
            <v>189953</v>
          </cell>
        </row>
        <row r="1258">
          <cell r="B1258">
            <v>5035</v>
          </cell>
          <cell r="C1258" t="str">
            <v>AMARRABOLLO H=1.3mt (Incluye tierra, abono, tutor, transporte y disposición final de escombros a 28 km). SUMINISTRO Y PLANTACION.</v>
          </cell>
          <cell r="D1258" t="str">
            <v>UN</v>
          </cell>
          <cell r="E1258">
            <v>339953</v>
          </cell>
        </row>
        <row r="1259">
          <cell r="B1259">
            <v>5036</v>
          </cell>
          <cell r="C1259" t="str">
            <v>GUAYACAN H=1.5mt (Incluye tierra, abono, tutor, transporte y disposición final de escombros a 28 km). SUMINISTRO Y PLANTACION.</v>
          </cell>
          <cell r="D1259" t="str">
            <v>UN</v>
          </cell>
          <cell r="E1259">
            <v>177953</v>
          </cell>
        </row>
        <row r="1260">
          <cell r="B1260">
            <v>5037</v>
          </cell>
          <cell r="C1260" t="str">
            <v>ARRAYAN H=1.3mt (Incluye tierra, abono, tutor, transporte y disposición final de escombros a 28 km). SUMINISTRO Y PLANTACION.</v>
          </cell>
          <cell r="D1260" t="str">
            <v>UN</v>
          </cell>
          <cell r="E1260">
            <v>189953</v>
          </cell>
        </row>
        <row r="1261">
          <cell r="B1261">
            <v>5038</v>
          </cell>
          <cell r="C1261" t="str">
            <v>CARBONERO H=1.5mt (Incluye tierra, abono, tutor, transporte y disposición final de escombros a 28 km). SUMINISTRO Y PLANTACION.</v>
          </cell>
          <cell r="D1261" t="str">
            <v>UN</v>
          </cell>
          <cell r="E1261">
            <v>189953</v>
          </cell>
        </row>
        <row r="1262">
          <cell r="B1262">
            <v>5039</v>
          </cell>
          <cell r="C1262" t="str">
            <v>ENDRINO H=1.5mt (Incluye tierra, abono, tutor, transporte y disposición final de escombros a 28 km). SUMINISTRO Y PLANTACION.</v>
          </cell>
          <cell r="D1262" t="str">
            <v>UN</v>
          </cell>
          <cell r="E1262">
            <v>202641</v>
          </cell>
        </row>
        <row r="1263">
          <cell r="B1263">
            <v>5040</v>
          </cell>
          <cell r="C1263" t="str">
            <v>HAYUELO  H=1.5mt (Incluye tierra, abono, tutor, transporte y disposición final de escombros a 28 km). SUMINISTRO Y PLANTACION.</v>
          </cell>
          <cell r="D1263" t="str">
            <v>UN</v>
          </cell>
          <cell r="E1263">
            <v>189953</v>
          </cell>
        </row>
        <row r="1264">
          <cell r="B1264">
            <v>5042</v>
          </cell>
          <cell r="C1264" t="str">
            <v>SIETE CUEROS NAZARENO  H=1.5mt (Incluye tierra, abono, tutor, transporte y disposición final de escombros a 28 km). SUMINISTRO Y PLANTACION.</v>
          </cell>
          <cell r="D1264" t="str">
            <v>UN</v>
          </cell>
          <cell r="E1264">
            <v>222297</v>
          </cell>
        </row>
        <row r="1265">
          <cell r="B1265">
            <v>5044</v>
          </cell>
          <cell r="C1265" t="str">
            <v>CUBRESUELOS BALSAMINA (incluye 20 unidades por M2 y  transporte y disposición final de escombros a 28 km). SUMINISTRO Y PLANTACION.</v>
          </cell>
          <cell r="D1265" t="str">
            <v>M2</v>
          </cell>
          <cell r="E1265">
            <v>150351</v>
          </cell>
        </row>
        <row r="1266">
          <cell r="B1266">
            <v>5045</v>
          </cell>
          <cell r="C1266" t="str">
            <v>FALSO PIMIENTO H=1.3M (incluye siembra, tierra, abono y tutor) Incluye  transporte y disposición final de escombros en sitio autorizado a 28 km). SUMINISTRO Y PLANTACION.</v>
          </cell>
          <cell r="D1266" t="str">
            <v>UN</v>
          </cell>
          <cell r="E1266">
            <v>215233</v>
          </cell>
        </row>
        <row r="1267">
          <cell r="B1267">
            <v>5046</v>
          </cell>
          <cell r="C1267" t="str">
            <v>CUBRESUELOS SUELDA (incluye 20 unidades por M2 y transporte y disposición final de escombros en sitio autorizado (distancia de transporte 28 Km)). SUMINISTRO Y PLANTACION.</v>
          </cell>
          <cell r="D1267" t="str">
            <v>M2</v>
          </cell>
          <cell r="E1267">
            <v>150351</v>
          </cell>
        </row>
        <row r="1268">
          <cell r="B1268">
            <v>5047</v>
          </cell>
          <cell r="C1268" t="str">
            <v>ADOQUIN EN CONCRETO COLOR OCRE 200 X 100 A25 (Suministro e instalación. Incluye base 4cm mortero 2000PSI y arena de sello)</v>
          </cell>
          <cell r="D1268" t="str">
            <v>M2</v>
          </cell>
          <cell r="E1268">
            <v>70979</v>
          </cell>
        </row>
        <row r="1269">
          <cell r="B1269">
            <v>5048</v>
          </cell>
          <cell r="C1269" t="str">
            <v>ADOQUIN ECOLOGICO EN CONCRETO DE 40 X 40 X 8cm. SUMINISTRO E INSTALACION. (Incluye suministro, extendido, nivelación y compactación de recebo e=0,15m, 0,02m de tierra, grama y mano de obra)</v>
          </cell>
          <cell r="D1269" t="str">
            <v>M2</v>
          </cell>
          <cell r="E1269">
            <v>63280</v>
          </cell>
        </row>
        <row r="1270">
          <cell r="B1270">
            <v>5049</v>
          </cell>
          <cell r="C1270" t="str">
            <v>REDUCTOR DE VELOCIDAD BAJO EN CONCRETO PREMEZCLADO 4000 PSI GRAVA COMÚN. SUMINISTRO E INSTALACION. (INCLUYE FORMALETA,  REFUERZO, CURADO Y PINTURA.</v>
          </cell>
          <cell r="D1270" t="str">
            <v>M2</v>
          </cell>
          <cell r="E1270">
            <v>259764</v>
          </cell>
        </row>
        <row r="1271">
          <cell r="B1271">
            <v>5050</v>
          </cell>
          <cell r="C1271" t="str">
            <v>DEMOLICIÓN MANUAL DE CAMARA DE PASO DOBLE ETB (INCLUYE DEMOLICIÓN DE PLACA PISO, TAPA, MUROS Y CAÑUELAS Y CARGUE)</v>
          </cell>
          <cell r="D1271" t="str">
            <v>UN</v>
          </cell>
          <cell r="E1271">
            <v>94279</v>
          </cell>
        </row>
        <row r="1272">
          <cell r="B1272">
            <v>5051</v>
          </cell>
          <cell r="C1272" t="str">
            <v>PILOTE PREEXCAVADOS EN CONCRETO TREMIE DE 3000PSI (210 Kg/cm2) ACELERADO A 2 DIAS (INC. ACELERANTE, ALQUILER DE EQUIPO DE PERFORACION CON OPERARIO, MANO DE OBRA, TRANSPORTE Y DISPOSICION FINAL DE ESCOMBROS AUTORIZADOA 21KM.</v>
          </cell>
          <cell r="D1272" t="str">
            <v>M3</v>
          </cell>
          <cell r="E1272">
            <v>1307758</v>
          </cell>
        </row>
        <row r="1273">
          <cell r="B1273">
            <v>5052</v>
          </cell>
          <cell r="C1273" t="str">
            <v>ESTRIBOS CONCRETO GRAVA COMUN 3000PSI (210kG/cm2) ACELERADO A 2 DIAS (INCLUYE ACELERANTE, FORMALETA, CURADO DE CONCRETO Y MANO DE OBRA).</v>
          </cell>
          <cell r="D1273" t="str">
            <v>M3</v>
          </cell>
          <cell r="E1273">
            <v>600411</v>
          </cell>
        </row>
        <row r="1274">
          <cell r="B1274">
            <v>5053</v>
          </cell>
          <cell r="C1274" t="str">
            <v>IZAJE Y MONTAJE DE VIGA EN CONCRETO L=30mt APROX INCLUYE DOS GRUAS TELESCOPICAS 50TON PERSONAL PARA IZAJE Y MONTAJE</v>
          </cell>
          <cell r="D1274" t="str">
            <v>UN</v>
          </cell>
          <cell r="E1274">
            <v>8821754</v>
          </cell>
        </row>
        <row r="1275">
          <cell r="B1275">
            <v>5054</v>
          </cell>
          <cell r="C1275" t="str">
            <v>CUADRILLA (2OFICIAL + 4 AYUDANTES)</v>
          </cell>
          <cell r="D1275" t="str">
            <v>JR</v>
          </cell>
          <cell r="E1275">
            <v>312697</v>
          </cell>
        </row>
        <row r="1276">
          <cell r="B1276">
            <v>5055</v>
          </cell>
          <cell r="C1276" t="str">
            <v>DESCABECE DE PILOTES (INCLUYE TRANSPORTE Y DISPOSICIÓN FINAL DE ESCOMBROS EN SITIO AUTORIZADO A 21 km.</v>
          </cell>
          <cell r="D1276" t="str">
            <v>M3</v>
          </cell>
          <cell r="E1276">
            <v>130427</v>
          </cell>
        </row>
        <row r="1277">
          <cell r="B1277">
            <v>5056</v>
          </cell>
          <cell r="C1277" t="str">
            <v>ESQUINA DEPRIMIDA ANCHO DE ANDEN =4.50M RAMPA L=1.7m. SUMINISTRO Y CONSTRUCCION.(INCLUYE RELLENO DE 1.70M PENDIENTE 10% H ANDEN=0.20M(INCLUYE RELLENO, LOSETA PREFABRICADA,BASE ARENA NIVELACION Y SELLO, LOSA EN CONCRETO).</v>
          </cell>
          <cell r="D1277" t="str">
            <v>M2</v>
          </cell>
          <cell r="E1277">
            <v>167769</v>
          </cell>
        </row>
        <row r="1278">
          <cell r="B1278">
            <v>5057</v>
          </cell>
          <cell r="C1278" t="str">
            <v>PANEL PREFABRICADO EN CONCRETO REFORZADO CON FIBRA DE VIDRIO PARA CONFORMACION DE MUROS, PARA ESTACIONES DEL SISTEMA TRANSMILENIO. SUMINISTRO E INSTALACION.</v>
          </cell>
          <cell r="D1278" t="str">
            <v>M2</v>
          </cell>
          <cell r="E1278">
            <v>193526</v>
          </cell>
        </row>
        <row r="1279">
          <cell r="B1279">
            <v>5058</v>
          </cell>
          <cell r="C1279" t="str">
            <v>FILOS (Incluye suministro y colocación de mortero 1:4 impermeabilizado hecho en obra)</v>
          </cell>
          <cell r="D1279" t="str">
            <v>M</v>
          </cell>
          <cell r="E1279">
            <v>5728</v>
          </cell>
        </row>
        <row r="1280">
          <cell r="B1280">
            <v>5060</v>
          </cell>
          <cell r="C1280" t="str">
            <v>PINTURA BASE AGUA SOBRE MUROS 3 MANOS (Incluye suministro y colocación de pintura base en agua para exteriores)</v>
          </cell>
          <cell r="D1280" t="str">
            <v>M2</v>
          </cell>
          <cell r="E1280">
            <v>5439</v>
          </cell>
        </row>
        <row r="1281">
          <cell r="B1281">
            <v>5061</v>
          </cell>
          <cell r="C1281" t="str">
            <v>ENCHAPE EN GRANITO PARA INTERIORES 33 x 33 CM2 (Incluye suministro y colocación de 3cm de adhesivo premezclado, lechada de cemento y boquilla)</v>
          </cell>
          <cell r="D1281" t="str">
            <v>M2</v>
          </cell>
          <cell r="E1281">
            <v>68124</v>
          </cell>
        </row>
        <row r="1282">
          <cell r="B1282">
            <v>5062</v>
          </cell>
          <cell r="C1282" t="str">
            <v>ZOCALO MEDIA CAÑA EN GRANITO PARA INTERIORES H=7.2CM (Incluye suministro y colocación de material de pega)</v>
          </cell>
          <cell r="D1282" t="str">
            <v>M</v>
          </cell>
          <cell r="E1282">
            <v>27648</v>
          </cell>
        </row>
        <row r="1283">
          <cell r="B1283">
            <v>5063</v>
          </cell>
          <cell r="C1283" t="str">
            <v>ENCHAPE EN PORCELANATO BEIGE 60 x 60CM2 (Incluye suministro y colocación de 3cm de adhesivo premezclado, lechada de cemento, boquilla)</v>
          </cell>
          <cell r="D1283" t="str">
            <v>M2</v>
          </cell>
          <cell r="E1283">
            <v>48159</v>
          </cell>
        </row>
        <row r="1284">
          <cell r="B1284">
            <v>5064</v>
          </cell>
          <cell r="C1284" t="str">
            <v>GUARDA ESCOBA EN PORCELANATO H=10CM (Incluye suministro y colocación de 3cm de adhesivo premezclado, lechada de cemento y boquilla)</v>
          </cell>
          <cell r="D1284" t="str">
            <v>M</v>
          </cell>
          <cell r="E1284">
            <v>7757</v>
          </cell>
        </row>
        <row r="1285">
          <cell r="B1285">
            <v>5066</v>
          </cell>
          <cell r="C1285" t="str">
            <v>FLANCHE LATERAL, REMATE DE CUBIERTA EN LAMINA GALVANIZADA CAL. 16 Y PINTADA. DESARROLLO 0.30M. SUMINISTRO E INSTALACIÓN. (No incluye andamio)</v>
          </cell>
          <cell r="D1285" t="str">
            <v>M</v>
          </cell>
          <cell r="E1285">
            <v>28203</v>
          </cell>
        </row>
        <row r="1286">
          <cell r="B1286">
            <v>5067</v>
          </cell>
          <cell r="C1286" t="str">
            <v>REMATE DE CUBIERTA Y CORTAGOTERA EN LAMINA GALVANIZADA CAL. 16 Y PINTADA. DESARROLLO 0.15M (No incluye andamio). SUMINISTRO E INSTALACION.</v>
          </cell>
          <cell r="D1286" t="str">
            <v>M</v>
          </cell>
          <cell r="E1286">
            <v>20521</v>
          </cell>
        </row>
        <row r="1287">
          <cell r="B1287">
            <v>5068</v>
          </cell>
          <cell r="C1287" t="str">
            <v>DISPENSADOR METALICO PARA JABON LIQUIDO PARA INSTALAR EN MESON RECARGA DE JABON INFERIOR PUSH SUPERIOR DOCOL O SIMILAR. SUMINISTRO E INSTALACION.</v>
          </cell>
          <cell r="D1287" t="str">
            <v>UN</v>
          </cell>
          <cell r="E1287">
            <v>72656</v>
          </cell>
        </row>
        <row r="1288">
          <cell r="B1288">
            <v>5069</v>
          </cell>
          <cell r="C1288" t="str">
            <v>JUEGO DE INCRUSTACIONES COMPLETO (Incluye jabonera, portarollo y toallero). SUMINISTRO E INSTALACION.</v>
          </cell>
          <cell r="D1288" t="str">
            <v>UN</v>
          </cell>
          <cell r="E1288">
            <v>52009</v>
          </cell>
        </row>
        <row r="1289">
          <cell r="B1289">
            <v>5070</v>
          </cell>
          <cell r="C1289" t="str">
            <v>LAVAPLATOS EN ACERO INOXIDABLE DE SOBREPONER CON ALETA Cr DE 1.0 x 0.50 MTS. SUMINISTRO E INSTALACION.</v>
          </cell>
          <cell r="D1289" t="str">
            <v>UN</v>
          </cell>
          <cell r="E1289">
            <v>121231</v>
          </cell>
        </row>
        <row r="1290">
          <cell r="B1290">
            <v>5071</v>
          </cell>
          <cell r="C1290" t="str">
            <v xml:space="preserve">CONCRETO 2000PSI PARA MUERTOS (Premezclado. Incluye suministro formaleteo y colocación. No incluye refuerzo, curado) </v>
          </cell>
          <cell r="D1290" t="str">
            <v>M3</v>
          </cell>
          <cell r="E1290">
            <v>632056</v>
          </cell>
        </row>
        <row r="1291">
          <cell r="B1291">
            <v>5072</v>
          </cell>
          <cell r="C1291" t="str">
            <v>CONCRETO 4000 PSI PARA PLACAS Y VIGAS AEREAS (Premezclado. Incluye suministro, formaleteo y colocación. No incluye refuerzo, curado, andamio, cerchas, parales)</v>
          </cell>
          <cell r="D1291" t="str">
            <v>M3</v>
          </cell>
          <cell r="E1291">
            <v>752015</v>
          </cell>
        </row>
        <row r="1292">
          <cell r="B1292">
            <v>5073</v>
          </cell>
          <cell r="C1292" t="str">
            <v>TUBERIA PVC SANITARIA D=2" (Incluye suministro e instalación)</v>
          </cell>
          <cell r="D1292" t="str">
            <v>M</v>
          </cell>
          <cell r="E1292">
            <v>12954</v>
          </cell>
        </row>
        <row r="1293">
          <cell r="B1293">
            <v>5074</v>
          </cell>
          <cell r="C1293" t="str">
            <v>TAPON DE PRUEBA PVC SANITARIA D=2" (Incluye suministro e instalación)</v>
          </cell>
          <cell r="D1293" t="str">
            <v>UN</v>
          </cell>
          <cell r="E1293">
            <v>3437</v>
          </cell>
        </row>
        <row r="1294">
          <cell r="B1294">
            <v>5075</v>
          </cell>
          <cell r="C1294" t="str">
            <v>TAPON DE PRUEBA PVC SANITARIA D=4" (Incluye suministro e instalación)</v>
          </cell>
          <cell r="D1294" t="str">
            <v>UN</v>
          </cell>
          <cell r="E1294">
            <v>5994</v>
          </cell>
        </row>
        <row r="1295">
          <cell r="B1295">
            <v>5076</v>
          </cell>
          <cell r="C1295" t="str">
            <v>CODO 45° PVC SANITARIA D=4" (Incluye suministro e instalación).</v>
          </cell>
          <cell r="D1295" t="str">
            <v>UN</v>
          </cell>
          <cell r="E1295">
            <v>15815</v>
          </cell>
        </row>
        <row r="1296">
          <cell r="B1296">
            <v>5077</v>
          </cell>
          <cell r="C1296" t="str">
            <v>CODO 45°CXE  PVC SANITARIA D=2" (Incluye suministro e instalación).</v>
          </cell>
          <cell r="D1296" t="str">
            <v>UN</v>
          </cell>
          <cell r="E1296">
            <v>5706</v>
          </cell>
        </row>
        <row r="1297">
          <cell r="B1297">
            <v>5078</v>
          </cell>
          <cell r="C1297" t="str">
            <v>CODO 90° CXE PVC SANITARIA D=4" (Incluye suministro e instalación).</v>
          </cell>
          <cell r="D1297" t="str">
            <v>UN</v>
          </cell>
          <cell r="E1297">
            <v>16991</v>
          </cell>
        </row>
        <row r="1298">
          <cell r="B1298">
            <v>5079</v>
          </cell>
          <cell r="C1298" t="str">
            <v>YEE PVC SANITARIA D=2" (Incluye suministro e instalación).</v>
          </cell>
          <cell r="D1298" t="str">
            <v>UN</v>
          </cell>
          <cell r="E1298">
            <v>8728</v>
          </cell>
        </row>
        <row r="1299">
          <cell r="B1299">
            <v>5080</v>
          </cell>
          <cell r="C1299" t="str">
            <v>YEE PVC SANITARIA D=4" (Incluye suministro e instalación).</v>
          </cell>
          <cell r="D1299" t="str">
            <v>UN</v>
          </cell>
          <cell r="E1299">
            <v>25840</v>
          </cell>
        </row>
        <row r="1300">
          <cell r="B1300">
            <v>5081</v>
          </cell>
          <cell r="C1300" t="str">
            <v>YEE DOBLE PVC SANITARIA D=4" (Incluye suministro e instalación).</v>
          </cell>
          <cell r="D1300" t="str">
            <v>UN</v>
          </cell>
          <cell r="E1300">
            <v>42884</v>
          </cell>
        </row>
        <row r="1301">
          <cell r="B1301">
            <v>5082</v>
          </cell>
          <cell r="C1301" t="str">
            <v>PUNTO SANITARIO 4" PARA FLUXOMETRO ( Incluye suministro e instalación. Incluye codo 45°, tuberia PVC sanitaria, union, soldadura y cinta teflon).</v>
          </cell>
          <cell r="D1301" t="str">
            <v>UN</v>
          </cell>
          <cell r="E1301">
            <v>68962</v>
          </cell>
        </row>
        <row r="1302">
          <cell r="B1302">
            <v>5083</v>
          </cell>
          <cell r="C1302" t="str">
            <v>TUBERIA PVC E.L. D= 1 1/4"  200 PSI (Incluye suministro e instalación, soldadura).</v>
          </cell>
          <cell r="D1302" t="str">
            <v>M</v>
          </cell>
          <cell r="E1302">
            <v>9680</v>
          </cell>
        </row>
        <row r="1303">
          <cell r="B1303">
            <v>5084</v>
          </cell>
          <cell r="C1303" t="str">
            <v>TUBERIA PVC E.L. D= 1 RDE 13.5 - 315 PSI (Incluye suministro e instalación, soldadura).</v>
          </cell>
          <cell r="D1303" t="str">
            <v>M</v>
          </cell>
          <cell r="E1303">
            <v>8191</v>
          </cell>
        </row>
        <row r="1304">
          <cell r="B1304">
            <v>5085</v>
          </cell>
          <cell r="C1304" t="str">
            <v>TEE PVC E.L. D= 1 1/2" (Incluye suministro e instalación, soldadura).</v>
          </cell>
          <cell r="D1304" t="str">
            <v>UN</v>
          </cell>
          <cell r="E1304">
            <v>10742</v>
          </cell>
        </row>
        <row r="1305">
          <cell r="B1305">
            <v>5086</v>
          </cell>
          <cell r="C1305" t="str">
            <v>TEE PVC E.L. D= 1 1/4" (Incluye suministro e instalación, soldadura).</v>
          </cell>
          <cell r="D1305" t="str">
            <v>UN</v>
          </cell>
          <cell r="E1305">
            <v>8263</v>
          </cell>
        </row>
        <row r="1306">
          <cell r="B1306">
            <v>5087</v>
          </cell>
          <cell r="C1306" t="str">
            <v>TEE PVC E.L. D= 1" (Incluye suministro e instalación, soldadura).</v>
          </cell>
          <cell r="D1306" t="str">
            <v>UN</v>
          </cell>
          <cell r="E1306">
            <v>4771</v>
          </cell>
        </row>
        <row r="1307">
          <cell r="B1307">
            <v>5088</v>
          </cell>
          <cell r="C1307" t="str">
            <v>CODO 90° PVC E.L. D= 1 1/4" (Incluye suministro e instalación, soldadura).</v>
          </cell>
          <cell r="D1307" t="str">
            <v>UN</v>
          </cell>
          <cell r="E1307">
            <v>5718</v>
          </cell>
        </row>
        <row r="1308">
          <cell r="B1308">
            <v>5089</v>
          </cell>
          <cell r="C1308" t="str">
            <v>CODO 90° PVC E.L. D= 1" (Incluye suministro e instalación, soldadura).</v>
          </cell>
          <cell r="D1308" t="str">
            <v>UN</v>
          </cell>
          <cell r="E1308">
            <v>4177</v>
          </cell>
        </row>
        <row r="1309">
          <cell r="B1309">
            <v>5090</v>
          </cell>
          <cell r="C1309" t="str">
            <v>CODO 90° PVC E.L. D= 1 1/2" (Incluye suministro e instalación, soldadura).</v>
          </cell>
          <cell r="D1309" t="str">
            <v>UN</v>
          </cell>
          <cell r="E1309">
            <v>9020</v>
          </cell>
        </row>
        <row r="1310">
          <cell r="B1310">
            <v>5091</v>
          </cell>
          <cell r="C1310" t="str">
            <v>REDUCCION PVC E.L. D= 1 1/2" A 1 1/4" (Incluye suministro e instalación, soldadura).</v>
          </cell>
          <cell r="D1310" t="str">
            <v>UN</v>
          </cell>
          <cell r="E1310">
            <v>6338</v>
          </cell>
        </row>
        <row r="1311">
          <cell r="B1311">
            <v>5092</v>
          </cell>
          <cell r="C1311" t="str">
            <v>REDUCCION PVC E.L. D= 1 1/4" A 1" (Incluye suministro e instalación, soldadura).</v>
          </cell>
          <cell r="D1311" t="str">
            <v>UN</v>
          </cell>
          <cell r="E1311">
            <v>4593</v>
          </cell>
        </row>
        <row r="1312">
          <cell r="B1312">
            <v>5093</v>
          </cell>
          <cell r="C1312" t="str">
            <v>REDUCCION PVC E.L. D= 1" A 3/4" (Incluye suministro e instalación, soldadura).</v>
          </cell>
          <cell r="D1312" t="str">
            <v>UN</v>
          </cell>
          <cell r="E1312">
            <v>3593</v>
          </cell>
        </row>
        <row r="1313">
          <cell r="B1313">
            <v>5094</v>
          </cell>
          <cell r="C1313" t="str">
            <v>REDUCCION PVC E.L. D=3/4"  A 1/2" (Incluye suministro e instalación, soldadura).</v>
          </cell>
          <cell r="D1313" t="str">
            <v>UN</v>
          </cell>
          <cell r="E1313">
            <v>3034</v>
          </cell>
        </row>
        <row r="1314">
          <cell r="B1314">
            <v>5095</v>
          </cell>
          <cell r="C1314" t="str">
            <v>REGISTRO BOLA 1/2" TIPO PESADO (Incluye suministro e instalación, soldadura y cinta teflon)</v>
          </cell>
          <cell r="D1314" t="str">
            <v>UN</v>
          </cell>
          <cell r="E1314">
            <v>23516</v>
          </cell>
        </row>
        <row r="1315">
          <cell r="B1315">
            <v>5096</v>
          </cell>
          <cell r="C1315" t="str">
            <v>REGISTRO BOLA 1" TIPO PESADO (Incluye suministro e instalación, soldadura y cinta teflón)</v>
          </cell>
          <cell r="D1315" t="str">
            <v>UN</v>
          </cell>
          <cell r="E1315">
            <v>18868</v>
          </cell>
        </row>
        <row r="1316">
          <cell r="B1316">
            <v>5097</v>
          </cell>
          <cell r="C1316" t="str">
            <v>REGISTRO DE BOLA 1 1/4" TIPO PESADO (Incluye suministro e instalación, soldadura y cinta teflon)</v>
          </cell>
          <cell r="D1316" t="str">
            <v>UN</v>
          </cell>
          <cell r="E1316">
            <v>25528</v>
          </cell>
        </row>
        <row r="1317">
          <cell r="B1317">
            <v>5098</v>
          </cell>
          <cell r="C1317" t="str">
            <v>PUNTO HIDRAULICO D=1" PARA SANITARIO FLUXOMETRO (Incluye suministro e instalación, incluye codo 45°, tuberia PVC E.L., tee PVC E.L., soldadura y cinta teflon)</v>
          </cell>
          <cell r="D1317" t="str">
            <v>UN</v>
          </cell>
          <cell r="E1317">
            <v>38421</v>
          </cell>
        </row>
        <row r="1318">
          <cell r="B1318">
            <v>5099</v>
          </cell>
          <cell r="C1318" t="str">
            <v>PUNTO HIDRAULICO D=1/2" PARA SANITARIO FLUXOMETRO (Incluye suministro e instalación, incluye codo 45°, tuberia PVC E.L., tee PVC E.L., soldadura y cinta teflon)</v>
          </cell>
          <cell r="D1318" t="str">
            <v>UN</v>
          </cell>
          <cell r="E1318">
            <v>34681</v>
          </cell>
        </row>
        <row r="1319">
          <cell r="B1319">
            <v>5101</v>
          </cell>
          <cell r="C1319" t="str">
            <v>CONDUCTOR RED DE BAJA TENSION 31/0 + 12 600V CU CONDUCTORES DE LA PARCIAL ENTRE LOS VAGONES NORTE Y SUR. SUMINISTRO E INSTALACION.</v>
          </cell>
          <cell r="D1319" t="str">
            <v>M</v>
          </cell>
          <cell r="E1319">
            <v>77314</v>
          </cell>
        </row>
        <row r="1320">
          <cell r="B1320">
            <v>5102</v>
          </cell>
          <cell r="C1320" t="str">
            <v>ACOMETIDA TRIFASICA 36+18AWG THHN-600VCU. SUMINISTRO E INSTALACION. ACOMETIDA DESDE EL ARMARIO VAGON NORTE QUE ALIMENTA LAS TOMAS MONOFASICAS Y TRIFASICAS DE SERVICIO POR DEBAJO DEL PISO INSTALADO EN TUBERIA METALICA DE 1"</v>
          </cell>
          <cell r="D1320" t="str">
            <v>M</v>
          </cell>
          <cell r="E1320">
            <v>27341</v>
          </cell>
        </row>
        <row r="1321">
          <cell r="B1321">
            <v>5103</v>
          </cell>
          <cell r="C1321" t="str">
            <v>ACOMETIDA TRIFASICA 32/0+11/0AWG THHN600V CU, SUMINISTRO E INSTALACION, ACOMETIDA PARCIAL ENTRE ARMARIOS DE VAGON NORTE Y SUR PARA ALIMENTACION DE TABLERO DE NORMAL DE VAGON SUR, VA POR TUBERIA EMT 2" POR DEBAJO DEL PISO.</v>
          </cell>
          <cell r="D1321" t="str">
            <v>M</v>
          </cell>
          <cell r="E1321">
            <v>94697</v>
          </cell>
        </row>
        <row r="1322">
          <cell r="B1322">
            <v>5105</v>
          </cell>
          <cell r="C1322" t="str">
            <v>SALIDA PARA TOMA MONOFASICA DOBLE (Toma de servicio vagones) ES LA SALIDA DESDE LA CAJA METALICA MAS CERCANA EN EL PISO DEL VAGON HASTA LA TOMA EN LA COLUMNA INTERIOR DEL VAGON.</v>
          </cell>
          <cell r="D1322" t="str">
            <v>UN</v>
          </cell>
          <cell r="E1322">
            <v>68603</v>
          </cell>
        </row>
        <row r="1323">
          <cell r="B1323">
            <v>5106</v>
          </cell>
          <cell r="C1323" t="str">
            <v>SALIDA PARA TOMA TRIFASICA DE SEGURIDAD 1" EMT ES LA SALIDA DESDE LA CAJA METALICA MAS CERCANA EN EL PISO DEL VAGON (CORRESPONDIENTE A LA ACOMETIDA DE TOMA DE SERV) HASTA LA TOMA EN LA COLUMNA INTERIOR DEL VAGON.</v>
          </cell>
          <cell r="D1323" t="str">
            <v>UN</v>
          </cell>
          <cell r="E1323">
            <v>173005</v>
          </cell>
        </row>
        <row r="1324">
          <cell r="B1324">
            <v>5107</v>
          </cell>
          <cell r="C1324" t="str">
            <v>SALIDA PARA TOTEMS NORTE Y SUR EN TUBERIA EMT DE 1" Y CONDUCTOR 2x10 CU. INCLUYE SUMINISTRO DE SOPORTARIA, ANDAMIO Y PERSONAL PARA TRABAJO EN ALTURA. SUMINISTRO E INSTALACION.</v>
          </cell>
          <cell r="D1324" t="str">
            <v>M</v>
          </cell>
          <cell r="E1324">
            <v>33949</v>
          </cell>
        </row>
        <row r="1325">
          <cell r="B1325">
            <v>5108</v>
          </cell>
          <cell r="C1325" t="str">
            <v>BALA CON BOMBILLOS AHORRADORES 2x20 W 120V INSTALADOS EN EL TECHO DE LAS TAQUILLAS. SUMINISTRO E INSTALACION. INCLUYE SUMINISTRO E INSTALACION  DE INTERRUPTOR Y APERTURA DE HUECO EN CIELO RASO FALSO PARA FIJACION.</v>
          </cell>
          <cell r="D1325" t="str">
            <v>UN</v>
          </cell>
          <cell r="E1325">
            <v>200661</v>
          </cell>
        </row>
        <row r="1326">
          <cell r="B1326">
            <v>5109</v>
          </cell>
          <cell r="C1326" t="str">
            <v>SALIDA PARA MOTORES PUERTAS EMT 3/4" ES LA SALIDA DESDE LA CAJA METALICA MAS CERCANA EN EL TECHO DEL VAGON, HASTA LA SALIDA EN EL COSTADO DEL VAGON. INCLUYE TUBERIA PARA EL CIRCUITO DIGITAL DE MANDO.</v>
          </cell>
          <cell r="D1326" t="str">
            <v>UN</v>
          </cell>
          <cell r="E1326">
            <v>87679</v>
          </cell>
        </row>
        <row r="1327">
          <cell r="B1327">
            <v>5110</v>
          </cell>
          <cell r="C1327" t="str">
            <v>2 DUCTOS D= 3" PVC SE INSTALA EN EL PISO AL LADO DE LOS VAGONES PARA EL SISTEMA DE ENERGIA Y/O COMUNICACIONES. INCLUYE APERTURA DE ZANJA, COMPACTACION Y RETIRO DE ESCOMBROS</v>
          </cell>
          <cell r="D1327" t="str">
            <v>M</v>
          </cell>
          <cell r="E1327">
            <v>27300</v>
          </cell>
        </row>
        <row r="1328">
          <cell r="B1328">
            <v>5111</v>
          </cell>
          <cell r="C1328" t="str">
            <v>1 DUCTO DE 3/4" EMT (PARA SALIDAS DE PUBLICIDAD) CON ESTA TUBERIA SE ALIMENTAN LAS SALIDAS DE PUBLIMILENIO EN CADA VAGON, SALIENDO DE LOS ARMARIOS.</v>
          </cell>
          <cell r="D1328" t="str">
            <v>M</v>
          </cell>
          <cell r="E1328">
            <v>7136</v>
          </cell>
        </row>
        <row r="1329">
          <cell r="B1329">
            <v>5112</v>
          </cell>
          <cell r="C1329" t="str">
            <v>1 DUCTO DE 1" EMT CON ESTA TUBERIA SE INTERCONECTAN LAS PARCIALES DE VAGONES NORTE Y SUR Y LA ACOMETIDA DE LAS LAMPARAS EN LAS TRANSICIONES POR DEBAJO DEL PISO DE LOS VAGONES.</v>
          </cell>
          <cell r="D1329" t="str">
            <v>M</v>
          </cell>
          <cell r="E1329">
            <v>13543</v>
          </cell>
        </row>
        <row r="1330">
          <cell r="B1330">
            <v>5113</v>
          </cell>
          <cell r="C1330" t="str">
            <v>SALIDA PARA LAMPARA FLUORESCENTE EMT 3/4". ES LA SALIDA DESDE LA CAJA METALICA ANTERIOR EN EL TECHO DEL VAGON HASTA LA CAJA DE SALIDA PROPIA DE LA LAMPARA.</v>
          </cell>
          <cell r="D1330" t="str">
            <v>UN</v>
          </cell>
          <cell r="E1330">
            <v>119866</v>
          </cell>
        </row>
        <row r="1331">
          <cell r="B1331">
            <v>5117</v>
          </cell>
          <cell r="C1331" t="str">
            <v>LAMPARA FLUORESCENTE 4x54 W, T5, 120V. INSTALADA EN LOS TECHOS DE LOS VAGONES. SUMINISTRO E INSTALACION.</v>
          </cell>
          <cell r="D1331" t="str">
            <v>UN</v>
          </cell>
          <cell r="E1331">
            <v>186675</v>
          </cell>
        </row>
        <row r="1332">
          <cell r="B1332">
            <v>5122</v>
          </cell>
          <cell r="C1332" t="str">
            <v>SANITARIO LINEA INSTITUCIONAL COLOR BLANCO (VALVULA ANTIVANDALICA TIPO PUSH METALICO, CROMADO) SUMINISTRO E INSTALACION</v>
          </cell>
          <cell r="D1332" t="str">
            <v>UN</v>
          </cell>
          <cell r="E1332">
            <v>333003</v>
          </cell>
        </row>
        <row r="1333">
          <cell r="B1333">
            <v>5123</v>
          </cell>
          <cell r="C1333" t="str">
            <v>SANITARIO LINEA INSTITUCIONAL PARA DISCAPACITADOS COLOR BLANCO (VALVULA ANTIVANDALICA TIPO PUSH METALICO, CROMADO) SUMINISTRO E INSTALACION.</v>
          </cell>
          <cell r="D1333" t="str">
            <v>UN</v>
          </cell>
          <cell r="E1333">
            <v>999946</v>
          </cell>
        </row>
        <row r="1334">
          <cell r="B1334">
            <v>5124</v>
          </cell>
          <cell r="C1334" t="str">
            <v>ORINAL MEDIANO DE COLGAR TIPO INSTITUCIONAL COLOR BLANCO (VALVULA ANTIVANDALICA TIPO PUSH METALICO, CROMADO) SUMINISTRO E INSTALACION</v>
          </cell>
          <cell r="D1334" t="str">
            <v>UN</v>
          </cell>
          <cell r="E1334">
            <v>268653</v>
          </cell>
        </row>
        <row r="1335">
          <cell r="B1335">
            <v>5125</v>
          </cell>
          <cell r="C1335" t="str">
            <v>DISPENSADOR PARA PAPEL HIGIENICO DE SOBREPONER EN LA PARED PARA ROLLO DE 200m Y 400m EN ACERO INOXIDABLE 304 SATINADO CON LLAVE. SUMINISTRO E INSTALACION.</v>
          </cell>
          <cell r="D1335" t="str">
            <v>UN</v>
          </cell>
          <cell r="E1335">
            <v>66503</v>
          </cell>
        </row>
        <row r="1336">
          <cell r="B1336">
            <v>5126</v>
          </cell>
          <cell r="C1336" t="str">
            <v>GRIFERIA  PARA LAVAMANOS DE MESON TIPO PUSH METALICO CROMADO. SUMINISTRO E INSTALACION.</v>
          </cell>
          <cell r="D1336" t="str">
            <v>UN</v>
          </cell>
          <cell r="E1336">
            <v>154654</v>
          </cell>
        </row>
        <row r="1337">
          <cell r="B1337">
            <v>5127</v>
          </cell>
          <cell r="C1337" t="str">
            <v>SECADOR ELECTRICO PARA MANOS TIPO MANOS LIBRES, CARCAZA OVALADA METALICA ACERO INOXIDABLE 304 SATINADO CAL. 1.2mm MOTOR SIN ESCOBILLAS, RANGO DE DETECCION DEL SENSOR AJUSTABLE, DE 10 cm A 30 cm. SUMINISTRO E INSTALACION.</v>
          </cell>
          <cell r="D1337" t="str">
            <v>UN</v>
          </cell>
          <cell r="E1337">
            <v>305654</v>
          </cell>
        </row>
        <row r="1338">
          <cell r="B1338">
            <v>5128</v>
          </cell>
          <cell r="C1338" t="str">
            <v>VALVULA ANTIVANDALICA PARA ORINAL. SUMINISTRO E INSTALACION.</v>
          </cell>
          <cell r="D1338" t="str">
            <v>UN</v>
          </cell>
          <cell r="E1338">
            <v>263654</v>
          </cell>
        </row>
        <row r="1339">
          <cell r="B1339">
            <v>5129</v>
          </cell>
          <cell r="C1339" t="str">
            <v>PISO EN LAMINA ALFAJOR CAL. 3mm ANCHO 31cm PARA PLATAFORMA DE DESCENSO PASAJEROS VAGONES. INCLUYE ANGULO 1/8" x 1", IMPRIMANTE EPOXICO, PINTURA EPOXICA PARA BARRERAS Y SOLDADURA. SUMINISTRO E INSTALACION.</v>
          </cell>
          <cell r="D1339" t="str">
            <v>M</v>
          </cell>
          <cell r="E1339">
            <v>163687</v>
          </cell>
        </row>
        <row r="1340">
          <cell r="B1340">
            <v>5131</v>
          </cell>
          <cell r="C1340" t="str">
            <v>BARANDA METALICA M-82 PREFABRICADA (incluye instalación, dados de concreto 3000 PSI grava común de 0.20 x 0.20 mt y pintura). SUMINISTRO E INSTALACION.</v>
          </cell>
          <cell r="D1340" t="str">
            <v>M</v>
          </cell>
          <cell r="E1340">
            <v>125802</v>
          </cell>
        </row>
        <row r="1341">
          <cell r="B1341">
            <v>5132</v>
          </cell>
          <cell r="C1341" t="str">
            <v>BAJANTE ALL PVC SANITARIA D=4" (Incluye suministro e instalación, incluye unión proporcional cada 6mt, incluye soporte y dos tornillos inoxidables proporcionales cada 3mt, soldadura y cita teflon).</v>
          </cell>
          <cell r="D1341" t="str">
            <v>M</v>
          </cell>
          <cell r="E1341">
            <v>41851</v>
          </cell>
        </row>
        <row r="1342">
          <cell r="B1342">
            <v>5134</v>
          </cell>
          <cell r="C1342" t="str">
            <v xml:space="preserve">DEMARCACION DE FLECHA MIXTA DE GIRO/FRONTAL EN PINTURA TERMOPLASTICA. SUMINISTRO Y APLICACION. NORMATIVA INVIAS. </v>
          </cell>
          <cell r="D1342" t="str">
            <v>UN</v>
          </cell>
          <cell r="E1342">
            <v>63070</v>
          </cell>
        </row>
        <row r="1343">
          <cell r="B1343">
            <v>5135</v>
          </cell>
          <cell r="C1343" t="str">
            <v>DEMARCACION LINEA CEDA EL PASO DISCONTINUA DE 0.8MT ESPACIADO 0.4MT E=2.3mm EN PINTURA TERMOPLASTICA, INCLUYE SUMINISTRO Y APLICACION CON EQUIPO, INCLUYE MICROESFERAS.</v>
          </cell>
          <cell r="D1343" t="str">
            <v>M</v>
          </cell>
          <cell r="E1343">
            <v>11305</v>
          </cell>
        </row>
        <row r="1344">
          <cell r="B1344">
            <v>5136</v>
          </cell>
          <cell r="C1344" t="str">
            <v xml:space="preserve">DEMARCACION LINEA CARRIL A=0.12M L=3.0 SEPARACION=5.0M E=2.3mm, EN PINTURA TERMOPLASTICA. INCLUYE SUMINISTRO Y APLICACION CON EQUIPO. INCLUYE MICROESFERAS. </v>
          </cell>
          <cell r="D1344" t="str">
            <v>M2</v>
          </cell>
          <cell r="E1344">
            <v>11305</v>
          </cell>
        </row>
        <row r="1345">
          <cell r="B1345">
            <v>5143</v>
          </cell>
          <cell r="C1345" t="str">
            <v xml:space="preserve">FRANJA EN ADHESIVO VINILICO ESMERILADO EFECTO STAND BLASTED FROSTED CRYSTAL, SUMINISTRO E INSTALACION, GARANTIA DE 5 AÑOS AL EXTERIOR. SEGUN MANUAL DE IMAGEN DE TRANSMILENIO S.A. </v>
          </cell>
          <cell r="D1345" t="str">
            <v>UN</v>
          </cell>
          <cell r="E1345">
            <v>92582</v>
          </cell>
        </row>
        <row r="1346">
          <cell r="B1346">
            <v>5144</v>
          </cell>
          <cell r="C1346" t="str">
            <v xml:space="preserve">FRANJA EN VINILO CON ADHESIVO EN VINILO ALTO 6cm, GARANTIA DE 5 AÑOS AL EXTERIOR SEGUN COLOR. SUMINISTRO E INSTALACION. SEGUN MANUAL DE IMAGEN DE TRANSMILENIO S.A. </v>
          </cell>
          <cell r="D1346" t="str">
            <v>UN</v>
          </cell>
          <cell r="E1346">
            <v>8925</v>
          </cell>
        </row>
        <row r="1347">
          <cell r="B1347">
            <v>5145</v>
          </cell>
          <cell r="C1347" t="str">
            <v>FRANJA EN VINILO CON ADHESIVO EN VINILO ALTO 3cm, SUMINISTRO E INSTALACION, GARANTIA DE 5 AÑOS AL EXTERIOR SEGUN COLOR. SEGUN MANUAL DE IMAGEN DE TRANSMILENIO S.A.</v>
          </cell>
          <cell r="D1347" t="str">
            <v>UN</v>
          </cell>
          <cell r="E1347">
            <v>8687</v>
          </cell>
        </row>
        <row r="1348">
          <cell r="B1348">
            <v>5159</v>
          </cell>
          <cell r="C1348" t="str">
            <v>YEE REDUCIDA PVC SANITARIA 4" x 2" (Incluye suministro e instalación)</v>
          </cell>
          <cell r="D1348" t="str">
            <v>UN</v>
          </cell>
          <cell r="E1348">
            <v>22657</v>
          </cell>
        </row>
        <row r="1349">
          <cell r="B1349">
            <v>5160</v>
          </cell>
          <cell r="C1349" t="str">
            <v>PUNTO SANITARIO 2" PARA LAVAMANOS, LAVAPLATOS, ORINALES Y POCETAS (Incluye suministro e instalación, incluye codo de 45°, tuberia PVC sanitaria, sifon, unión, soldadura y cinta teflon).</v>
          </cell>
          <cell r="D1349" t="str">
            <v>UN</v>
          </cell>
          <cell r="E1349">
            <v>48235</v>
          </cell>
        </row>
        <row r="1350">
          <cell r="B1350">
            <v>5161</v>
          </cell>
          <cell r="C1350" t="str">
            <v>INSPECCION VISUAL PARA MALLA VIAL ARTERIAL NO TRONCAL, BRIGADA DE REACCION REALIZACION INVENTARIO DE HUECOS Y PROCESAMIENTO DE LA INFORMACION.</v>
          </cell>
          <cell r="D1350" t="str">
            <v>M2</v>
          </cell>
          <cell r="E1350">
            <v>132</v>
          </cell>
        </row>
        <row r="1351">
          <cell r="B1351">
            <v>5162</v>
          </cell>
          <cell r="C1351" t="str">
            <v>PAVIMENTO ASF RECICLADO EN FRIO  Cemento 3% (Adición emulsión asfáltica CRL-1 Reciclaje extender, nivelar, y compactar. no incluye agregados petreos de adición).</v>
          </cell>
          <cell r="D1351" t="str">
            <v>M3</v>
          </cell>
          <cell r="E1351">
            <v>195413</v>
          </cell>
        </row>
        <row r="1352">
          <cell r="B1352">
            <v>5163</v>
          </cell>
          <cell r="C1352" t="str">
            <v>PAVIMENTO ASF RECICLADO  EN FRIO Cemento 5% (Adición emulsión asfaltica CRL-1, reciclaje, extender, nivelar y compactar. No incluye agregados petreos de adición).</v>
          </cell>
          <cell r="D1352" t="str">
            <v>M3</v>
          </cell>
          <cell r="E1352">
            <v>210533</v>
          </cell>
        </row>
        <row r="1353">
          <cell r="B1353">
            <v>5164</v>
          </cell>
          <cell r="C1353" t="str">
            <v>PAVIMENTO ASF RECICLADO EN FRIO Emulsión CRL-1 al 3% (Suministro emulsión asfáltica CRL-1 reciclaje, extendida, nivelación y compactación. No incluye agregados petreos de adición).</v>
          </cell>
          <cell r="D1353" t="str">
            <v>M3</v>
          </cell>
          <cell r="E1353">
            <v>106478</v>
          </cell>
        </row>
        <row r="1354">
          <cell r="B1354">
            <v>5165</v>
          </cell>
          <cell r="C1354" t="str">
            <v>PAVIMENTO ASF RECICLADO EN FRIO EMULSION CRL-1 AL 5% (Suministro emulsión asfáltica CRL-1, reciclaje, extendida, nivelación y compactación. No incluye agregados petreos de adición).</v>
          </cell>
          <cell r="D1354" t="str">
            <v>M3</v>
          </cell>
          <cell r="E1354">
            <v>149968</v>
          </cell>
        </row>
        <row r="1355">
          <cell r="B1355">
            <v>5166</v>
          </cell>
          <cell r="C1355" t="str">
            <v>ALQUILER DE CERRAMIENTO TIPO 3, CONSTA DE SEÑALIZADORES TUBULARES PLASTICOS SEPARADOS ENTRE SI MAXIMO 3MTS TRIPLE CINTA PELIGRO CAL 4 (Incluye instalación, mantenimeinto y desinstalación).</v>
          </cell>
          <cell r="D1355" t="str">
            <v>M/ME</v>
          </cell>
          <cell r="E1355">
            <v>3318</v>
          </cell>
        </row>
        <row r="1356">
          <cell r="B1356">
            <v>5167</v>
          </cell>
          <cell r="C1356" t="str">
            <v>PERSONAL DE BRIGADA Y ASEO (Incluye herramienta menor). SUMINISTRO.</v>
          </cell>
          <cell r="D1356" t="str">
            <v>H/ME</v>
          </cell>
          <cell r="E1356">
            <v>1375663</v>
          </cell>
        </row>
        <row r="1357">
          <cell r="B1357">
            <v>5168</v>
          </cell>
          <cell r="C1357" t="str">
            <v>PROTECCION A SUMIDEROS (Incluye suministro y colocación de bolsas de lona y geotextil NT 1600 o similar).</v>
          </cell>
          <cell r="D1357" t="str">
            <v>UN/MES</v>
          </cell>
          <cell r="E1357">
            <v>7903</v>
          </cell>
        </row>
        <row r="1358">
          <cell r="B1358">
            <v>5169</v>
          </cell>
          <cell r="C1358" t="str">
            <v>PLAFONADO DE POZOS (Incluye suministro y colocación de puntilla, tabla burra de 2.90 x0.28x0.025m, cinta de señalizacion cal 4 rollo 500mx0.10m y señalización tubular colombina plástica).</v>
          </cell>
          <cell r="D1358" t="str">
            <v>UN</v>
          </cell>
          <cell r="E1358">
            <v>116196</v>
          </cell>
        </row>
        <row r="1359">
          <cell r="B1359">
            <v>5170</v>
          </cell>
          <cell r="C1359" t="str">
            <v>ALQUILER ELEMENTOS DE PROTECCION PERSONAL BASICO CONSTRUCCION VIAS CUADRILLAS 5 PERSONAS (Para personal operativo de los frentes de obra).</v>
          </cell>
          <cell r="D1359" t="str">
            <v>UN/MES</v>
          </cell>
          <cell r="E1359">
            <v>242867</v>
          </cell>
        </row>
        <row r="1360">
          <cell r="B1360">
            <v>5171</v>
          </cell>
          <cell r="C1360" t="str">
            <v>ACOMETIDA DOMICILIARIA DE 3" A 1/2". SUMINISTRO E INSTALACION. (Incluye tuberia PF, reposición de cajilla en polipropileno para medidor, registros y accesorios. Longitud promedio =6.5mt).</v>
          </cell>
          <cell r="D1360" t="str">
            <v>UN</v>
          </cell>
          <cell r="E1360">
            <v>288141</v>
          </cell>
        </row>
        <row r="1361">
          <cell r="B1361">
            <v>5172</v>
          </cell>
          <cell r="C1361" t="str">
            <v>ACOMETIDA DOMICILIARIA DE 4" A 1/2". SUMINISTRO E INSTALACION. (Incluye tuberia PF, reposición de cajilla en polipropileno para medidor, registros y accesorios, longitud promedio = 6.5mt).</v>
          </cell>
          <cell r="D1361" t="str">
            <v>UN</v>
          </cell>
          <cell r="E1361">
            <v>276749</v>
          </cell>
        </row>
        <row r="1362">
          <cell r="B1362">
            <v>5173</v>
          </cell>
          <cell r="C1362" t="str">
            <v>ACOMETIDA DOMICILIARIA DE 6" A 1/2". SUMINISTRO E INSTALACION. (Incluye tuberia PF  reposición de cajilla en polipropileno para medidor, registros y accesorios. Longitud promedio=6.5 mt).</v>
          </cell>
          <cell r="D1362" t="str">
            <v>UN</v>
          </cell>
          <cell r="E1362">
            <v>280199</v>
          </cell>
        </row>
        <row r="1363">
          <cell r="B1363">
            <v>5174</v>
          </cell>
          <cell r="C1363" t="str">
            <v>JARDIN VERTICAL, INCLUYE ESTRUCTURA Y/O PANEL DE SOPORTE INDEPENDIENTE ELEM.PARA SOPORTE Y SUJECIÓN DE JARDIN, SACOS Y/O CANGUROS PARA SIEMBRA DE JARDIN VERTICAL, MATERIAL VEGETAL. SUMINISTRO CONSTRUCCION E INSTALACION.</v>
          </cell>
          <cell r="D1363" t="str">
            <v>M2</v>
          </cell>
          <cell r="E1363">
            <v>700000</v>
          </cell>
        </row>
        <row r="1364">
          <cell r="B1364">
            <v>5175</v>
          </cell>
          <cell r="C1364" t="str">
            <v>MURETE CONTENEDOR DE ZONA VERDE H=0.60M A=0.40M. SUMINISTRO Y CONSTRUCCION. (Incluye suministro y colocación de recebo común, geomembrana HDPE 30mil o similar y acero de refuerzo para anclaje)</v>
          </cell>
          <cell r="D1364" t="str">
            <v>M</v>
          </cell>
          <cell r="E1364">
            <v>122998</v>
          </cell>
        </row>
        <row r="1365">
          <cell r="B1365">
            <v>5176</v>
          </cell>
          <cell r="C1365" t="str">
            <v>ELEMENTO SEGREGADOR DE CICLO RUTA TIPO PIEZA A130 EN CONCRETO DE 3000PSI (Fundido en sitio, concreto premezclado. Incluye suministro, formaleta y construcción).</v>
          </cell>
          <cell r="D1365" t="str">
            <v>M</v>
          </cell>
          <cell r="E1365">
            <v>113282</v>
          </cell>
        </row>
        <row r="1366">
          <cell r="B1366">
            <v>5177</v>
          </cell>
          <cell r="C1366" t="str">
            <v>PARCHEO EN PAVIMENTO FLEXIBLE PARA ACCIONES DE MOVILIDAD. (Incluye corte, demolición, cargue, transporte y disposición final de escombros, imprimación, suministro, extendido y compactación de mezcla asfáltica) TRABAJO NOCTURNO.</v>
          </cell>
          <cell r="D1366" t="str">
            <v>M3</v>
          </cell>
          <cell r="E1366">
            <v>1028348</v>
          </cell>
        </row>
        <row r="1367">
          <cell r="B1367">
            <v>5178</v>
          </cell>
          <cell r="C1367" t="str">
            <v>CUADRILLA (OFICIAL + 6 AYUDANTES) HORARIO NOCTURNO</v>
          </cell>
          <cell r="D1367" t="str">
            <v>JR</v>
          </cell>
          <cell r="E1367">
            <v>456371</v>
          </cell>
        </row>
        <row r="1368">
          <cell r="B1368">
            <v>5180</v>
          </cell>
          <cell r="C1368" t="str">
            <v>FILTRO DE DRENAJE DE 0.6m x 1.0m. SUMINISTRO E INSTALACION. (Incluye tuberia perforada  D=4", grava comun 1/2" y geotextil NT 4000 o similar).</v>
          </cell>
          <cell r="D1368" t="str">
            <v>M</v>
          </cell>
          <cell r="E1368">
            <v>165183</v>
          </cell>
        </row>
        <row r="1369">
          <cell r="B1369">
            <v>5181</v>
          </cell>
          <cell r="C1369" t="str">
            <v>SARDINEL FUNDIDO EN SITIO EN CONCRETO PREMEZCLADO DE 3000PSI. SUMINISTRO Y CONSTRUCCION. (Grava común) E=0.20m H=0.35m (Incluye formaleta metálica, acero de refuerzo y alambre negro).</v>
          </cell>
          <cell r="D1369" t="str">
            <v>M</v>
          </cell>
          <cell r="E1369">
            <v>36250</v>
          </cell>
        </row>
        <row r="1370">
          <cell r="B1370">
            <v>5182</v>
          </cell>
          <cell r="C1370" t="str">
            <v>6 DUCTOS D=6" + 2 DUCTOS D=3" PVC TDP. SUMINISTRO E INSTALACION. (No incluye rellenos).</v>
          </cell>
          <cell r="D1370" t="str">
            <v>M</v>
          </cell>
          <cell r="E1370">
            <v>222969</v>
          </cell>
        </row>
        <row r="1371">
          <cell r="B1371">
            <v>5183</v>
          </cell>
          <cell r="C1371" t="str">
            <v>7 DUCTOS D=4" PVC TDP. SUMINISTRO E INSTALACION. (No incluye rellenos).</v>
          </cell>
          <cell r="D1371" t="str">
            <v>M</v>
          </cell>
          <cell r="E1371">
            <v>103558</v>
          </cell>
        </row>
        <row r="1372">
          <cell r="B1372">
            <v>5184</v>
          </cell>
          <cell r="C1372" t="str">
            <v>3 DUCTOS DE D=3" PVC TDP. SUMINISTRO E INSTALACION. (No incluye rellenos).</v>
          </cell>
          <cell r="D1372" t="str">
            <v>M</v>
          </cell>
          <cell r="E1372">
            <v>36006</v>
          </cell>
        </row>
        <row r="1373">
          <cell r="B1373">
            <v>5185</v>
          </cell>
          <cell r="C1373" t="str">
            <v xml:space="preserve">NEOPRENO REFORZADO A 0.30 x 0.65 x 1"  DOBLE REFUERZO, SUMINISTRO E INSTALACION (Incluye limpieza de la superficie con chorro de aire a presion, herramienta menor y compresor). </v>
          </cell>
          <cell r="D1373" t="str">
            <v>UN</v>
          </cell>
          <cell r="E1373">
            <v>251391</v>
          </cell>
        </row>
        <row r="1374">
          <cell r="B1374">
            <v>5186</v>
          </cell>
          <cell r="C1374" t="str">
            <v>ACOMETIDA DOMICILIARIA DE 1/2" CON COLLAR DE DERIVACION DE 4" x 1/2". SUMINISTRO E INSTALACION. (Incluye tuberia PF, registros y accesorios, longitud promedio de 6.5m, incluye cajilla en polipropileno para medidor)</v>
          </cell>
          <cell r="D1374" t="str">
            <v>UN</v>
          </cell>
          <cell r="E1374">
            <v>260893</v>
          </cell>
        </row>
        <row r="1375">
          <cell r="B1375">
            <v>5187</v>
          </cell>
          <cell r="C1375" t="str">
            <v xml:space="preserve">ACOMETIDA DOMICILIARIA DE  1/2" CON COLLAR DE DERIVACION DE 6" x 1/2". SUMINISTRO E INSTALACION. (Incluye tuberia PF, registros y accesorios, longitud promedio 6.5mt. Incluye cajilla en polipropileno para medidor). </v>
          </cell>
          <cell r="D1375" t="str">
            <v>UN</v>
          </cell>
          <cell r="E1375">
            <v>280293</v>
          </cell>
        </row>
        <row r="1376">
          <cell r="B1376">
            <v>5188</v>
          </cell>
          <cell r="C1376" t="str">
            <v xml:space="preserve">BOYA PLASTICA DE 20 x 20 x 9cm DE ALTURA. SUMINISTRO E INSTALACION. </v>
          </cell>
          <cell r="D1376" t="str">
            <v>UN</v>
          </cell>
          <cell r="E1376">
            <v>42519</v>
          </cell>
        </row>
        <row r="1377">
          <cell r="B1377">
            <v>5189</v>
          </cell>
          <cell r="C1377" t="str">
            <v xml:space="preserve">HITO DE 75cm DE ALTURA Y 8 cm DE DIAMETRO CON REFLECTIVOS DE COLOR AMARILLO. SUMINISTRO E INSTALACION. </v>
          </cell>
          <cell r="D1377" t="str">
            <v>UN</v>
          </cell>
          <cell r="E1377">
            <v>50825</v>
          </cell>
        </row>
        <row r="1378">
          <cell r="B1378">
            <v>5190</v>
          </cell>
          <cell r="C1378" t="str">
            <v>CORTE CON EQUIPO DE OXICORTE PARA EL RETIRO DE LA JUNTA METALICA EXISTENTE EN EL PUENTE.</v>
          </cell>
          <cell r="D1378" t="str">
            <v>M</v>
          </cell>
          <cell r="E1378">
            <v>7483</v>
          </cell>
        </row>
        <row r="1379">
          <cell r="B1379">
            <v>5191</v>
          </cell>
          <cell r="C1379" t="str">
            <v>DEMARCACION PICTOGRAMA CICLORUTA  EN PINTURA TERMOPLASTICA (e=2.3mm incluye suministro y aplicación con equipo, incluye microesferas. Area =2mt2).</v>
          </cell>
          <cell r="D1379" t="str">
            <v>UN</v>
          </cell>
          <cell r="E1379">
            <v>218960</v>
          </cell>
        </row>
        <row r="1380">
          <cell r="B1380">
            <v>5195</v>
          </cell>
          <cell r="C1380" t="str">
            <v xml:space="preserve">RETIRO, DEMONTE DE MATERIAL DE JUNTA DE DILATACIÓN EXISTENTE Y DEMOLICIÓN DE CONCRETO ADYACENTE A LA JUNTA, ANCHO VARIABLE DE 80 A 90cm. (Incluye cargue, transporte y retiro de escombros). </v>
          </cell>
          <cell r="D1380" t="str">
            <v>M</v>
          </cell>
          <cell r="E1380">
            <v>31761</v>
          </cell>
        </row>
        <row r="1381">
          <cell r="B1381">
            <v>5196</v>
          </cell>
          <cell r="C1381" t="str">
            <v>DEMOLICIÓN DE CONCRETO: ESPESORES 8cm A 15cm. (Incluye retiro de material, transporte y disposición final de escombros en sitio autorizado).</v>
          </cell>
          <cell r="D1381" t="str">
            <v>M3</v>
          </cell>
          <cell r="E1381">
            <v>65230</v>
          </cell>
        </row>
        <row r="1382">
          <cell r="B1382">
            <v>5197</v>
          </cell>
          <cell r="C1382" t="str">
            <v>DEMOLICIÓN DE CONCRETO: ESPESORES 16cm A 25cm. (Incluye retiro de material, transporte y disposición final de escombros en sitio autorizado).</v>
          </cell>
          <cell r="D1382" t="str">
            <v>M3</v>
          </cell>
          <cell r="E1382">
            <v>70455</v>
          </cell>
        </row>
        <row r="1383">
          <cell r="B1383">
            <v>5199</v>
          </cell>
          <cell r="C1383" t="str">
            <v>CONCRETO SIN RETRACCIÓN, SUMINISTRO Y COLOCACIÓN, (CONCRELISTO RE 5000 O SIMILAR) CON FIBRA METÁLICA 80-60 O SIMILAR PARA VIGAS DE SOPORTE JUNTAS DE DILATACIÓN</v>
          </cell>
          <cell r="D1383" t="str">
            <v>M3</v>
          </cell>
          <cell r="E1383">
            <v>3266966</v>
          </cell>
        </row>
        <row r="1384">
          <cell r="B1384">
            <v>5200</v>
          </cell>
          <cell r="C1384" t="str">
            <v xml:space="preserve">GROUTING DE ALTA RESISTENCIA SIN RETRACCIÓN PARA RELLENO DE ZONA DE ANCLAJE PARA REEMPLAZO DE JUNTA EXISTENTE H=0.05m. SUMINISTRO Y COLOCACIÓN. (Incluye imprimante de alta adherencia y curador). </v>
          </cell>
          <cell r="D1384" t="str">
            <v>M2</v>
          </cell>
          <cell r="E1384">
            <v>419685</v>
          </cell>
        </row>
        <row r="1385">
          <cell r="B1385">
            <v>5201</v>
          </cell>
          <cell r="C1385" t="str">
            <v xml:space="preserve">JUNTA ELASTOMERICA TIPO AWGJ 70 DE 70mm DE RECORRIDO O SIMILAR. SUMINISTRO Y COLOCACIÓN. (Incluye pernos y soldadura). </v>
          </cell>
          <cell r="D1385" t="str">
            <v>M</v>
          </cell>
          <cell r="E1385">
            <v>105233</v>
          </cell>
        </row>
        <row r="1386">
          <cell r="B1386">
            <v>5202</v>
          </cell>
          <cell r="C1386" t="str">
            <v>JUNTA METÁLICA CON ÁNGULO DE 3"x1/4". SUMINISTRO Y COLOCACIÓN. (PARA UN SOLO COSTADO DE LA JUNTA).</v>
          </cell>
          <cell r="D1386" t="str">
            <v>M</v>
          </cell>
          <cell r="E1386">
            <v>46561</v>
          </cell>
        </row>
        <row r="1387">
          <cell r="B1387">
            <v>5204</v>
          </cell>
          <cell r="C1387" t="str">
            <v>LIMPIEZA PROFUNDA DE LA JUNTA PARA ANCHOS VARIABLES DE 5 A 30cm. (Retiro del material en la cavidad existente entre la superficie externa de la viga y el espaldar del estribo mediante el uso de hidrolavado y taladro luego del vaciado de escombros).</v>
          </cell>
          <cell r="D1387" t="str">
            <v>M</v>
          </cell>
          <cell r="E1387">
            <v>5523</v>
          </cell>
        </row>
        <row r="1388">
          <cell r="B1388">
            <v>5205</v>
          </cell>
          <cell r="C1388" t="str">
            <v>SELLANTE BASE EN POLIMERO PARA SELLO DE FISURAS, SUMINISTRO Y COLOCACIÓN, (ANCHO JUNTA APROX. 25mm PROFUNDIDAD APROX. 12mm).</v>
          </cell>
          <cell r="D1388" t="str">
            <v>M</v>
          </cell>
          <cell r="E1388">
            <v>23281</v>
          </cell>
        </row>
        <row r="1389">
          <cell r="B1389">
            <v>5207</v>
          </cell>
          <cell r="C1389" t="str">
            <v>SANEADO DE CONCRETO DE RECUBRIMIENTO. INCLUYE ESCARIFICACIÓN DE CONCRETO PROFUNDIDAD ENTRE 2cm Y 7cm, LIMPIEZA Y APLICACIÓN DE RECUBRIMIENTO ANTICORROSIVO PARA EL ACERO DE REFUERZO EXISTENTE Y MORTERO DE REPARACIÓN ESTRUCTURAL. NIVEL DE TRABAJO+3.0m</v>
          </cell>
          <cell r="D1389" t="str">
            <v>M2</v>
          </cell>
          <cell r="E1389">
            <v>128386</v>
          </cell>
        </row>
        <row r="1390">
          <cell r="B1390">
            <v>5208</v>
          </cell>
          <cell r="C1390" t="str">
            <v>LIMPIEZA MECÁNICA DE ACERO DE REFUERZO CON PULIDORA Y SUMINISTRO Y APLICACIÓN DE INHIBIDOR DE CORROSIÓN. NIVEL DE TRABAJO +3.0m.</v>
          </cell>
          <cell r="D1390" t="str">
            <v>M</v>
          </cell>
          <cell r="E1390">
            <v>69023</v>
          </cell>
        </row>
        <row r="1391">
          <cell r="B1391">
            <v>5209</v>
          </cell>
          <cell r="C1391" t="str">
            <v>IMPRIMANTE Y PUENTE DE ADHERENCIA ENTRE CONCRETO FRESCO Y ENDURECIDO DE FRAGUADO LENTO. SUMINISTRO Y APLICACIÓN. EPÓXICO DE PEGA CONCRETO NUEVO A VIEJO QUE CUMPLA CON LA NORMA ASTM C-881 TIPO 5 GRADO II</v>
          </cell>
          <cell r="D1391" t="str">
            <v>M2</v>
          </cell>
          <cell r="E1391">
            <v>31495</v>
          </cell>
        </row>
        <row r="1392">
          <cell r="B1392">
            <v>5210</v>
          </cell>
          <cell r="C1392" t="str">
            <v>ESCARIFICACIÓN MECÁNICA ABUZARDADO Y CORTE CON DISCO DIAMANTADO PARA RECALCE DE ELEMENTOS ESTRUCTURALES PROFUNDIDAD VARIABLE ENTRE 5cm Y 20cm. INCLUYE TRANSPORTE DE ESCOMBROS.</v>
          </cell>
          <cell r="D1392" t="str">
            <v>M2</v>
          </cell>
          <cell r="E1392">
            <v>42342</v>
          </cell>
        </row>
        <row r="1393">
          <cell r="B1393">
            <v>5211</v>
          </cell>
          <cell r="C1393" t="str">
            <v>MORTERO ACRILICO DE REPARACIÓN ALTA RESISTENCIA, AUTOIMPRIMANTE. SUMINISTRO Y APLICACIÓN. INCLUYE COSTOS DE SUMINISTRO DE MATERIALES (RECUBRIMIENTO ANTICORROSIVO EN DOS CAPAS.</v>
          </cell>
          <cell r="D1393" t="str">
            <v>M2</v>
          </cell>
          <cell r="E1393">
            <v>25195</v>
          </cell>
        </row>
        <row r="1394">
          <cell r="B1394">
            <v>5212</v>
          </cell>
          <cell r="C1394" t="str">
            <v>MASILLA DE POLIURETANO MONOCOMPONENTE PARA SELLADO DE JUNTAS DE CONSTRUCCIÓN. SELLADOR ELÁSTICO DE POLIURETANO. SUMINISTRO Y COLOCACIÓN.</v>
          </cell>
          <cell r="D1394" t="str">
            <v>M</v>
          </cell>
          <cell r="E1394">
            <v>11318</v>
          </cell>
        </row>
        <row r="1395">
          <cell r="B1395">
            <v>5214</v>
          </cell>
          <cell r="C1395" t="str">
            <v>LAMINA ALFAJOR 6mm CON SOPORTE EN NEOPRENO PARA PERMITIR FLUJO VEHICULAR SOBRE JUNTAS DEMOLIDAS. INCLUYE RETIRO Y POSTERIOR COLOCACIÓN Y TRANSPORTE.</v>
          </cell>
          <cell r="D1395" t="str">
            <v>M2</v>
          </cell>
          <cell r="E1395">
            <v>136379</v>
          </cell>
        </row>
        <row r="1396">
          <cell r="B1396">
            <v>5216</v>
          </cell>
          <cell r="C1396" t="str">
            <v xml:space="preserve">PINTURA EPÓXICA A DOS MANOS. SUMINISTRO Y APLICACIÓN. </v>
          </cell>
          <cell r="D1396" t="str">
            <v>M2</v>
          </cell>
          <cell r="E1396">
            <v>13461</v>
          </cell>
        </row>
        <row r="1397">
          <cell r="B1397">
            <v>5217</v>
          </cell>
          <cell r="C1397" t="str">
            <v>PINTURA ACRÍLICA BASE AGUA A=10cm PARA LINEAS DE DEMARCACIÓN, CON MICROESFERAS, ESPESOR SECO DE 9mils Y 60% DE SÓLIDOS POR VOLUMEN, EN CALZADA. SUMINISTRO Y APLICACIÓN.</v>
          </cell>
          <cell r="D1397" t="str">
            <v>M</v>
          </cell>
          <cell r="E1397">
            <v>1883</v>
          </cell>
        </row>
        <row r="1398">
          <cell r="B1398">
            <v>5218</v>
          </cell>
          <cell r="C1398" t="str">
            <v>PINTURA ACRILÍCA BASE AGUA a=10cm PARA LINEAS DE DEMARCACIÓN, EN CICLORUTA (en andén), SIN MICROESFERAS, ESPESOR SECO DE 9mils Y 60% DE SÓLIDOS POR VOLUMEN. SUMINISTRO Y APLICACIÓN.</v>
          </cell>
          <cell r="D1398" t="str">
            <v>M</v>
          </cell>
          <cell r="E1398">
            <v>2170</v>
          </cell>
        </row>
        <row r="1399">
          <cell r="B1399">
            <v>5220</v>
          </cell>
          <cell r="C1399" t="str">
            <v>PINTURA EN PLASTICO EN FRIO METILMETACRILATO DE a=12cm PARA LINEAS DE DEMARCACIÓN, CON MICROESFERAS Y ESPESOR SECO SEGÚN NORMA NTC 4744.  SUMINISTRO Y APLICACIÓN.</v>
          </cell>
          <cell r="D1399" t="str">
            <v>M</v>
          </cell>
          <cell r="E1399">
            <v>7776</v>
          </cell>
        </row>
        <row r="1400">
          <cell r="B1400">
            <v>5221</v>
          </cell>
          <cell r="C1400" t="str">
            <v>PINTURA EN PLASTICO EN FRIO METILMETACRILATO DE a=15cm PARA LINEAS DE DEMARCACIÓN, CON MICROESFERAS Y ESPESOR SECO SEGÚN NORMA NTC 4744.  SUMINISTRO Y APLICACIÓN.</v>
          </cell>
          <cell r="D1400" t="str">
            <v>M</v>
          </cell>
          <cell r="E1400">
            <v>8553</v>
          </cell>
        </row>
        <row r="1401">
          <cell r="B1401">
            <v>5225</v>
          </cell>
          <cell r="C1401" t="str">
            <v>PINTURA DE TRÁFICO - IMPRIMANTE NEGRO A=15cm. SUMINISTRO Y APLICACIÓN.</v>
          </cell>
          <cell r="D1401" t="str">
            <v>M</v>
          </cell>
          <cell r="E1401">
            <v>2158</v>
          </cell>
        </row>
        <row r="1402">
          <cell r="B1402">
            <v>5226</v>
          </cell>
          <cell r="C1402" t="str">
            <v>PINTURA DE TRÁFICO - IMPRIMANTE NEGRO A=20cm. SUMINISTRO Y APLICACIÓN.</v>
          </cell>
          <cell r="D1402" t="str">
            <v>M</v>
          </cell>
          <cell r="E1402">
            <v>3156</v>
          </cell>
        </row>
        <row r="1403">
          <cell r="B1403">
            <v>5227</v>
          </cell>
          <cell r="C1403" t="str">
            <v>PINTURA DE TRÁFICO - IMPRIMANTE NEGRO. SUMINISTRO Y APLICACIÓN.</v>
          </cell>
          <cell r="D1403" t="str">
            <v>M2</v>
          </cell>
          <cell r="E1403">
            <v>10800</v>
          </cell>
        </row>
        <row r="1404">
          <cell r="B1404">
            <v>5228</v>
          </cell>
          <cell r="C1404" t="str">
            <v>BORRADO DE DEMARCACIÓN VIAL POR FRESADO CON MÁQUINA PARA LINEA a=0.12m.</v>
          </cell>
          <cell r="D1404" t="str">
            <v>M</v>
          </cell>
          <cell r="E1404">
            <v>1615</v>
          </cell>
        </row>
        <row r="1405">
          <cell r="B1405">
            <v>5229</v>
          </cell>
          <cell r="C1405" t="str">
            <v>BORRADO DE DEMARCACIÓN VIAL POR FRESADO CON MÁQUINA PARA LINEA a=0.15m.</v>
          </cell>
          <cell r="D1405" t="str">
            <v>M</v>
          </cell>
          <cell r="E1405">
            <v>2019</v>
          </cell>
        </row>
        <row r="1406">
          <cell r="B1406">
            <v>5230</v>
          </cell>
          <cell r="C1406" t="str">
            <v>BORRADO DE DEMARCACIÓN VIAL POR FRESADO CON MÁQUINA PARA LINEA a=0.20m.</v>
          </cell>
          <cell r="D1406" t="str">
            <v>M</v>
          </cell>
          <cell r="E1406">
            <v>2697</v>
          </cell>
        </row>
        <row r="1407">
          <cell r="B1407">
            <v>5241</v>
          </cell>
          <cell r="C1407" t="str">
            <v>TACHA REFLECTIVA BIDIRECCIONAL (Incluye suministro e instalación).</v>
          </cell>
          <cell r="D1407" t="str">
            <v>UN</v>
          </cell>
          <cell r="E1407">
            <v>7992</v>
          </cell>
        </row>
        <row r="1408">
          <cell r="B1408">
            <v>5242</v>
          </cell>
          <cell r="C1408" t="str">
            <v>RESALTOS EN CAUCHO ANCLADOS, LONGITUD 1m, ANCHO 30cm, ANCHO 4.5cm. (Incluye suministro e instalación).</v>
          </cell>
          <cell r="D1408" t="str">
            <v>UN</v>
          </cell>
          <cell r="E1408">
            <v>146170</v>
          </cell>
        </row>
        <row r="1409">
          <cell r="B1409">
            <v>5244</v>
          </cell>
          <cell r="C1409" t="str">
            <v>ENTIBADO EC-1 CONTÍNUO MADERA CON PERFILES DE MADERA Y PARALES TELESCÓPICOS. SUMINISTRO E INSTALACIÓN.</v>
          </cell>
          <cell r="D1409" t="str">
            <v>M2</v>
          </cell>
          <cell r="E1409">
            <v>36060</v>
          </cell>
        </row>
        <row r="1410">
          <cell r="B1410">
            <v>5245</v>
          </cell>
          <cell r="C1410" t="str">
            <v>EMPATE EN LÍNEA DE TUBERÍA DE ACERO (HA) A TUBERÍA PVC 6". SUMINISTRO E INSTALACIÓN. (INCLUYE ACOPLE UNIVERSAL D= 6" R1, UNIÓN DE REPARACIÓN D=6" Y 1mt DE TUBERÍA PVC D= 6" RDE 21).</v>
          </cell>
          <cell r="D1410" t="str">
            <v>UN</v>
          </cell>
          <cell r="E1410">
            <v>393147</v>
          </cell>
        </row>
        <row r="1411">
          <cell r="B1411">
            <v>5246</v>
          </cell>
          <cell r="C1411" t="str">
            <v>EMPATE EN LÍNEA DE TUBERÍA DE ACERO (HA) A TUBERÍA PVC 12". SUMINISTRO E INSTALACIÓN. (INCLUYE ACOPLE UNIVERSAL D= 12" R1, UNIÓN DE REPARACIÓN D=12" Y 1mt DE TUBERÍA PVC D= 12" RDE 21).</v>
          </cell>
          <cell r="D1411" t="str">
            <v>UN</v>
          </cell>
          <cell r="E1411">
            <v>1659254</v>
          </cell>
        </row>
        <row r="1412">
          <cell r="B1412">
            <v>5247</v>
          </cell>
          <cell r="C1412" t="str">
            <v>EMPATE EN LÍNEA DE TUBERÍA DE ACERO (HA) A ASBESTO CEMENTO (AC) 6". SUMINISTRO E INSTALACIÓN. (INCLUYE DOS ACOPLES UNIVERSAL D= 6" R1  Y 1mt DE TUBERÍA PVC D= 6" RDE 21).</v>
          </cell>
          <cell r="D1412" t="str">
            <v>UN</v>
          </cell>
          <cell r="E1412">
            <v>425029</v>
          </cell>
        </row>
        <row r="1413">
          <cell r="B1413">
            <v>5248</v>
          </cell>
          <cell r="C1413" t="str">
            <v>TUBERIA CONDUIT PVC D= 1/2" (No incluye Rellenos). SUMINISTRO E INSTALACIÓN.</v>
          </cell>
          <cell r="D1413" t="str">
            <v>M</v>
          </cell>
          <cell r="E1413">
            <v>3177</v>
          </cell>
        </row>
        <row r="1414">
          <cell r="B1414">
            <v>5249</v>
          </cell>
          <cell r="C1414" t="str">
            <v>TUBERIA EN ACERO GALVANIZADA D= 2" (No incluye rellenos). SUMINISTRO E INSTALACIÓN.</v>
          </cell>
          <cell r="D1414" t="str">
            <v>M</v>
          </cell>
          <cell r="E1414">
            <v>29453</v>
          </cell>
        </row>
        <row r="1415">
          <cell r="B1415">
            <v>5250</v>
          </cell>
          <cell r="C1415" t="str">
            <v>CARCAMO TIPO PLACA DE PROTECCIÓN DE TUBO EN POLIETILENO D= 2", 3", 4", 6" Y 8". (Incluye relleno en arena de peña, refuerzo, concreto de 2000 PSI y 4000 PSI, formaleta y transporte de petreos).</v>
          </cell>
          <cell r="D1415" t="str">
            <v>M</v>
          </cell>
          <cell r="E1415">
            <v>124436</v>
          </cell>
        </row>
        <row r="1416">
          <cell r="B1416">
            <v>5251</v>
          </cell>
          <cell r="C1416" t="str">
            <v>CARCAMO TIPO PLACA PARA PROTECCIÓN DE TUBO EN POLIETILENO D= 10", 12", 14" Y 16" (Incluye relleno en arena de peña, refuerzo, concreto de 2000 PSI y 4000 PSI, formaleta y transporte de petreos).</v>
          </cell>
          <cell r="D1416" t="str">
            <v>M</v>
          </cell>
          <cell r="E1416">
            <v>186572</v>
          </cell>
        </row>
        <row r="1417">
          <cell r="B1417">
            <v>5252</v>
          </cell>
          <cell r="C1417" t="str">
            <v>CAJA PARA SECCIONADOR MANIOBRA SUBESTACIÓN SEMISUMERGIBLE NORMA CODENSA CS290 (Anden. Incl base en concreto de 1500 PSI. Recebo compactado, muros, pañete en mortero impermeab. acero refuerzo, escalera de gato, marco y tapas.</v>
          </cell>
          <cell r="D1417" t="str">
            <v>UN</v>
          </cell>
          <cell r="E1417">
            <v>2127048</v>
          </cell>
        </row>
        <row r="1418">
          <cell r="B1418">
            <v>5253</v>
          </cell>
          <cell r="C1418" t="str">
            <v>CAJA DE MANIOBRA ENTRADA Y SALIDA SUBESTACION SEMISUMERGIBLE NORMA CODENSA CTS535. SUMINISTRO E INSTALACION.</v>
          </cell>
          <cell r="D1418" t="str">
            <v>UN</v>
          </cell>
          <cell r="E1418">
            <v>7986325</v>
          </cell>
        </row>
        <row r="1419">
          <cell r="B1419">
            <v>5254</v>
          </cell>
          <cell r="C1419" t="str">
            <v>TUBERIA CONCRETO D=36" CL. V  REFORZADO (Incluye Suministro, Instalación, mortero 2000 PSI para cubrimiento de junta).</v>
          </cell>
          <cell r="D1419" t="str">
            <v>M</v>
          </cell>
          <cell r="E1419">
            <v>1139589</v>
          </cell>
        </row>
        <row r="1420">
          <cell r="B1420">
            <v>5271</v>
          </cell>
          <cell r="C1420" t="str">
            <v>CONCRETO 2000 PSI GRAVA COMUN 1" (Suministro y colocación. Incluye suministro de concreto, formaleteado, fundida y curado.)</v>
          </cell>
          <cell r="D1420" t="str">
            <v>M3</v>
          </cell>
          <cell r="E1420">
            <v>420570</v>
          </cell>
        </row>
        <row r="1421">
          <cell r="B1421">
            <v>5272</v>
          </cell>
          <cell r="C1421" t="str">
            <v>2 DUCTOS D=6" PVC-TDP (No Incluye Rellenos ni excavación). SUMINISTRO E INSTALACIÓN.</v>
          </cell>
          <cell r="D1421" t="str">
            <v>M</v>
          </cell>
          <cell r="E1421">
            <v>62031</v>
          </cell>
        </row>
        <row r="1422">
          <cell r="B1422">
            <v>5273</v>
          </cell>
          <cell r="C1422" t="str">
            <v xml:space="preserve">3 DUCTOS D=6" PVC-TDP (No Incluye Rellenos ni excavación). SUMINISTRO E INSTALACIÓN. </v>
          </cell>
          <cell r="D1422" t="str">
            <v>M</v>
          </cell>
          <cell r="E1422">
            <v>93047</v>
          </cell>
        </row>
        <row r="1423">
          <cell r="B1423">
            <v>5274</v>
          </cell>
          <cell r="C1423" t="str">
            <v>5 DUCTOS D=6" PVC-TDP (No Incluye Rellenos ni excavación). SUMINISTRO E INSTALACIÓN.</v>
          </cell>
          <cell r="D1423" t="str">
            <v>M</v>
          </cell>
          <cell r="E1423">
            <v>155078</v>
          </cell>
        </row>
        <row r="1424">
          <cell r="B1424">
            <v>5275</v>
          </cell>
          <cell r="C1424" t="str">
            <v>10 DUCTOS D=6" PVC-TDP (No Incluye Rellenos ni excavación). SUMINISTRO E INSTALACIÓN.</v>
          </cell>
          <cell r="D1424" t="str">
            <v>M</v>
          </cell>
          <cell r="E1424">
            <v>310154</v>
          </cell>
        </row>
        <row r="1425">
          <cell r="B1425">
            <v>5276</v>
          </cell>
          <cell r="C1425" t="str">
            <v>11 DUCTOS D=6" PVC-TDP (No Incluye Rellenos ni excavación). SUMINISTRO E INSTALACIÓN.</v>
          </cell>
          <cell r="D1425" t="str">
            <v>M</v>
          </cell>
          <cell r="E1425">
            <v>341170</v>
          </cell>
        </row>
        <row r="1426">
          <cell r="B1426">
            <v>5277</v>
          </cell>
          <cell r="C1426" t="str">
            <v>20 DUCTOS D=4" PVC-TDP (No Incluye Rellenos ni excavación). SUMINISTRO E INSTALACIÓN.</v>
          </cell>
          <cell r="D1426" t="str">
            <v>M</v>
          </cell>
          <cell r="E1426">
            <v>286369</v>
          </cell>
        </row>
        <row r="1427">
          <cell r="B1427">
            <v>5278</v>
          </cell>
          <cell r="C1427" t="str">
            <v>28 DUCTOS D=4" PVC-TDP (No Incluye Rellenos ni excavación). SUMINISTRO E INSTALACIÓN.</v>
          </cell>
          <cell r="D1427" t="str">
            <v>M</v>
          </cell>
          <cell r="E1427">
            <v>401003</v>
          </cell>
        </row>
        <row r="1428">
          <cell r="B1428">
            <v>5279</v>
          </cell>
          <cell r="C1428" t="str">
            <v>5 DUCTOS D=4" PVC-TDP (No Incluye Rellenos ni excavación). SUMINISTRO E INSTALACIÓN.</v>
          </cell>
          <cell r="D1428" t="str">
            <v>M</v>
          </cell>
          <cell r="E1428">
            <v>71593</v>
          </cell>
        </row>
        <row r="1429">
          <cell r="B1429">
            <v>5280</v>
          </cell>
          <cell r="C1429" t="str">
            <v>CARCAMO DE PROTECCIÓN PARA TUBERIA DE TELEFONOS (DE 9 A 12 TUBOS). SUMINISTRO E INSTALACIÓN.</v>
          </cell>
          <cell r="D1429" t="str">
            <v>M</v>
          </cell>
          <cell r="E1429">
            <v>156258</v>
          </cell>
        </row>
        <row r="1430">
          <cell r="B1430">
            <v>5286</v>
          </cell>
          <cell r="C1430" t="str">
            <v>ESTABILIZACIÓN DE BASE GRANULAR CON EMULSIÓN + CEMENTO 5%  e= 0.20m</v>
          </cell>
          <cell r="D1430" t="str">
            <v>M2</v>
          </cell>
          <cell r="E1430">
            <v>9852</v>
          </cell>
        </row>
        <row r="1431">
          <cell r="B1431">
            <v>5312</v>
          </cell>
          <cell r="C1431" t="str">
            <v>CONCRETO 4000 PSI (280 Kg/Cm2) GRAVA COMUN PARA ALETAS Y ESPALDAR (INCLUYE FORMALETA. NO INCLUYE REFUERZO NI CURADO. INCLUYE SUMINISTRO Y COLOCACION).</v>
          </cell>
          <cell r="D1431" t="str">
            <v>M3</v>
          </cell>
          <cell r="E1431">
            <v>474153</v>
          </cell>
        </row>
        <row r="1432">
          <cell r="B1432">
            <v>5313</v>
          </cell>
          <cell r="C1432" t="str">
            <v>CONCRETO 3500 PSI (245 Kg/Cm2) GRAVA COMUN PARA CIMENTACIONES (INCLUYE FORMALETA. NO INCLUYE REFUERZO NI CURADO. INCLUYE SUMINISTRO Y COLOCACION).</v>
          </cell>
          <cell r="D1432" t="str">
            <v>M3</v>
          </cell>
          <cell r="E1432">
            <v>459721</v>
          </cell>
        </row>
        <row r="1433">
          <cell r="B1433">
            <v>5314</v>
          </cell>
          <cell r="C1433" t="str">
            <v>SEPARADOR NEW JERSEY MONODIRECCIONAL 0.375m x 0.90m x 0.15m  (Fundido en sitio. Incluye Sum. e Inst. No Inc. material de base).</v>
          </cell>
          <cell r="D1433" t="str">
            <v>M</v>
          </cell>
          <cell r="E1433">
            <v>433521</v>
          </cell>
        </row>
        <row r="1434">
          <cell r="B1434">
            <v>5315</v>
          </cell>
          <cell r="C1434" t="str">
            <v>CONCRETO 4000 PSI (280 Kg/Cm2) PARA MURO DE CONTENCION (GRAVA COMUN) SUMINISTRO Y COLOCACIÓN. Incluye Formaleta. No incluye Refuerzo, ni  Curado). Para trabajos a nivel menor de 1.50m.</v>
          </cell>
          <cell r="D1434" t="str">
            <v>M3</v>
          </cell>
          <cell r="E1434">
            <v>640642</v>
          </cell>
        </row>
        <row r="1435">
          <cell r="B1435">
            <v>5316</v>
          </cell>
          <cell r="C1435" t="str">
            <v>NIVELACION DE CAJA CS276 EN ANDEN H= 0.42m (INCLUYE CONCRETO 2500 PSI HECHO EN OBRA, LADRILLO TOLETE RECOCIDO 24x12x6. MORTERO 1:5 HECHO EN OBRA. INCL. REPOSICION DE MARCO Y TAPA PREFABRICADA</v>
          </cell>
          <cell r="D1435" t="str">
            <v>UN</v>
          </cell>
          <cell r="E1435">
            <v>959439</v>
          </cell>
        </row>
        <row r="1436">
          <cell r="B1436">
            <v>5317</v>
          </cell>
          <cell r="C1436" t="str">
            <v>CONCRETO 5000 PSI (350 Kg/Cm2) PARA SUPER ESTRUCTURA ACELERADO A 2 DIAS. (Concreto grava común.Incluye acelerante, formaleta, curado de concreto y mano de obra).</v>
          </cell>
          <cell r="D1436" t="str">
            <v>M3</v>
          </cell>
          <cell r="E1436">
            <v>640659</v>
          </cell>
        </row>
        <row r="1437">
          <cell r="B1437">
            <v>5318</v>
          </cell>
          <cell r="C1437" t="str">
            <v>CAMARA GRP 2500 * 2500 * 1200 (INCLUYE TUBERIA , CHIMENEA 2.5m Y ACCESORIOS. SUMINISTRO E INSTALACION.</v>
          </cell>
          <cell r="D1437" t="str">
            <v>UN</v>
          </cell>
          <cell r="E1437">
            <v>21463824</v>
          </cell>
        </row>
        <row r="1438">
          <cell r="B1438">
            <v>5319</v>
          </cell>
          <cell r="C1438" t="str">
            <v>CAMARA GRP 2600 * 2600 * 1200 (INCLUYE TUBERIA , CHIMENEA 2.5m Y ACCESORIOS. SUMINISTRO E INSTALACION.</v>
          </cell>
          <cell r="D1438" t="str">
            <v>UN</v>
          </cell>
          <cell r="E1438">
            <v>22932109</v>
          </cell>
        </row>
        <row r="1439">
          <cell r="B1439">
            <v>5320</v>
          </cell>
          <cell r="C1439" t="str">
            <v>TUBERIA GRP 350mm  (INCLUYE TRANSPORTE). SUMINISTRO E INSTALACION.</v>
          </cell>
          <cell r="D1439" t="str">
            <v>M</v>
          </cell>
          <cell r="E1439">
            <v>186796</v>
          </cell>
        </row>
        <row r="1440">
          <cell r="B1440">
            <v>5321</v>
          </cell>
          <cell r="C1440" t="str">
            <v>TUBERIA GRP 450mm  (INCLUYE TRANSPORTE). SUMINISTRO E INSTALACION.</v>
          </cell>
          <cell r="D1440" t="str">
            <v>M</v>
          </cell>
          <cell r="E1440">
            <v>272432</v>
          </cell>
        </row>
        <row r="1441">
          <cell r="B1441">
            <v>5322</v>
          </cell>
          <cell r="C1441" t="str">
            <v>TUBERIA GRP 550mm  (INCLUYE TRANSPORTE).  SUMINISTRO E INSTALACION.</v>
          </cell>
          <cell r="D1441" t="str">
            <v>M</v>
          </cell>
          <cell r="E1441">
            <v>542148</v>
          </cell>
        </row>
        <row r="1442">
          <cell r="B1442">
            <v>5323</v>
          </cell>
          <cell r="C1442" t="str">
            <v>TUBERIA GRP 650mm  (INCLUYE TRANSPORTE).  SUMINISTRO E INSTALACION.</v>
          </cell>
          <cell r="D1442" t="str">
            <v>M</v>
          </cell>
          <cell r="E1442">
            <v>685542</v>
          </cell>
        </row>
        <row r="1443">
          <cell r="B1443">
            <v>5324</v>
          </cell>
          <cell r="C1443" t="str">
            <v>TUBERIA GRP 750mm  (INCLUYE TRANSPORTE).  SUMINISTRO E INSTALACION.</v>
          </cell>
          <cell r="D1443" t="str">
            <v>M</v>
          </cell>
          <cell r="E1443">
            <v>760712</v>
          </cell>
        </row>
        <row r="1444">
          <cell r="B1444">
            <v>5325</v>
          </cell>
          <cell r="C1444" t="str">
            <v>TUBERIA GRP 850mm  (INCLUYE TRANSPORTE).  SUMINISTRO E INSTALACION.</v>
          </cell>
          <cell r="D1444" t="str">
            <v>M</v>
          </cell>
          <cell r="E1444">
            <v>878053</v>
          </cell>
        </row>
        <row r="1445">
          <cell r="B1445">
            <v>5326</v>
          </cell>
          <cell r="C1445" t="str">
            <v>TUBERIA GRP 2500mm  (INCLUYE TRANSPORTE).  SUMINISTRO E INSTALACION.</v>
          </cell>
          <cell r="D1445" t="str">
            <v>M</v>
          </cell>
          <cell r="E1445">
            <v>4833635</v>
          </cell>
        </row>
        <row r="1446">
          <cell r="B1446">
            <v>5327</v>
          </cell>
          <cell r="C1446" t="str">
            <v>TUBERIA GRP 2600mm  (INCLUYE TRANSPORTE).  SUMINISTRO E INSTALACION.</v>
          </cell>
          <cell r="D1446" t="str">
            <v>M</v>
          </cell>
          <cell r="E1446">
            <v>5106601</v>
          </cell>
        </row>
        <row r="1447">
          <cell r="B1447">
            <v>5328</v>
          </cell>
          <cell r="C1447" t="str">
            <v>CAMARA GRP 900 * 900 * 1200 (INCLUYE TUBERIA , CHIMENEA 1.0m Y ACCESORIOS. SUMINISTRO E INSTALACION.</v>
          </cell>
          <cell r="D1447" t="str">
            <v>UN</v>
          </cell>
          <cell r="E1447">
            <v>6761949</v>
          </cell>
        </row>
        <row r="1448">
          <cell r="B1448">
            <v>5329</v>
          </cell>
          <cell r="C1448" t="str">
            <v>CAMARA GRP 900 * 900 * 1200 (INCLUYE TUBERIA , CHIMENEA 2.50m Y ACCESORIOS. SUMINISTRO E INSTALACION.</v>
          </cell>
          <cell r="D1448" t="str">
            <v>UN</v>
          </cell>
          <cell r="E1448">
            <v>8940862</v>
          </cell>
        </row>
        <row r="1449">
          <cell r="B1449">
            <v>5330</v>
          </cell>
          <cell r="C1449" t="str">
            <v>CAMARA GRP 1000 * 1000 * 1200 (INCLUYE TUBERIA , CHIMENEA 2.50m Y ACCESORIOS. SUMINISTRO E INSTALACION.</v>
          </cell>
          <cell r="D1449" t="str">
            <v>UN</v>
          </cell>
          <cell r="E1449">
            <v>9608564</v>
          </cell>
        </row>
        <row r="1450">
          <cell r="B1450">
            <v>5331</v>
          </cell>
          <cell r="C1450" t="str">
            <v>CAMARA GRP 1100 * 1100 * 1200 (INCLUYE TUBERIA , CHIMENEA 2.50m Y ACCESORIOS. SUMINISTRO E INSTALACION.</v>
          </cell>
          <cell r="D1450" t="str">
            <v>UN</v>
          </cell>
          <cell r="E1450">
            <v>10193919</v>
          </cell>
        </row>
        <row r="1451">
          <cell r="B1451">
            <v>5332</v>
          </cell>
          <cell r="C1451" t="str">
            <v>CAMARA GRP 1300 * 1300 * 1200 (INCLUYE TUBERIA , CHIMENEA 5.0m Y ACCESORIOS. SUMINISTRO E INSTALACION.</v>
          </cell>
          <cell r="D1451" t="str">
            <v>UN</v>
          </cell>
          <cell r="E1451">
            <v>15767229</v>
          </cell>
        </row>
        <row r="1452">
          <cell r="B1452">
            <v>5333</v>
          </cell>
          <cell r="C1452" t="str">
            <v>CAMARA GRP 1500 * 1500 * 1200 (INCLUYE TUBERIA , CHIMENEA 2.50m Y ACCESORIOS. SUMINISTRO E INSTALACION.</v>
          </cell>
          <cell r="D1452" t="str">
            <v>UN</v>
          </cell>
          <cell r="E1452">
            <v>12882346</v>
          </cell>
        </row>
        <row r="1453">
          <cell r="B1453">
            <v>5334</v>
          </cell>
          <cell r="C1453" t="str">
            <v>CAMARA GRP 1600 * 1600 * 1200 (INCLUYE TUBERIA , CHIMENEA 2.50m Y ACCESORIOS. SUMINISTRO E INSTALACION.</v>
          </cell>
          <cell r="D1453" t="str">
            <v>UN</v>
          </cell>
          <cell r="E1453">
            <v>13716557</v>
          </cell>
        </row>
        <row r="1454">
          <cell r="B1454">
            <v>5335</v>
          </cell>
          <cell r="C1454" t="str">
            <v>CAMARA GRP 1800 * 1800 * 1200 (INCLUYE TUBERIA , CHIMENEA 2.50m Y ACCESORIOS. SUMINISTRO E INSTALACION.</v>
          </cell>
          <cell r="D1454" t="str">
            <v>UN</v>
          </cell>
          <cell r="E1454">
            <v>15744307</v>
          </cell>
        </row>
        <row r="1455">
          <cell r="B1455">
            <v>5336</v>
          </cell>
          <cell r="C1455" t="str">
            <v>CAMARA GRP 1800 * 1800 * 1200 (INCLUYE TUBERIA , CHIMENEA 5.0m Y ACCESORIOS. SUMINISTRO E INSTALACION.</v>
          </cell>
          <cell r="D1455" t="str">
            <v>UN</v>
          </cell>
          <cell r="E1455">
            <v>19720529</v>
          </cell>
        </row>
        <row r="1456">
          <cell r="B1456">
            <v>5338</v>
          </cell>
          <cell r="C1456" t="str">
            <v>PARAMETRO DE RESISTENCIA DEL SUELO MEDIANTE COMPRESION TRIAXIAL: COMPRESION TRIAXIAL ESTÁTICA CONSOLIDADA NO DRENADO UU (TRES PUNTOS)</v>
          </cell>
          <cell r="D1456" t="str">
            <v>UN</v>
          </cell>
          <cell r="E1456">
            <v>1200000</v>
          </cell>
        </row>
        <row r="1457">
          <cell r="B1457">
            <v>5339</v>
          </cell>
          <cell r="C1457" t="str">
            <v>REDUCCION CONCENTRICA HD 8"x4" (Suministro e Instalación)</v>
          </cell>
          <cell r="D1457" t="str">
            <v>UN</v>
          </cell>
          <cell r="E1457">
            <v>350571</v>
          </cell>
        </row>
        <row r="1458">
          <cell r="B1458">
            <v>5340</v>
          </cell>
          <cell r="C1458" t="str">
            <v>MALLA PUESTA A TIERRA SUBESTACIONES (INCLUYE SUMINISTRO E INSTALACION).</v>
          </cell>
          <cell r="D1458" t="str">
            <v>UN</v>
          </cell>
          <cell r="E1458">
            <v>1390780</v>
          </cell>
        </row>
        <row r="1459">
          <cell r="B1459">
            <v>5341</v>
          </cell>
          <cell r="C1459" t="str">
            <v>VARILLA COOPER WELD 5/8" x 2.44m. (INCLUYE SUMINISTRO E INSTALACION).</v>
          </cell>
          <cell r="D1459" t="str">
            <v>UN</v>
          </cell>
          <cell r="E1459">
            <v>387568</v>
          </cell>
        </row>
        <row r="1460">
          <cell r="B1460">
            <v>5342</v>
          </cell>
          <cell r="C1460" t="str">
            <v>MASCARILLA DE GIRO PARA SEMÁFORO DE 200mm. (INCLUYE SUMINISTRO E INSTALACION).</v>
          </cell>
          <cell r="D1460" t="str">
            <v>UN</v>
          </cell>
          <cell r="E1460">
            <v>101684</v>
          </cell>
        </row>
        <row r="1461">
          <cell r="B1461">
            <v>5343</v>
          </cell>
          <cell r="C1461" t="str">
            <v>MODULO ROJO PARA SEMÁFOROS DE 200mm (TIPO LED, SEMÁFORO TIPO MENSULA). SUMINISTRO E INSTALACION.</v>
          </cell>
          <cell r="D1461" t="str">
            <v>UN</v>
          </cell>
          <cell r="E1461">
            <v>622370</v>
          </cell>
        </row>
        <row r="1462">
          <cell r="B1462">
            <v>5344</v>
          </cell>
          <cell r="C1462" t="str">
            <v>GEOMALLA TENSAR BX 1200 PARA REFUERZO DE MATERIALES GRANULARES.  SUMINISTRO E INSTALACION.</v>
          </cell>
          <cell r="D1462" t="str">
            <v>M2</v>
          </cell>
          <cell r="E1462">
            <v>10315</v>
          </cell>
        </row>
        <row r="1463">
          <cell r="B1463">
            <v>5345</v>
          </cell>
          <cell r="C1463" t="str">
            <v>CAPAS GRANULARES DE SUBBASE CLASE A (SBG_A) PRODUCIDAS CON RCD. (suministro, extendido, nivelación, humedecimiento y compactación con vibrocompactador) IDU ET-400-11, Tráfico T4 - T5. Transporte petreos 28Km.</v>
          </cell>
          <cell r="D1463" t="str">
            <v>M3</v>
          </cell>
          <cell r="E1463">
            <v>137269</v>
          </cell>
        </row>
        <row r="1464">
          <cell r="B1464">
            <v>5346</v>
          </cell>
          <cell r="C1464" t="str">
            <v>CAPAS GRANULARES DE BASE CLASE A (BG_A) PRODUCIDAS CON RCD. (suministro, extendido, nivelación, humedecimiento y compactación con vibrocompactador) IDU ET-400-11, Tráfico T4 - T5. Transporte petreos 28Km.</v>
          </cell>
          <cell r="D1464" t="str">
            <v>M3</v>
          </cell>
          <cell r="E1464">
            <v>141873</v>
          </cell>
        </row>
        <row r="1465">
          <cell r="B1465">
            <v>5347</v>
          </cell>
          <cell r="C1465" t="str">
            <v>RECICLAJE DE PAVIMENTO ASFALTICO EN EL SITIO CON 3% DE EMULSION ASFALTICA, INCLUYE 0.5% DE CEMENTO PORTLAND. Transporte petreos 23 Km.</v>
          </cell>
          <cell r="D1465" t="str">
            <v>M3</v>
          </cell>
          <cell r="E1465">
            <v>171828</v>
          </cell>
        </row>
        <row r="1466">
          <cell r="B1466">
            <v>5348</v>
          </cell>
          <cell r="C1466" t="str">
            <v>RECICLAJE DE PAVIMENTO ASFALTICO EN EL SITIO CON 3% DE EMULSION ASFALTICA, INCLUYE 1.0% DE CEMENTO PORTLAND. Transporte petreos 23 Km.</v>
          </cell>
          <cell r="D1466" t="str">
            <v>M3</v>
          </cell>
          <cell r="E1466">
            <v>177303</v>
          </cell>
        </row>
        <row r="1467">
          <cell r="B1467">
            <v>5349</v>
          </cell>
          <cell r="C1467" t="str">
            <v>RECICLAJE DE PAVIMENTO ASFALTICO EN EL SITIO CON 3% DE EMULSION ASFALTICA, INCLUYE 1.5% DE CEMENTO PORTLAND. Transporte petreos 23 Km.</v>
          </cell>
          <cell r="D1467" t="str">
            <v>M3</v>
          </cell>
          <cell r="E1467">
            <v>182816</v>
          </cell>
        </row>
        <row r="1468">
          <cell r="B1468">
            <v>5350</v>
          </cell>
          <cell r="C1468" t="str">
            <v>RECICLAJE DE PAVIMENTO ASFALTICO EN EL SITIO CON 4% DE EMULSION ASFALTICA, INCLUYE 0.5% DE CEMENTO PORTLAND. Transporte petreos 23 Km.</v>
          </cell>
          <cell r="D1468" t="str">
            <v>M3</v>
          </cell>
          <cell r="E1468">
            <v>203501</v>
          </cell>
        </row>
        <row r="1469">
          <cell r="B1469">
            <v>5351</v>
          </cell>
          <cell r="C1469" t="str">
            <v>RECICLAJE DE PAVIMENTO ASFALTICO EN EL SITIO CON 4% DE EMULSION ASFALTICA, INCLUYE 1.0% DE CEMENTO PORTLAND. Transporte petreos 23 Km.</v>
          </cell>
          <cell r="D1469" t="str">
            <v>M3</v>
          </cell>
          <cell r="E1469">
            <v>209013</v>
          </cell>
        </row>
        <row r="1470">
          <cell r="B1470">
            <v>5352</v>
          </cell>
          <cell r="C1470" t="str">
            <v>RECICLAJE DE PAVIMENTO ASFALTICO EN EL SITIO CON 4% DE EMULSION ASFALTICA, INCLUYE 1.5% DE CEMENTO PORTLAND. Transporte petreos 23 Km.</v>
          </cell>
          <cell r="D1470" t="str">
            <v>M3</v>
          </cell>
          <cell r="E1470">
            <v>214526</v>
          </cell>
        </row>
        <row r="1471">
          <cell r="B1471">
            <v>5353</v>
          </cell>
          <cell r="C1471" t="str">
            <v>RECICLAJE DE PAVIMENTO ASFALTICO EN EL SITIO CON 5% DE EMULSION ASFALTICA, INCLUYE 0.5% DE CEMENTO PORTLAND. Transporte petreos 23 Km.</v>
          </cell>
          <cell r="D1471" t="str">
            <v>M3</v>
          </cell>
          <cell r="E1471">
            <v>235211</v>
          </cell>
        </row>
        <row r="1472">
          <cell r="B1472">
            <v>5354</v>
          </cell>
          <cell r="C1472" t="str">
            <v>RECICLAJE DE PAVIMENTO ASFALTICO EN EL SITIO CON 5% DE EMULSION ASFALTICA, INCLUYE 1.0% DE CEMENTO PORTLAND. Transporte petreos 23 Km.</v>
          </cell>
          <cell r="D1472" t="str">
            <v>M3</v>
          </cell>
          <cell r="E1472">
            <v>241259</v>
          </cell>
        </row>
        <row r="1473">
          <cell r="B1473">
            <v>5355</v>
          </cell>
          <cell r="C1473" t="str">
            <v>RECICLAJE DE PAVIMENTO ASFALTICO EN EL SITIO CON 5% DE EMULSION ASFALTICA, INCLUYE 1.5% DE CEMENTO PORTLAND. Transporte petreos 23 Km.</v>
          </cell>
          <cell r="D1473" t="str">
            <v>M3</v>
          </cell>
          <cell r="E1473">
            <v>246236</v>
          </cell>
        </row>
        <row r="1474">
          <cell r="B1474">
            <v>5356</v>
          </cell>
          <cell r="C1474" t="str">
            <v>RECICLAJE DE PAVIMENTO ASFALTICO EN EL SITIO CON 3% DE CEMENTO PORTLAND. Suministro, extendido, nivelacion, humedecimiento y compactacion con vibrocompactador. IDU ET-454-11, Tráfico T4 - T5. Transporte petreos 23 Km.</v>
          </cell>
          <cell r="D1474" t="str">
            <v>M3</v>
          </cell>
          <cell r="E1474">
            <v>103959</v>
          </cell>
        </row>
        <row r="1475">
          <cell r="B1475">
            <v>5357</v>
          </cell>
          <cell r="C1475" t="str">
            <v>RECICLAJE DE PAVIMENTO ASFALTICO EN EL SITIO CON 4% DE CEMENTO PORTLAND. Suministro, extendido, nivelacion, humedecimiento y compactacion con vibrocompactador. IDU ET-454-11, Tráfico T4 - T5. Transporte petreos 23 Km.</v>
          </cell>
          <cell r="D1475" t="str">
            <v>M3</v>
          </cell>
          <cell r="E1475">
            <v>117413</v>
          </cell>
        </row>
        <row r="1476">
          <cell r="B1476">
            <v>5358</v>
          </cell>
          <cell r="C1476" t="str">
            <v>RECICLAJE DE PAVIMENTO ASFALTICO EN EL SITIO CON 5% DE CEMENTO PORTLAND. Suministro, extendido, nivelacion, humedecimiento y compactacion con vibrocompactador. IDU ET-454-11, Tráfico T4 - T5. Transporte petreos 23 Km.</v>
          </cell>
          <cell r="D1476" t="str">
            <v>M3</v>
          </cell>
          <cell r="E1476">
            <v>126438</v>
          </cell>
        </row>
        <row r="1477">
          <cell r="B1477">
            <v>5359</v>
          </cell>
          <cell r="C1477" t="str">
            <v>RECICLAJE DE PAVIMENTO ASFALTICO EN EL SITIO CON 6% DE CEMENTO PORTLAND. Suministro, extendido, nivelacion, humedecimiento y compactacion con vibrocompactador. IDU ET-454-11, Tráfico T4 - T5. Transporte petreos 23 Km.</v>
          </cell>
          <cell r="D1477" t="str">
            <v>M3</v>
          </cell>
          <cell r="E1477">
            <v>137034</v>
          </cell>
        </row>
        <row r="1478">
          <cell r="B1478">
            <v>5360</v>
          </cell>
          <cell r="C1478" t="str">
            <v>ACOPIO Y TRASIEGO DE MATERIAL DE FRESADO EN EL SITIO DE ALMACENAMIENTO TRANSITORIO.</v>
          </cell>
          <cell r="D1478" t="str">
            <v>HR</v>
          </cell>
          <cell r="E1478">
            <v>134416</v>
          </cell>
        </row>
        <row r="1479">
          <cell r="B1479">
            <v>5361</v>
          </cell>
          <cell r="C1479" t="str">
            <v>CLASIFICACION DE MATERIAL DE FRESADO EN EL SITIO DE ALMACENAMIENTO TRANSITORIO PARA ACCIONES DE MOVILIDAD.</v>
          </cell>
          <cell r="D1479" t="str">
            <v>M3</v>
          </cell>
          <cell r="E1479">
            <v>10652</v>
          </cell>
        </row>
        <row r="1480">
          <cell r="B1480">
            <v>5362</v>
          </cell>
          <cell r="C1480" t="str">
            <v>FRESADO ESTABILIZADO AL 5% CON EMULSIÓN CRL-1 PARA ACCIÓN DE MOVILIDAD (INCLUYE MATERIAL PÉTREO DE ADICIÓN (Arena de rio) - distancia a 28 Km.</v>
          </cell>
          <cell r="D1480" t="str">
            <v>M3</v>
          </cell>
          <cell r="E1480">
            <v>202840</v>
          </cell>
        </row>
        <row r="1481">
          <cell r="B1481">
            <v>5363</v>
          </cell>
          <cell r="C1481" t="str">
            <v>FRESADO ESTABILIZADO AL 5% CON EMULSIÓN CRL-1 PARA ACCION DE MOVILIDAD (INCLUYE MATERIAL PETREO DE ADICION (Arena lavada) - distacio a 28 Km.</v>
          </cell>
          <cell r="D1481" t="str">
            <v>M3</v>
          </cell>
          <cell r="E1481">
            <v>208740</v>
          </cell>
        </row>
        <row r="1482">
          <cell r="B1482">
            <v>5364</v>
          </cell>
          <cell r="C1482" t="str">
            <v>FRESADO ESTABILIZADO AL 5% CON EMULSIÓN CRL-1 PARA ACCIÓN DE MOVILIDAD (INCLUYE MATERIAL PÉTREO DE ADICIÓN (Subbase granular Tipo A - SBG A)) - distancia a 28 Km.</v>
          </cell>
          <cell r="D1482" t="str">
            <v>M3</v>
          </cell>
          <cell r="E1482">
            <v>204575</v>
          </cell>
        </row>
        <row r="1483">
          <cell r="B1483">
            <v>5365</v>
          </cell>
          <cell r="C1483" t="str">
            <v>MALLA ESLABONADA CALIBRE 10.5   2" ALTURA MAYOR A 2.20m. SUMINISTRO E INSTALACION.</v>
          </cell>
          <cell r="D1483" t="str">
            <v>M2</v>
          </cell>
          <cell r="E1483">
            <v>25799</v>
          </cell>
        </row>
        <row r="1484">
          <cell r="B1484">
            <v>5366</v>
          </cell>
          <cell r="C1484" t="str">
            <v>POLISOMBRA VERDE PARA CERRAMIENTO. SUMINISTRO E INSTALACION.</v>
          </cell>
          <cell r="D1484" t="str">
            <v>M2</v>
          </cell>
          <cell r="E1484">
            <v>2686</v>
          </cell>
        </row>
        <row r="1485">
          <cell r="B1485">
            <v>5367</v>
          </cell>
          <cell r="C1485" t="str">
            <v xml:space="preserve">TAPON D= 2 1/2" PARA TUBERIA DE ACERO NEGRA, CALIBRE 40. SUMINISTRO E INSTALACION. </v>
          </cell>
          <cell r="D1485" t="str">
            <v>UN</v>
          </cell>
          <cell r="E1485">
            <v>9788</v>
          </cell>
        </row>
        <row r="1486">
          <cell r="B1486">
            <v>5368</v>
          </cell>
          <cell r="C1486" t="str">
            <v>TEJA DE ZINC. SUMINISTRO E INSTALACION. INCLUYE ESTRUCTURAS CUARTONES EN MADERA x 3.0m Y AMARRES.</v>
          </cell>
          <cell r="D1486" t="str">
            <v>M2</v>
          </cell>
          <cell r="E1486">
            <v>15511</v>
          </cell>
        </row>
        <row r="1487">
          <cell r="B1487">
            <v>5369</v>
          </cell>
          <cell r="C1487" t="str">
            <v>PINTURA ACEITE SOBRE LAMINA (INCLUYE ANTICORROSIVO). SUMINISTRO Y APLICACION.</v>
          </cell>
          <cell r="D1487" t="str">
            <v>UN</v>
          </cell>
          <cell r="E1487">
            <v>2256</v>
          </cell>
        </row>
        <row r="1488">
          <cell r="B1488">
            <v>5370</v>
          </cell>
          <cell r="C1488" t="str">
            <v>PINTURA VINILO TIPO 1 (2 MANOS).</v>
          </cell>
          <cell r="D1488" t="str">
            <v>M2</v>
          </cell>
          <cell r="E1488">
            <v>7015</v>
          </cell>
        </row>
        <row r="1489">
          <cell r="B1489">
            <v>5371</v>
          </cell>
          <cell r="C1489" t="str">
            <v>MURO EN LADRILLO TOLETE COMUN.</v>
          </cell>
          <cell r="D1489" t="str">
            <v>M2</v>
          </cell>
          <cell r="E1489">
            <v>42317</v>
          </cell>
        </row>
        <row r="1490">
          <cell r="B1490">
            <v>5372</v>
          </cell>
          <cell r="C1490" t="str">
            <v>TANQUE DE AGUA DE 500 LT. SUMINISTRO E INSTALACION.</v>
          </cell>
          <cell r="D1490" t="str">
            <v>UN</v>
          </cell>
          <cell r="E1490">
            <v>174943</v>
          </cell>
        </row>
        <row r="1491">
          <cell r="B1491">
            <v>5373</v>
          </cell>
          <cell r="C1491" t="str">
            <v>ZARANDA DE 6x3 PARA CLASIFICACIÓN MATERIAL. SUMINISTRO E INSTALACIÓN.</v>
          </cell>
          <cell r="D1491" t="str">
            <v>UN</v>
          </cell>
          <cell r="E1491">
            <v>25412503</v>
          </cell>
        </row>
        <row r="1492">
          <cell r="B1492">
            <v>5374</v>
          </cell>
          <cell r="C1492" t="str">
            <v>PARCHEO CON PAVIMENTO ASFALTICO RECICLADO ESTABILIZADO AL 5% CON EMULSION CRL-1 PARA ACCION DE MOVILIDAD. Sin corte ni demolición EXTENDIDO MANUAL. HASTA 28Km. HORARIO DIURNO.</v>
          </cell>
          <cell r="D1492" t="str">
            <v>M3</v>
          </cell>
          <cell r="E1492">
            <v>171641</v>
          </cell>
        </row>
        <row r="1493">
          <cell r="B1493">
            <v>5375</v>
          </cell>
          <cell r="C1493" t="str">
            <v>PARCHEO CON PAVIMENTO ASFALTICO RECICLADO ESTABILIZADO AL 5% CON EMULSION CRL-1 PARA ACCION DE MOVILIDAD. Sin corte ni demolición. EXTENDIDO MANUAL. HASTA 28Km. HORARIO NOCTURNO.</v>
          </cell>
          <cell r="D1493" t="str">
            <v>M3</v>
          </cell>
          <cell r="E1493">
            <v>199801</v>
          </cell>
        </row>
        <row r="1494">
          <cell r="B1494">
            <v>5376</v>
          </cell>
          <cell r="C1494" t="str">
            <v>CUADRILLA (OFICIAL + 4 AYUDANTES) HORARIO NOCTURNO</v>
          </cell>
          <cell r="D1494" t="str">
            <v>JR</v>
          </cell>
          <cell r="E1494">
            <v>333687</v>
          </cell>
        </row>
        <row r="1495">
          <cell r="B1495">
            <v>5377</v>
          </cell>
          <cell r="C1495" t="str">
            <v>PARCHEO CON FRESADO ESTABILIZADO AL 5% CON EMULSION CRL-1 PARA ACCION DE MOVILIDAD. EXTENDIDO MANUAL. Incluye corte, demolición. HASTA 28Km. HORARIO DIURNO.</v>
          </cell>
          <cell r="D1495" t="str">
            <v>M3</v>
          </cell>
          <cell r="E1495">
            <v>233070</v>
          </cell>
        </row>
        <row r="1496">
          <cell r="B1496">
            <v>5378</v>
          </cell>
          <cell r="C1496" t="str">
            <v>PARCHEO CON FRESADO ESTABILIZADO AL 5% CON EMULSION CRL-1 PARA ACCION DE MOVILIDAD. EXTENDIDO MANUAL. Incluye corte, demolición. HASTA 28Km. HORARIO NOCTURNO.</v>
          </cell>
          <cell r="D1496" t="str">
            <v>M3</v>
          </cell>
          <cell r="E1496">
            <v>248183</v>
          </cell>
        </row>
        <row r="1497">
          <cell r="B1497">
            <v>5380</v>
          </cell>
          <cell r="C1497" t="str">
            <v>TRANSPORTE DE MATERIAL PROVENIENTE DE SITIO DE OBRA AL SITIO DISPUESTO PARA MEZCLAS, ESTABILIZAR O DEJAR EN PATIOS DE ACOPIO DEL IDU, EN DISTANCIA HASTA 21 Km.</v>
          </cell>
          <cell r="D1497" t="str">
            <v>M3</v>
          </cell>
          <cell r="E1497">
            <v>24397</v>
          </cell>
        </row>
        <row r="1498">
          <cell r="B1498">
            <v>5381</v>
          </cell>
          <cell r="C1498" t="str">
            <v>CONSTRUCCIÓN DE CICLORUTA, INCLUYE OBRAS CIVILES, DEMARCACIÓN, SEÑALIZAN VERTICAL (Calculado para un tramo representativo de 100 mt.)</v>
          </cell>
          <cell r="D1498" t="str">
            <v>M</v>
          </cell>
          <cell r="E1498">
            <v>327833</v>
          </cell>
        </row>
        <row r="1499">
          <cell r="B1499">
            <v>5382</v>
          </cell>
          <cell r="C1499" t="str">
            <v>BICICARRIL BIDIRECCIONAL SEGREGADA (Incluye demarcación y elementos canalizadores) (Calculado para un tramo representativo de 100 mt.)</v>
          </cell>
          <cell r="D1499" t="str">
            <v>M</v>
          </cell>
          <cell r="E1499">
            <v>63473</v>
          </cell>
        </row>
        <row r="1500">
          <cell r="B1500">
            <v>5383</v>
          </cell>
          <cell r="C1500" t="str">
            <v>BICICARRIL UNIDIRECCIONAL (Incluye demarcación) (Calculado para un tramo representativo de 100 mt.)</v>
          </cell>
          <cell r="D1500" t="str">
            <v>M</v>
          </cell>
          <cell r="E1500">
            <v>5649</v>
          </cell>
        </row>
        <row r="1501">
          <cell r="B1501">
            <v>5384</v>
          </cell>
          <cell r="C1501" t="str">
            <v>INTERSECCIÓN PARA BICICARRIL BIDIRECCIONAL(Incluye demarcación, señalización vertical, elementos canalizadores) (Calculado incluyendo un tramo de 10 mt. antes y después de la intersección)</v>
          </cell>
          <cell r="D1501" t="str">
            <v>UN</v>
          </cell>
          <cell r="E1501">
            <v>9072159</v>
          </cell>
        </row>
        <row r="1502">
          <cell r="B1502">
            <v>5385</v>
          </cell>
          <cell r="C1502" t="str">
            <v>INTERSECCION PARA BICICARRIL UNIDIRECCIONAL, INCLUYE DEMARCACION, SEÑALIZACION VERTICAL, ELEMENTOS CANALIZADORES (Calculado incluyendo un tramo de 10 mt. antes y despues de la intersección)</v>
          </cell>
          <cell r="D1502" t="str">
            <v>UN</v>
          </cell>
          <cell r="E1502">
            <v>6641623</v>
          </cell>
        </row>
        <row r="1503">
          <cell r="B1503">
            <v>5387</v>
          </cell>
          <cell r="C1503" t="str">
            <v>REUBICACION DE POSTE TIPO MASTIL (Incluye desmonte).</v>
          </cell>
          <cell r="D1503" t="str">
            <v>UN</v>
          </cell>
          <cell r="E1503">
            <v>306641</v>
          </cell>
        </row>
        <row r="1504">
          <cell r="B1504">
            <v>5388</v>
          </cell>
          <cell r="C1504" t="str">
            <v>BASE PARA POSTE METALICO DE 0.80m x 0.80m H= 0.80m. EN CONCRETO PREMEZCLADO DE 3000 PSI (210 Kg/Cm2). CONSTRUCCION. INCLUYE ESTRUCTURA DE REFUERZO Y SBG_A.</v>
          </cell>
          <cell r="D1504" t="str">
            <v>UN</v>
          </cell>
          <cell r="E1504">
            <v>535028</v>
          </cell>
        </row>
        <row r="1505">
          <cell r="B1505">
            <v>5391</v>
          </cell>
          <cell r="C1505" t="str">
            <v>CUADRILLA (4 AYUDANTES)</v>
          </cell>
          <cell r="D1505" t="str">
            <v>HR</v>
          </cell>
          <cell r="E1505">
            <v>22719</v>
          </cell>
        </row>
        <row r="1506">
          <cell r="B1506">
            <v>5392</v>
          </cell>
          <cell r="C1506" t="str">
            <v>CUADRILLA (4 AYUDANTES)</v>
          </cell>
          <cell r="D1506" t="str">
            <v>JR</v>
          </cell>
          <cell r="E1506">
            <v>181755</v>
          </cell>
        </row>
        <row r="1507">
          <cell r="B1507">
            <v>5394</v>
          </cell>
          <cell r="C1507" t="str">
            <v>MANEJO DE AGUAS PARA TRABAJOS SOBRE CANAL. ALTURA DE LA BARRERA 1.50m (INCLUYE EQUIPO, SUMINISTRO Y MANO DE OBRA.</v>
          </cell>
          <cell r="D1507" t="str">
            <v>M</v>
          </cell>
          <cell r="E1507">
            <v>163972</v>
          </cell>
        </row>
        <row r="1508">
          <cell r="B1508">
            <v>5395</v>
          </cell>
          <cell r="C1508" t="str">
            <v>BARANDAS. DESMONTE E INSTALACION. INCLUYE ACOPIO EN EL FRENTE DE OBRA. (NO INCLUYE TRASLADO DEL MATERIAL SOBRANTE, NI RETIRO DE ESCOMBROS).</v>
          </cell>
          <cell r="D1508" t="str">
            <v>M</v>
          </cell>
          <cell r="E1508">
            <v>27736</v>
          </cell>
        </row>
        <row r="1509">
          <cell r="B1509">
            <v>5396</v>
          </cell>
          <cell r="C1509" t="str">
            <v>CONCRETO IMPERMEABILIZADO DE 3000 PSI PARA BOX CULVERT (PREMEZCLADO. INCLUYE SUMINISTRO, FORMALETEO Y COLOCACION. NO INCLUYE REFUERZO, CURADO).</v>
          </cell>
          <cell r="D1509" t="str">
            <v>M3</v>
          </cell>
          <cell r="E1509">
            <v>699146</v>
          </cell>
        </row>
        <row r="1510">
          <cell r="B1510">
            <v>5397</v>
          </cell>
          <cell r="C1510" t="str">
            <v>DEMARCACION LINEA DE CANALIZACION BICICARRIL A= 0.25m EN PINTURA TERMOPLASTICA (INCLUYE SUMINISTRO Y APLICACION CON EQUIPO. INCLUYE MICROESFERA)</v>
          </cell>
          <cell r="D1510" t="str">
            <v>M</v>
          </cell>
          <cell r="E1510">
            <v>27370</v>
          </cell>
        </row>
        <row r="1511">
          <cell r="B1511">
            <v>5398</v>
          </cell>
          <cell r="C1511" t="str">
            <v>9 DUCTOS D= 4" SUSPENDIDOS EN PUENTES NORMA CS218. SUMINISTRO E INSTALACION.</v>
          </cell>
          <cell r="D1511" t="str">
            <v>M</v>
          </cell>
          <cell r="E1511">
            <v>862914</v>
          </cell>
        </row>
        <row r="1512">
          <cell r="B1512">
            <v>5404</v>
          </cell>
          <cell r="C1512" t="str">
            <v>CANASTILLA PASAJUNTAS (Incluye suministro y fijación)</v>
          </cell>
          <cell r="D1512" t="str">
            <v>KG</v>
          </cell>
          <cell r="E1512">
            <v>4280</v>
          </cell>
        </row>
        <row r="1513">
          <cell r="B1513">
            <v>5409</v>
          </cell>
          <cell r="C1513" t="str">
            <v>FLECHA DIRECCIONAL "FRENTE, DERECHA E IZQUIERDA" PARA PAVIMENTO FLEXIBLE (e= 15 mils. ACRILICA BASE AGUA. INCLUYE SUMINISTRO Y APLICACIÓN CON EQUIPO. INCLUYE MICROESFERAS.</v>
          </cell>
          <cell r="D1513" t="str">
            <v>UN</v>
          </cell>
          <cell r="E1513">
            <v>351431</v>
          </cell>
        </row>
        <row r="1514">
          <cell r="B1514">
            <v>5412</v>
          </cell>
          <cell r="C1514" t="str">
            <v>RELLENO EN TRITURADO DE 3/4`` (INCLUYE TRANSPORTE, SUMINISTRO, EXTENDIDO MANUAL Y COLOCACIÓN)</v>
          </cell>
          <cell r="D1514" t="str">
            <v>M3</v>
          </cell>
          <cell r="E1514">
            <v>87686</v>
          </cell>
        </row>
        <row r="1515">
          <cell r="B1515">
            <v>5413</v>
          </cell>
          <cell r="C1515" t="str">
            <v>EXCAVACIÓN MANUAL DE DADOS Y COLUMNAS DE APOYO. INCLUYE MOTOBOMBA SUMERGIBLE Ø 2" O 3" - INCLUYE COMBUSTIBLE</v>
          </cell>
          <cell r="D1515" t="str">
            <v>M3</v>
          </cell>
          <cell r="E1515">
            <v>59746</v>
          </cell>
        </row>
        <row r="1516">
          <cell r="B1516">
            <v>5415</v>
          </cell>
          <cell r="C1516" t="str">
            <v>RELLENO EN ARENA DE PEÑA (INCLUYE TRANSPORTE, SUMINISTRO, EXTENDIDO MANUAL Y COMPACTACIÓN).</v>
          </cell>
          <cell r="D1516" t="str">
            <v>M3</v>
          </cell>
          <cell r="E1516">
            <v>63014</v>
          </cell>
        </row>
        <row r="1517">
          <cell r="B1517">
            <v>5416</v>
          </cell>
          <cell r="C1517" t="str">
            <v>EXCAVACIÓN MECÁNICA PARA DADOS (NIVEL DE FUNCIONAMIENTO. INCLUYE CARGUE).</v>
          </cell>
          <cell r="D1517" t="str">
            <v>M3</v>
          </cell>
          <cell r="E1517">
            <v>39264</v>
          </cell>
        </row>
        <row r="1518">
          <cell r="B1518">
            <v>5418</v>
          </cell>
          <cell r="C1518" t="str">
            <v>EXCAVACIÓN MECÁNICA EN TÚNEL.</v>
          </cell>
          <cell r="D1518" t="str">
            <v>M3</v>
          </cell>
          <cell r="E1518">
            <v>51734</v>
          </cell>
        </row>
        <row r="1519">
          <cell r="B1519">
            <v>5421</v>
          </cell>
          <cell r="C1519" t="str">
            <v>CONCRETO 4000 PSI PARA MURO ESTRUCTURAL (Premezclado. Incl. Sumin, Formaleteo, bombeo y Colocación. No incl. Refuerzo, Curado).</v>
          </cell>
          <cell r="D1519" t="str">
            <v>M3</v>
          </cell>
          <cell r="E1519">
            <v>655614</v>
          </cell>
        </row>
        <row r="1520">
          <cell r="B1520">
            <v>5422</v>
          </cell>
          <cell r="C1520" t="str">
            <v>CONCRETO 4000 PSI PARA MURO DE CONTENCIÓN (Premezclado. Incl. Sumin, Formaleteo y Colocación. No incl. Refuerzo, Curado). Para trabajos en altura mayores a 1.50m.</v>
          </cell>
          <cell r="D1520" t="str">
            <v>M3</v>
          </cell>
          <cell r="E1520">
            <v>712267</v>
          </cell>
        </row>
        <row r="1521">
          <cell r="B1521">
            <v>5426</v>
          </cell>
          <cell r="C1521" t="str">
            <v>CONCRETO 4000 PSI PARA RAMPAS Y ESCALERAS (PREMEZCLADO. INCL. SUMINISTRO, FORMALETEO Y COLOCACIÓN. NO INCL. REFUERZO, CURADO).</v>
          </cell>
          <cell r="D1521" t="str">
            <v>M3</v>
          </cell>
          <cell r="E1521">
            <v>579149</v>
          </cell>
        </row>
        <row r="1522">
          <cell r="B1522">
            <v>5428</v>
          </cell>
          <cell r="C1522" t="str">
            <v>CONCRETO 4000 PSI PARA BOX CULVERT (PREMEZCLADO. INCLUYE SUMIN., FORMALETEO Y COLOCACIÓN. NO INCL. REFUERZO, CURADO).</v>
          </cell>
          <cell r="D1522" t="str">
            <v>M3</v>
          </cell>
          <cell r="E1522">
            <v>660970</v>
          </cell>
        </row>
        <row r="1523">
          <cell r="B1523">
            <v>5430</v>
          </cell>
          <cell r="C1523" t="str">
            <v>GEOMEMBRANA LISA HDPE 30 mils. (SUMINISTRO E INSTALACIÓN).</v>
          </cell>
          <cell r="D1523" t="str">
            <v>M2</v>
          </cell>
          <cell r="E1523">
            <v>22074</v>
          </cell>
        </row>
        <row r="1524">
          <cell r="B1524">
            <v>5431</v>
          </cell>
          <cell r="C1524" t="str">
            <v>DINTEL EN CONCRETO DE 3000 PSI 10cm X 10cm (SUMINISTRO E INSTALACIÓN).</v>
          </cell>
          <cell r="D1524" t="str">
            <v>M</v>
          </cell>
          <cell r="E1524">
            <v>44484</v>
          </cell>
        </row>
        <row r="1525">
          <cell r="B1525">
            <v>5432</v>
          </cell>
          <cell r="C1525" t="str">
            <v>TALÓN EN CONCRETO DE 3000 PSI (SUMINISTRO E INSTALACIÓN).</v>
          </cell>
          <cell r="D1525" t="str">
            <v>M</v>
          </cell>
          <cell r="E1525">
            <v>50041</v>
          </cell>
        </row>
        <row r="1526">
          <cell r="B1526">
            <v>5433</v>
          </cell>
          <cell r="C1526" t="str">
            <v>SILLA EN CONCRETO DE 3000 PSI 10cm X 15cm (SUMINISTRO E INSTALACIÓN).</v>
          </cell>
          <cell r="D1526" t="str">
            <v>M</v>
          </cell>
          <cell r="E1526">
            <v>46423</v>
          </cell>
        </row>
        <row r="1527">
          <cell r="B1527">
            <v>5442</v>
          </cell>
          <cell r="C1527" t="str">
            <v>MAMPOSTERIA EN BLOQUE DE CONCRETO 15X20X40 DE DOS PERFORACIONES TIPO INDURAL O SIMILAR, ACABADO DOBLE CARA (COLOR A DEFINIR SEGÚN MUESTRA) INCLUYE MORTERO 1:4 HECHO EN OBRA.</v>
          </cell>
          <cell r="D1527" t="str">
            <v>M2</v>
          </cell>
          <cell r="E1527">
            <v>77296</v>
          </cell>
        </row>
        <row r="1528">
          <cell r="B1528">
            <v>5443</v>
          </cell>
          <cell r="C1528" t="str">
            <v>SOBRECIMIENTO EN BLOQUE DE 20cm (2 HILADAS) INCLUYE MORTERO DE PEGA 1:4 HECHO EN OBRA.</v>
          </cell>
          <cell r="D1528" t="str">
            <v>M</v>
          </cell>
          <cell r="E1528">
            <v>30426</v>
          </cell>
        </row>
        <row r="1529">
          <cell r="B1529">
            <v>5452</v>
          </cell>
          <cell r="C1529" t="str">
            <v>PISO EN CONCRETO 3000 PSI PREMEZCLADO, ENDURECIDO Y ESMALTADO MAS VARILLAS EN ALUMINIO O PLÁSTICAS DE DILATACIÓN COLOR GRIS CADA 1,00m EN DOS DIRECCIONES. (SUMINISTRO E INSTALACION. NO INCL CURADO.</v>
          </cell>
          <cell r="D1529" t="str">
            <v>M2</v>
          </cell>
          <cell r="E1529">
            <v>56263</v>
          </cell>
        </row>
        <row r="1530">
          <cell r="B1530">
            <v>5455</v>
          </cell>
          <cell r="C1530" t="str">
            <v>PISO EN GRANITO ESMERILADO, VACIADO Y PULIDO EN SITIO e=1.5cm. INCLUYE JUNTAS DE DILATACIÓN RADIALES Y VACIADOS TRAPEZOIDALMENTE. COLOR Y DIMENSIONES ACORDE CON LOS PLANOS Y ESPECIFICACIONES TÉCNICAS.</v>
          </cell>
          <cell r="D1530" t="str">
            <v>M2</v>
          </cell>
          <cell r="E1530">
            <v>143360</v>
          </cell>
        </row>
        <row r="1531">
          <cell r="B1531">
            <v>5456</v>
          </cell>
          <cell r="C1531" t="str">
            <v>BOCAPUERTA EN GRANITO VACIADO. ANCHO 15 cm. (SUMINISTRO E INSTALACIÓN) INCLUYE MORTERO DE PEGA 1:2 HECHO EN OBRA.</v>
          </cell>
          <cell r="D1531" t="str">
            <v>M</v>
          </cell>
          <cell r="E1531">
            <v>33938</v>
          </cell>
        </row>
        <row r="1532">
          <cell r="B1532">
            <v>5459</v>
          </cell>
          <cell r="C1532" t="str">
            <v>PELDAÑO EN GRANITO PULIDO. (SUMINISTRO E INSTALACIÓN. INCLUYE VARILLA DE ALUMINIO PARA DILATACION).</v>
          </cell>
          <cell r="D1532" t="str">
            <v>M2</v>
          </cell>
          <cell r="E1532">
            <v>66328</v>
          </cell>
        </row>
        <row r="1533">
          <cell r="B1533">
            <v>5461</v>
          </cell>
          <cell r="C1533" t="str">
            <v>TUBERIA PVC SANITARIA D=3`` TIPO U.S. (INCLUYE SUMINISTRO E INSTALACIÓN).</v>
          </cell>
          <cell r="D1533" t="str">
            <v>M</v>
          </cell>
          <cell r="E1533">
            <v>18328</v>
          </cell>
        </row>
        <row r="1534">
          <cell r="B1534">
            <v>5462</v>
          </cell>
          <cell r="C1534" t="str">
            <v>SALIDA SANITARIA D=2``. (SUMINISTRO E INSTALACIÓN. INCLUYE TUBERÍA DE HASTA 3.0m DE LONGITUD Y ACCESORIOS DESDE EL RAMAL PRINCIPAL QUE RECIBE, HASTA LA BOCA PARA CONEXIÓN).</v>
          </cell>
          <cell r="D1534" t="str">
            <v>UN</v>
          </cell>
          <cell r="E1534">
            <v>96471</v>
          </cell>
        </row>
        <row r="1535">
          <cell r="B1535">
            <v>5463</v>
          </cell>
          <cell r="C1535" t="str">
            <v>SALIDA SANITARIA D=4``. (SUMINISTRO E INSTALACIÓN. INCLUYE TUBERÍA DE HASTA 3.0m DE LONGITUD Y ACCESORIOS DESDE EL RAMAL PRINCIPAL QUE RECIBE, HASTA LA BOCA PARA CONEXIÓN).</v>
          </cell>
          <cell r="D1535" t="str">
            <v>UN</v>
          </cell>
          <cell r="E1535">
            <v>142320</v>
          </cell>
        </row>
        <row r="1536">
          <cell r="B1536">
            <v>5466</v>
          </cell>
          <cell r="C1536" t="str">
            <v>TUBERIA PVC SANITARIA D=1 1/2`` TIPO U.S. (INCLUYE SUMINISTRO E INSTALACIÓN)</v>
          </cell>
          <cell r="D1536" t="str">
            <v>M</v>
          </cell>
          <cell r="E1536">
            <v>10942</v>
          </cell>
        </row>
        <row r="1537">
          <cell r="B1537">
            <v>5467</v>
          </cell>
          <cell r="C1537" t="str">
            <v>TUBERIA PVC SANITARIA D=8`` TIPO U.S. (INCLUYE SUMINISTRO E INSTALACIÓN).</v>
          </cell>
          <cell r="D1537" t="str">
            <v>M</v>
          </cell>
          <cell r="E1537">
            <v>83445</v>
          </cell>
        </row>
        <row r="1538">
          <cell r="B1538">
            <v>5469</v>
          </cell>
          <cell r="C1538" t="str">
            <v>TUBERIA PVC VENTILACIÓN D=3`` TIPO U.S. (INCLUYE SUMINISTRO E INSTALACIÓN).</v>
          </cell>
          <cell r="D1538" t="str">
            <v>M</v>
          </cell>
          <cell r="E1538">
            <v>11226</v>
          </cell>
        </row>
        <row r="1539">
          <cell r="B1539">
            <v>5471</v>
          </cell>
          <cell r="C1539" t="str">
            <v>TUBERÍA PVC D=1" TIPO U.M. RDE 21 (SUMINISTRO E INSTALACIÓN).</v>
          </cell>
          <cell r="D1539" t="str">
            <v>M</v>
          </cell>
          <cell r="E1539">
            <v>6300</v>
          </cell>
        </row>
        <row r="1540">
          <cell r="B1540">
            <v>5472</v>
          </cell>
          <cell r="C1540" t="str">
            <v>TUBERIA PVC E.L. D= 1/2`` RDE 13.5 - 315 PSI (INCLUYE SUMINISTRO E INSTALACIÓN, SOLDADURA).</v>
          </cell>
          <cell r="D1540" t="str">
            <v>M</v>
          </cell>
          <cell r="E1540">
            <v>4854</v>
          </cell>
        </row>
        <row r="1541">
          <cell r="B1541">
            <v>5494</v>
          </cell>
          <cell r="C1541" t="str">
            <v>LAVAMANOS INSTITUCIONAL DE EMPOTRAR. (SUMINISTRO E INSTALACIÓN. INCLUYE GRIFERÍA TIPO PUSH O SIMILAR Y TUBERÍA DE CONEXIÓN).</v>
          </cell>
          <cell r="D1541" t="str">
            <v>UN</v>
          </cell>
          <cell r="E1541">
            <v>375754</v>
          </cell>
        </row>
        <row r="1542">
          <cell r="B1542">
            <v>5501</v>
          </cell>
          <cell r="C1542" t="str">
            <v>LAVAMANOS CERÁMICO DE SOBREPONER (SUMINISTRO E INSTALACIÓN. INCLUYE GRIFERÍA TIPO PUSH ANTIVANDÁLICO).</v>
          </cell>
          <cell r="D1542" t="str">
            <v>UN</v>
          </cell>
          <cell r="E1542">
            <v>324702</v>
          </cell>
        </row>
        <row r="1543">
          <cell r="B1543">
            <v>5502</v>
          </cell>
          <cell r="C1543" t="str">
            <v>LAVAMANOS DE COLGAR PARA PERSONAS EN CONDICIÓN DE MOVILIDAD REDUCIDA. (SUMINISTRO E INSTALACIÓN. INCLUYE GRIFERÍA TIPO PUSH ANTIVANDÁLICO).</v>
          </cell>
          <cell r="D1543" t="str">
            <v>UN</v>
          </cell>
          <cell r="E1543">
            <v>360713</v>
          </cell>
        </row>
        <row r="1544">
          <cell r="B1544">
            <v>5523</v>
          </cell>
          <cell r="C1544" t="str">
            <v>TOMACORRIENTES CON CONEXIÓN A TIERRA, MONOFÁSICO DOBLE, 15 A, 125 VC.A. (LÍNEA NEMA 5), PARA TRABAJO PESADO. (INCLUYE INSTALACIÓN, CAJA DE SALIDA, ELEMENTOS DE CONEXIÓN, DE EMPALME Y DE MONTAJE).</v>
          </cell>
          <cell r="D1544" t="str">
            <v>UN</v>
          </cell>
          <cell r="E1544">
            <v>15552</v>
          </cell>
        </row>
        <row r="1545">
          <cell r="B1545">
            <v>5524</v>
          </cell>
          <cell r="C1545" t="str">
            <v>TOMACORRIENTES CON PROTECCIÓN DE FALLA A TIERRA (GFCI), MONOFÁSICO DOBLE, 20 A, 125 VC.A. (LÍNEA NEMA 5), PARA TRABAJO LIVIANO. (INCLUYE INSTALACIÓN, CAJA DE SALIDA, ELEMENTOS DE CONEXIÓN, DE EMPALME Y DE MONTAJE).</v>
          </cell>
          <cell r="D1545" t="str">
            <v>UN</v>
          </cell>
          <cell r="E1545">
            <v>38783</v>
          </cell>
        </row>
        <row r="1546">
          <cell r="B1546">
            <v>5525</v>
          </cell>
          <cell r="C1546" t="str">
            <v>TOMACORRIENTES CON CONEXIÓN A TIERRA, BIFÁSICOS, DOS POLOS, 3 HILOS, 20 A, 250 VC.A., (LÍNEA NEMA 6), PARA TRABAJO PESADO.  (INCLUYE INSTALACIÓN, CAJA DE SALIDA, ELEMENTOS DE CONEXIÓN, DE EMPALME Y DE MONTAJE).</v>
          </cell>
          <cell r="D1546" t="str">
            <v>UN</v>
          </cell>
          <cell r="E1546">
            <v>44049</v>
          </cell>
        </row>
        <row r="1547">
          <cell r="B1547">
            <v>5527</v>
          </cell>
          <cell r="C1547" t="str">
            <v>TUBERÍA DE ACERO GALVANIZADO, LIVIANA TIPO EMT, D=1". (SUMINISTRO E INSTALACIÓN).</v>
          </cell>
          <cell r="D1547" t="str">
            <v>M</v>
          </cell>
          <cell r="E1547">
            <v>13341</v>
          </cell>
        </row>
        <row r="1548">
          <cell r="B1548">
            <v>5528</v>
          </cell>
          <cell r="C1548" t="str">
            <v>TUBERÍA DE ACERO GALVANIZADO, LIVIANA TIPO EMT, D=3/4". (SUMINISTRO E INSTALACIÓN).</v>
          </cell>
          <cell r="D1548" t="str">
            <v>M</v>
          </cell>
          <cell r="E1548">
            <v>9664</v>
          </cell>
        </row>
        <row r="1549">
          <cell r="B1549">
            <v>5535</v>
          </cell>
          <cell r="C1549" t="str">
            <v>CUADRILLA (2 OFICIALES)</v>
          </cell>
          <cell r="D1549" t="str">
            <v>JR</v>
          </cell>
          <cell r="E1549">
            <v>130942</v>
          </cell>
        </row>
        <row r="1550">
          <cell r="B1550">
            <v>5536</v>
          </cell>
          <cell r="C1550" t="str">
            <v>CUADRILLA (2 OFICIALES)</v>
          </cell>
          <cell r="D1550" t="str">
            <v>HR</v>
          </cell>
          <cell r="E1550">
            <v>16355</v>
          </cell>
        </row>
        <row r="1551">
          <cell r="B1551">
            <v>5540</v>
          </cell>
          <cell r="C1551" t="str">
            <v xml:space="preserve">CONDUCTORES MONOPOLARES DE COBRE, AISLADOS PARA 600 V C.A.,  CALIBRE NO 12 AWG.  (Incluye suministro e instalación). </v>
          </cell>
          <cell r="D1551" t="str">
            <v>M</v>
          </cell>
          <cell r="E1551">
            <v>1713</v>
          </cell>
        </row>
        <row r="1552">
          <cell r="B1552">
            <v>5541</v>
          </cell>
          <cell r="C1552" t="str">
            <v>CONDUCTORES MONOPOLARES DE COBRE, AISLADOS PARA 600 V C.A.,  CALIBRE NO 10 AWG.  (Incluye suministro e instalación).</v>
          </cell>
          <cell r="D1552" t="str">
            <v>M</v>
          </cell>
          <cell r="E1552">
            <v>2470</v>
          </cell>
        </row>
        <row r="1553">
          <cell r="B1553">
            <v>5542</v>
          </cell>
          <cell r="C1553" t="str">
            <v>CONDUCTORES MONOPOLARES DE COBRE, AISLADOS PARA 600 V C.A.,  CALIBRE NO 8 AWG.  (Incluye suministro e instalación).</v>
          </cell>
          <cell r="D1553" t="str">
            <v>M</v>
          </cell>
          <cell r="E1553">
            <v>3321</v>
          </cell>
        </row>
        <row r="1554">
          <cell r="B1554">
            <v>5543</v>
          </cell>
          <cell r="C1554" t="str">
            <v>CONDUCTORES MONOPOLARES DE COBRE, AISLADOS PARA 600 V C.A.,  CALIBRE NO 6 AWG.  (Incluye suministro e instalación).</v>
          </cell>
          <cell r="D1554" t="str">
            <v>M</v>
          </cell>
          <cell r="E1554">
            <v>4801</v>
          </cell>
        </row>
        <row r="1555">
          <cell r="B1555">
            <v>5545</v>
          </cell>
          <cell r="C1555" t="str">
            <v>ACOMETIDA EN CONDUCTORES DE COBRE, (4NO. 4 + 1NO. 8)  AWG, AISLADOS PARA 600 V C.A. INCLUYE CONDUCTORES, CONEXIONES,  ACCESORIOS DE MONTAJE, ELEMENTOS DE CONEXIÓN Y DE MARCACIÓN.(Incluye suministro e instalación).</v>
          </cell>
          <cell r="D1555" t="str">
            <v>M</v>
          </cell>
          <cell r="E1555">
            <v>34423</v>
          </cell>
        </row>
        <row r="1556">
          <cell r="B1556">
            <v>5546</v>
          </cell>
          <cell r="C1556" t="str">
            <v>ACOMETIDA EN CONDUCTORES DE COBRE, (4NO. 2 + 1NO. 4)  AWG, AISLADOS PARA 600 V C.A. INCLUYE CONDUCTORES, CONEXIONES,  ACCESORIOS DE MONTAJE, ELEMENTOS DE CONEXIÓN Y DE MARCACIÓN.(Incluye suministro e instalación).</v>
          </cell>
          <cell r="D1556" t="str">
            <v>M</v>
          </cell>
          <cell r="E1556">
            <v>50269</v>
          </cell>
        </row>
        <row r="1557">
          <cell r="B1557">
            <v>5547</v>
          </cell>
          <cell r="C1557" t="str">
            <v>ACOMETIDA A TABLERO TATR, EN CONDUCTORES DE COBRE, (4NO.4 + 1NO. 8)  AWG, AISLADOS PARA 600 V C.A. INCL CONDUCTORES, CONEXIONES,  ACCESORIOS DE MONTAJE, ELEMENTOS DE CONEXIÓN Y MARCACIÓN.(Incl suministro e instalación).</v>
          </cell>
          <cell r="D1557" t="str">
            <v>M</v>
          </cell>
          <cell r="E1557">
            <v>33627</v>
          </cell>
        </row>
        <row r="1558">
          <cell r="B1558">
            <v>5548</v>
          </cell>
          <cell r="C1558" t="str">
            <v>ALIMENTACIÓN EN CONDUCTORES DE COBRE, (3NO. 8 + 1NO. 10) AWG, AISLADOS PARA 600 V C.A., INCLUYE CONDUCTORES, CONEXIONES, ACCESORIOS DE MONTAJE, ELEMENTOS DE CONEXIÓN Y DE MARCACIÓN. (Incluye suministro e instalación).</v>
          </cell>
          <cell r="D1558" t="str">
            <v>M</v>
          </cell>
          <cell r="E1558">
            <v>14887</v>
          </cell>
        </row>
        <row r="1559">
          <cell r="B1559">
            <v>5549</v>
          </cell>
          <cell r="C1559" t="str">
            <v>ALIMENTACIÓN EN CONDUCTORES DE COBRE, (4NO. 2/0 + 1NO.6) AWG, AISLADOS PARA 600 V C.A., INCLUYE CONDUCTORES, CONEXIONES, ACCESORIOS DE MONTAJE, ELEMENTOS DE CONEXIÓN Y DE MARCACIÓN. (Incluye suministro e instalación)</v>
          </cell>
          <cell r="D1559" t="str">
            <v>M</v>
          </cell>
          <cell r="E1559">
            <v>96706</v>
          </cell>
        </row>
        <row r="1560">
          <cell r="B1560">
            <v>5550</v>
          </cell>
          <cell r="C1560" t="str">
            <v>ALIMENTACIÓN  EN CONDUCTORES DE COBRE, (4NO. 1/0 + 1NO.6) AWG, AISLADOS PARA 600 V C.A., INCLUYE CONDUCTORES, CONEXIONES, ACCESORIOS DE MONTAJE, ELEMENTOS DE CONEXIÓN Y DE MARCACIÓN. (Incluye suministro e instalación)</v>
          </cell>
          <cell r="D1560" t="str">
            <v>M</v>
          </cell>
          <cell r="E1560">
            <v>81294</v>
          </cell>
        </row>
        <row r="1561">
          <cell r="B1561">
            <v>5551</v>
          </cell>
          <cell r="C1561" t="str">
            <v>ALIMENTACIÓN EN CONDUCTORES DE COBRE, (4NO. 8+ 1NO.10)  AWG, AISLADOS PARA 600 V C.A. INCLUYE CONDUCTORES, CONEXIONES,  ACCESORIOS DE MONTAJE, ELEMENTOS DE CONEXIÓN Y DE MARCACIÓN. (Incluye suministro e instalación)</v>
          </cell>
          <cell r="D1561" t="str">
            <v>M</v>
          </cell>
          <cell r="E1561">
            <v>19469</v>
          </cell>
        </row>
        <row r="1562">
          <cell r="B1562">
            <v>5552</v>
          </cell>
          <cell r="C1562" t="str">
            <v>CAJAS DE EMPALME Y SALIDA,  EN FUNDICIÓN DE ACERO GALVANIZADO DE 4"X4", DEL DIAMETRO DE LA TUBERÍA(Incluye suministro e instalación)</v>
          </cell>
          <cell r="D1562" t="str">
            <v>UN</v>
          </cell>
          <cell r="E1562">
            <v>11059</v>
          </cell>
        </row>
        <row r="1563">
          <cell r="B1563">
            <v>5556</v>
          </cell>
          <cell r="C1563" t="str">
            <v>TUBERÍA SEMIPESADA IMC, DE 3/4`` DE DIÁMETRO, EXPUESTA, CON SUS ACCESORIOS DE MONTAJE. (Incluye suministro e instalación)</v>
          </cell>
          <cell r="D1563" t="str">
            <v>M</v>
          </cell>
          <cell r="E1563">
            <v>19696</v>
          </cell>
        </row>
        <row r="1564">
          <cell r="B1564">
            <v>5557</v>
          </cell>
          <cell r="C1564" t="str">
            <v>TUBERÍA SEMIPESADA IMC, DE 2" DE DIÁMETRO, EXPUESTA, CON SUS ACCESORIOS DE MONTAJE. (Incluye suministro e instalación)</v>
          </cell>
          <cell r="D1564" t="str">
            <v>M</v>
          </cell>
          <cell r="E1564">
            <v>45461</v>
          </cell>
        </row>
        <row r="1565">
          <cell r="B1565">
            <v>5558</v>
          </cell>
          <cell r="C1565" t="str">
            <v>TUBERÍA EMT DE 3" DE DIÁMETRO, EXPUESTA, CON SUS ACCESORIOS DE MONTAJE. (Incluye suministro e instalación)</v>
          </cell>
          <cell r="D1565" t="str">
            <v>M</v>
          </cell>
          <cell r="E1565">
            <v>62649</v>
          </cell>
        </row>
        <row r="1566">
          <cell r="B1566">
            <v>5561</v>
          </cell>
          <cell r="C1566" t="str">
            <v>ACOMETIDA EN CONDUCTORES DE COBRE, (4NO. 1/0 + 1NO. 4)  AWG, AISLADOS PARA 600 V C.A. INCLUYE CONDUCTORES, CONEXIONES,  ACCESORIOS DE MONTAJE, ELEMENTOS DE CONEXIÓN Y DE MARCACIÓN. (Incluye suministro e instalación)</v>
          </cell>
          <cell r="D1566" t="str">
            <v>M</v>
          </cell>
          <cell r="E1566">
            <v>82346</v>
          </cell>
        </row>
        <row r="1567">
          <cell r="B1567">
            <v>5562</v>
          </cell>
          <cell r="C1567" t="str">
            <v>ACOMETIDA EN CONDUCTORES DE COBRE, (5NO. 4)  AWG, AISLADOS PARA 600 V C.A. INCLUYE CONDUCTORES, CONEXIONES,  ACCESORIOS DE MONTAJE, ELEMENTOS DE CONEXIÓN Y DE MARCACIÓN. (Incluye suministro e instalación)</v>
          </cell>
          <cell r="D1567" t="str">
            <v>M</v>
          </cell>
          <cell r="E1567">
            <v>33862</v>
          </cell>
        </row>
        <row r="1568">
          <cell r="B1568">
            <v>5567</v>
          </cell>
          <cell r="C1568" t="str">
            <v>CONDUCTORES MONOPOLARES DE COBRE, AISLADOS PARA 600 V C.A.,  CALIBRE NO 4 AWG.  (Incluye suministro e instalación)</v>
          </cell>
          <cell r="D1568" t="str">
            <v>M</v>
          </cell>
          <cell r="E1568">
            <v>7084</v>
          </cell>
        </row>
        <row r="1569">
          <cell r="B1569">
            <v>5570</v>
          </cell>
          <cell r="C1569" t="str">
            <v>ALIMENTACIÓN  EN CONDUCTORES DE COBRE, (4NO. 4/0 + 1NO.4) AWG, AISLADOS PARA 600 V C.A., INCLUYE CONDUCTORES, CONEXIONES, ACCESORIOS DE MONTAJE, ELEMENTOS DE CONEXIÓN Y DE MARCACIÓN. (Incluye suministro e instalación)</v>
          </cell>
          <cell r="D1569" t="str">
            <v>M</v>
          </cell>
          <cell r="E1569">
            <v>136757</v>
          </cell>
        </row>
        <row r="1570">
          <cell r="B1570">
            <v>5571</v>
          </cell>
          <cell r="C1570" t="str">
            <v>ALIMENTACIÓN  EN CONDUCTORES DE COBRE, (4NO. 6 + 1NO.8) AWG, AISLADOS PARA 600 V C.A., INCLUYE CONDUCTORES, CONEXIONES, ACCESORIOS DE MONTAJE, ELEMENTOS DE CONEXIÓN Y DE MARCACIÓN. (Incluye suministro e instalación)</v>
          </cell>
          <cell r="D1570" t="str">
            <v>M</v>
          </cell>
          <cell r="E1570">
            <v>31203</v>
          </cell>
        </row>
        <row r="1571">
          <cell r="B1571">
            <v>5572</v>
          </cell>
          <cell r="C1571" t="str">
            <v>ALIMENTACIÓN  EN CONDUCTORES DE COBRE, (3NO. 10 + 1NO.12) AWG, AISLADOS PARA 600 V C.A., INCLUYE CONDUCTORES, CONEXIONES, ACCESORIOS DE MONTAJE, ELEMENTOS DE CONEXIÓN Y DE MARCACIÓN. (Incluye suministro e instalación)</v>
          </cell>
          <cell r="D1571" t="str">
            <v>M</v>
          </cell>
          <cell r="E1571">
            <v>19007</v>
          </cell>
        </row>
        <row r="1572">
          <cell r="B1572">
            <v>5573</v>
          </cell>
          <cell r="C1572" t="str">
            <v>ACOMETIDA EN CONDUCTORES DE COBRE, (5NO. 10)  AWG, AISLADOS PARA 600 V C.A. INCLUYE CONDUCTORES, CONEXIONES,  ACCESORIOS DE MONTAJE, ELEMENTOS DE CONEXIÓN Y DE MARCACIÓN. (Incluye suministro e instalación)</v>
          </cell>
          <cell r="D1572" t="str">
            <v>M</v>
          </cell>
          <cell r="E1572">
            <v>11891</v>
          </cell>
        </row>
        <row r="1573">
          <cell r="B1573">
            <v>5574</v>
          </cell>
          <cell r="C1573" t="str">
            <v>ACOMETIDA EN CONDUCTORES DE COBRE, (3NO. 10)  AWG, AISLADOS PARA 600 V C.A. INCLUYE CONDUCTORES, CONEXIONES,  ACCESORIOS DE MONTAJE, ELEMENTOS DE CONEXIÓN Y DE MARCACIÓN. (Incluye suministro e instalación)</v>
          </cell>
          <cell r="D1573" t="str">
            <v>M</v>
          </cell>
          <cell r="E1573">
            <v>8323</v>
          </cell>
        </row>
        <row r="1574">
          <cell r="B1574">
            <v>5575</v>
          </cell>
          <cell r="C1574" t="str">
            <v>ALIMENTACIÓN  EN CONDUCTORES DE COBRE, (3NO. 6 + 1NO.8) AWG, AISLADOS PARA 600 V C.A., INCLUYE CONDUCTORES, CONEXIONES, ACCESORIOS DE MONTAJE, ELEMENTOS DE CONEXIÓN Y DE MARCACIÓN. (Incluye suministro e instalación)</v>
          </cell>
          <cell r="D1574" t="str">
            <v>M</v>
          </cell>
          <cell r="E1574">
            <v>27199</v>
          </cell>
        </row>
        <row r="1575">
          <cell r="B1575">
            <v>5576</v>
          </cell>
          <cell r="C1575" t="str">
            <v>ACOMETIDA EN CONDUCTORES DE COBRE, (4NO. 10)  AWG, AISLADOS PARA 600 V C.A. INCLUYE CONDUCTORES, CONEXIONES,  ACCESORIOS DE MONTAJE, ELEMENTOS DE CONEXIÓN Y DE MARCACIÓN. (Incluye suministro e instalación)</v>
          </cell>
          <cell r="D1575" t="str">
            <v>M</v>
          </cell>
          <cell r="E1575">
            <v>10108</v>
          </cell>
        </row>
        <row r="1576">
          <cell r="B1576">
            <v>5577</v>
          </cell>
          <cell r="C1576" t="str">
            <v>ALIMENTACIÓN  EN CONDUCTORES DE COBRE, (3NO. 4/0 + 1NO.2) AWG, AISLADOS PARA 600 V C.A., INCLUYE CONDUCTORES, CONEXIONES, ACCESORIOS DE MONTAJE, ELEMENTOS DE CONEXIÓN Y DE MARCACIÓN. (Incluye suministro e instalación)</v>
          </cell>
          <cell r="D1576" t="str">
            <v>M</v>
          </cell>
          <cell r="E1576">
            <v>109932</v>
          </cell>
        </row>
        <row r="1577">
          <cell r="B1577">
            <v>5581</v>
          </cell>
          <cell r="C1577" t="str">
            <v>ACOMETIDA EN CONDUCTORES DE COBRE, (4NO. 2 + 1NO. 8)  AWG, AISLADOS PARA 600 V C.A. INCLUYE CONDUCTORES, CONEXIONES,  ACCESORIOS DE MONTAJE, ELEMENTOS DE CONEXIÓN Y DE MARCACIÓN.  (Incluye suministro e instalación)</v>
          </cell>
          <cell r="D1577" t="str">
            <v>M</v>
          </cell>
          <cell r="E1577">
            <v>227288</v>
          </cell>
        </row>
        <row r="1578">
          <cell r="B1578">
            <v>5582</v>
          </cell>
          <cell r="C1578" t="str">
            <v>ALIMENTACIÓN EN CONDUCTORES DE COBRE, (4NO. 6+ 1NO.10)  AWG, AISLADOS PARA 600 V C.A. INCLUYE CONDUCTORES, CONEXIONES,  ACCESORIOS DE MONTAJE, ELEMENTOS DE CONEXIÓN Y DE MARCACIÓN. (Incluye suministro e instalación)</v>
          </cell>
          <cell r="D1578" t="str">
            <v>M</v>
          </cell>
          <cell r="E1578">
            <v>25110</v>
          </cell>
        </row>
        <row r="1579">
          <cell r="B1579">
            <v>5583</v>
          </cell>
          <cell r="C1579" t="str">
            <v>ACOMETIDA EN CONDUCTORES DE COBRE, (5NO. 4)  AWG, AISLADOS PARA 600 V C.A. INCLUYE CONDUCTORES, CONEXIONES,  ACCESORIOS DE MONTAJE, ELEMENTOS DE CONEXIÓN Y DE MARCACIÓN.  (Incluye suministro e instalación)</v>
          </cell>
          <cell r="D1579" t="str">
            <v>M</v>
          </cell>
          <cell r="E1579">
            <v>31055</v>
          </cell>
        </row>
        <row r="1580">
          <cell r="B1580">
            <v>5585</v>
          </cell>
          <cell r="C1580" t="str">
            <v>TOMACORRIENTES CON CONEXIÓN A TIERRA, TRIFÁSICOS, TRES POLOS, 3 HILOS, 20 A, 250 VC.A., (LÍNEA NEMA 6), PARA TRABAJO PESADO.  INCLUYE LA CAJA DE SALIDA, ELEMENTOS DE CONEXIÓN, DE EMPALME Y DE MONTAJE.</v>
          </cell>
          <cell r="D1580" t="str">
            <v>UN</v>
          </cell>
          <cell r="E1580">
            <v>42650</v>
          </cell>
        </row>
        <row r="1581">
          <cell r="B1581">
            <v>5586</v>
          </cell>
          <cell r="C1581" t="str">
            <v>TUBERÍA EMT DE 1 1/4" DE DIÁMETRO, EXPUESTA, CON SUS ACCESORIOS DE MONTAJE. (Incluye suministro e instalación).</v>
          </cell>
          <cell r="D1581" t="str">
            <v>M</v>
          </cell>
          <cell r="E1581">
            <v>21622</v>
          </cell>
        </row>
        <row r="1582">
          <cell r="B1582">
            <v>5587</v>
          </cell>
          <cell r="C1582" t="str">
            <v>TUBERÍA EMT DE 2" DE DIÁMETRO, EXPUESTA, CON SUS ACCESORIOS DE MONTAJE. (Incluye suministro e instalación)</v>
          </cell>
          <cell r="D1582" t="str">
            <v>M</v>
          </cell>
          <cell r="E1582">
            <v>28510</v>
          </cell>
        </row>
        <row r="1583">
          <cell r="B1583">
            <v>5588</v>
          </cell>
          <cell r="C1583" t="str">
            <v>ACOMETIDA  EN CONDUCTORES DE COBRE, (4NO. 1/0 + 1NO.2) AWG, AISLADOS PARA 600 V C.A., INCLUYE CONDUCTORES, CONEXIONES, ACCESORIOS DE MONTAJE, ELEMENTOS DE CONEXIÓN Y DE MARCACIÓN. (Incluye suministro e instalación)</v>
          </cell>
          <cell r="D1583" t="str">
            <v>M</v>
          </cell>
          <cell r="E1583">
            <v>84124</v>
          </cell>
        </row>
        <row r="1584">
          <cell r="B1584">
            <v>5591</v>
          </cell>
          <cell r="C1584" t="str">
            <v>ACOMETIDA EN MEDIA TENSIÓN DESDE LA RED PÚBLICA, EN CONDUCTORES  3 NO. 1/0AWG, XLPE, 15KV, 133%, 1 NO. 2 CU DESNUDO, CON CONOS DE ALIVIO, TERMINALES Y ACCESORIOS (Incluye suministro e instalación)</v>
          </cell>
          <cell r="D1584" t="str">
            <v>M</v>
          </cell>
          <cell r="E1584">
            <v>121066</v>
          </cell>
        </row>
        <row r="1585">
          <cell r="B1585">
            <v>5595</v>
          </cell>
          <cell r="C1585" t="str">
            <v>CANALIZACIÓN SUBTERRÁNEA CON 2 DUCTOS DE 4" PVC DB, ACCESORIOS, EXCAVACIÓN, LLENOS Y ACABADO  (Incluye suministro e instalación)</v>
          </cell>
          <cell r="D1585" t="str">
            <v>M</v>
          </cell>
          <cell r="E1585">
            <v>80455</v>
          </cell>
        </row>
        <row r="1586">
          <cell r="B1586">
            <v>5599</v>
          </cell>
          <cell r="C1586" t="str">
            <v>ACOMETIDAS EN MEDIA TENSIÓN DESDE LA RED PÚBLICA, EN CONDUCTORES  3 NO. 2/0AWG, XLPE, 15KV, 133%, 1 NO. 2 CU DESNUDO, CON CONOS DE ALIVIO, TERMINALES Y ACCESORIOS (Incluye suministro e instalación) DTD-20143150598263</v>
          </cell>
          <cell r="D1586" t="str">
            <v>M</v>
          </cell>
          <cell r="E1586">
            <v>161836</v>
          </cell>
        </row>
        <row r="1587">
          <cell r="B1587">
            <v>5602</v>
          </cell>
          <cell r="C1587" t="str">
            <v xml:space="preserve">ALIMENTACIÓN A ARMARIOS DE POTENCIA, EN CABLE DE CU, AISLADO A 600V, 3 X (3NO. 500MCM Y 1NO. 4/0AWG, THWN), INCLUYE TERMINALES DE CONEXIÓN. (Incluye suministro e instalación) </v>
          </cell>
          <cell r="D1587" t="str">
            <v>M</v>
          </cell>
          <cell r="E1587">
            <v>2256821</v>
          </cell>
        </row>
        <row r="1588">
          <cell r="B1588">
            <v>5603</v>
          </cell>
          <cell r="C1588" t="str">
            <v>ALIMENTACIÓN A ARMARIOS EQUIPOS AUXILIARES , EN CABLE DE CU, AISLADO A 600V, 3 X (3NO. 4 + 1NO. 8AWG, THWN), INCLUYE TERMINALES DE CONEXIÓN. (Incluye suministro e instalación)</v>
          </cell>
          <cell r="D1588" t="str">
            <v>M</v>
          </cell>
          <cell r="E1588">
            <v>54700</v>
          </cell>
        </row>
        <row r="1589">
          <cell r="B1589">
            <v>5604</v>
          </cell>
          <cell r="C1589" t="str">
            <v>CANALIZACIÓN SUBTERRÁNEA CON 3 DUCTOS DE 4`` PVC DB, ACCESORIOS, EXCAVACIÓN, LLENOS Y ACABADO. DISTANCIA TRANSPORTE 28 Km.  (Incluye suministro e instalación)</v>
          </cell>
          <cell r="D1589" t="str">
            <v>M</v>
          </cell>
          <cell r="E1589">
            <v>58011</v>
          </cell>
        </row>
        <row r="1590">
          <cell r="B1590">
            <v>5606</v>
          </cell>
          <cell r="C1590" t="str">
            <v xml:space="preserve">CANALIZACIÓN SUBTERRÁNEA CON 3 DUCTOS DE 6`` PVC DB, ACCESORIOS, EXCAVACIÓN, LLENOS Y ACABADO  (Incluye suministro e instalación) TRANSPORTE A 28 Km. </v>
          </cell>
          <cell r="D1590" t="str">
            <v>M</v>
          </cell>
          <cell r="E1590">
            <v>108780</v>
          </cell>
        </row>
        <row r="1591">
          <cell r="B1591">
            <v>5610</v>
          </cell>
          <cell r="C1591" t="str">
            <v>CABLE DE COBRE DESNUDO CALIBRE 1/0 AWG, ENTERRADO EN TERRENO NATURAL INCLUYE EXCAVACIÓN, LLENOS Y COMPACTACIÓN DEL PISO. (Incluye suministro e instalación) DISTANCIA DE TRANSPORTE 28 Km.</v>
          </cell>
          <cell r="D1591" t="str">
            <v>M</v>
          </cell>
          <cell r="E1591">
            <v>103133</v>
          </cell>
        </row>
        <row r="1592">
          <cell r="B1592">
            <v>5611</v>
          </cell>
          <cell r="C1592" t="str">
            <v>CABLE DE COBRE DESNUDO CALIBRE 1/0 AWG EXPUESTO (Incluye suministro e instalación) (Incluye 3mt de cable 1/0 por ML).</v>
          </cell>
          <cell r="D1592" t="str">
            <v>M</v>
          </cell>
          <cell r="E1592">
            <v>46717</v>
          </cell>
        </row>
        <row r="1593">
          <cell r="B1593">
            <v>5616</v>
          </cell>
          <cell r="C1593" t="str">
            <v>CABLE DE ALUMINIO AISLADO THW CALIBRE 1/0 AWG, INSTALADO EXPUESTO SOBRE CUBIERTA DE ESTRUCTURA. INCLUYE ELEMENTOS DE FIJACIÓN. (Incluye suministro e instalación)</v>
          </cell>
          <cell r="D1593" t="str">
            <v>M</v>
          </cell>
          <cell r="E1593">
            <v>6167</v>
          </cell>
        </row>
        <row r="1594">
          <cell r="B1594">
            <v>5621</v>
          </cell>
          <cell r="C1594" t="str">
            <v xml:space="preserve">CABLE DE COBRE DESNUDO CALIBRE 1/0 AWG, EMBEBIDO EN EL CONCRETO. (Incluye suministro e instalación) </v>
          </cell>
          <cell r="D1594" t="str">
            <v>M</v>
          </cell>
          <cell r="E1594">
            <v>16036</v>
          </cell>
        </row>
        <row r="1595">
          <cell r="B1595">
            <v>5625</v>
          </cell>
          <cell r="C1595" t="str">
            <v>CONEXIÓN AL ACERO DE REFUERZO; INCL. SOLDADURA EXOTÉRMICA DE CABLE CALIBRE 2/0 AWG A VARILLA DE ACERO DE REFUERZO 4 DE 90GR, VARILLA DE ACERO ADICIONAL Y SOLDADURAS ELÉCTRICAS ENTRE VARILLAS DE ACERO. (Incl. sumin. e instal.)</v>
          </cell>
          <cell r="D1595" t="str">
            <v>UN</v>
          </cell>
          <cell r="E1595">
            <v>90872</v>
          </cell>
        </row>
        <row r="1596">
          <cell r="B1596">
            <v>5626</v>
          </cell>
          <cell r="C1596" t="str">
            <v>TERMINAL DE COBRE ELECTROPLATEADO PARA CABLE CALIBRE 2/0AWG, DE UN TORNILLO. INCLUYE MONTAJE, TORNILLOS, TUERCA Y ARANDELAS DE ACERO INOXIDABLE.  (Incluye suministro e instalación)</v>
          </cell>
          <cell r="D1596" t="str">
            <v>UN</v>
          </cell>
          <cell r="E1596">
            <v>7355</v>
          </cell>
        </row>
        <row r="1597">
          <cell r="B1597">
            <v>5628</v>
          </cell>
          <cell r="C1597" t="str">
            <v>CABLE DE ALUMINIO AISLADO THW-SR CALIBRE 1/0 AWG, INSTALADO EXPUESTO SOBRE CUBIERTA DE ESTRUCTURA. INCLUYE ELEMENTOS DE FIJACIÓN. (Incluye suministro e instalación)</v>
          </cell>
          <cell r="D1597" t="str">
            <v>M</v>
          </cell>
          <cell r="E1597">
            <v>7702</v>
          </cell>
        </row>
        <row r="1598">
          <cell r="B1598">
            <v>5629</v>
          </cell>
          <cell r="C1598" t="str">
            <v>CABLE DE COBRE DESNUDO CALIBRE 2/0 AWG, EMBEBIDO EN EL CONCRETO. (Incluye suministro e instalación)</v>
          </cell>
          <cell r="D1598" t="str">
            <v>M</v>
          </cell>
          <cell r="E1598">
            <v>26783</v>
          </cell>
        </row>
        <row r="1599">
          <cell r="B1599">
            <v>5630</v>
          </cell>
          <cell r="C1599" t="str">
            <v>CABLE DE COBRE DESNUDO CALIBRE 2/0 AWG EXPUESTO (Incluye suministro e instalación)</v>
          </cell>
          <cell r="D1599" t="str">
            <v>M</v>
          </cell>
          <cell r="E1599">
            <v>26042</v>
          </cell>
        </row>
        <row r="1600">
          <cell r="B1600">
            <v>5634</v>
          </cell>
          <cell r="C1600" t="str">
            <v>CABLE DE 4 PARES UTP CAT.6A, INCLUYE MARCACIÓN Y CORREAS DE AMARRE  TIPO ``VELCRO`` (Incluye suministro e instalación)</v>
          </cell>
          <cell r="D1600" t="str">
            <v>M</v>
          </cell>
          <cell r="E1600">
            <v>3436</v>
          </cell>
        </row>
        <row r="1601">
          <cell r="B1601">
            <v>5641</v>
          </cell>
          <cell r="C1601" t="str">
            <v>ENCHAPE DE PISO Y PARED EN CERAMICA 30X30 CM COLOR BLANCO, H=2,10 (Incluye suministro e instalación).</v>
          </cell>
          <cell r="D1601" t="str">
            <v>M2</v>
          </cell>
          <cell r="E1601">
            <v>85382</v>
          </cell>
        </row>
        <row r="1602">
          <cell r="B1602">
            <v>5642</v>
          </cell>
          <cell r="C1602" t="str">
            <v>PAÑETE LISO O RÚSTICO 1:4 PARA MUROS. LAVADO O RÚSTICO.  (Incluye suministro e instalación)</v>
          </cell>
          <cell r="D1602" t="str">
            <v>M2</v>
          </cell>
          <cell r="E1602">
            <v>13384</v>
          </cell>
        </row>
        <row r="1603">
          <cell r="B1603">
            <v>5644</v>
          </cell>
          <cell r="C1603" t="str">
            <v>PINTURA AL AGUA TIPO EMULSIÓN CON RESINA DE POLIVINIL ACETATO MODIFICADA CON ACRÍLICA PARA INTERIORES.  (Incluye suministro e instalación)</v>
          </cell>
          <cell r="D1603" t="str">
            <v>M2</v>
          </cell>
          <cell r="E1603">
            <v>8447</v>
          </cell>
        </row>
        <row r="1604">
          <cell r="B1604">
            <v>5645</v>
          </cell>
          <cell r="C1604" t="str">
            <v>IMPERMEABILIZACIÓN FACHADA (Incluye suministro e instalación)</v>
          </cell>
          <cell r="D1604" t="str">
            <v>M2</v>
          </cell>
          <cell r="E1604">
            <v>6428</v>
          </cell>
        </row>
        <row r="1605">
          <cell r="B1605">
            <v>5646</v>
          </cell>
          <cell r="C1605" t="str">
            <v>PINTURA AMARILLA FRANJA DE SEGURIDAD  (Incluye suministro e instalación)</v>
          </cell>
          <cell r="D1605" t="str">
            <v>M</v>
          </cell>
          <cell r="E1605">
            <v>7284</v>
          </cell>
        </row>
        <row r="1606">
          <cell r="B1606">
            <v>5647</v>
          </cell>
          <cell r="C1606" t="str">
            <v>PINTURA CIELO FALSO (Incluye suministro e instalación).</v>
          </cell>
          <cell r="D1606" t="str">
            <v>M2</v>
          </cell>
          <cell r="E1606">
            <v>7908</v>
          </cell>
        </row>
        <row r="1607">
          <cell r="B1607">
            <v>5683</v>
          </cell>
          <cell r="C1607" t="str">
            <v>SEPARADOR TIPO TRANSMILENIO (Bloque canalizador amarillo) suministro e instalación (1.75mx0.25mx0.15m) PINTADO CON PINTURA DE TRAFICO AMARILLA CON MICROESFERAS DE VIDRIO.</v>
          </cell>
          <cell r="D1607" t="str">
            <v>UN</v>
          </cell>
          <cell r="E1607">
            <v>116157</v>
          </cell>
        </row>
        <row r="1608">
          <cell r="B1608">
            <v>5684</v>
          </cell>
          <cell r="C1608" t="str">
            <v xml:space="preserve">RETIRO Y REINSTALACIÓN DE SEÑAL BANDERA. INCLUYE SERVICIO DE GRUA.  (DISTANCIA MAXIMA DE REUBICACION 200m). </v>
          </cell>
          <cell r="D1608" t="str">
            <v>UN</v>
          </cell>
          <cell r="E1608">
            <v>289181</v>
          </cell>
        </row>
        <row r="1609">
          <cell r="B1609">
            <v>5686</v>
          </cell>
          <cell r="C1609" t="str">
            <v>CIMENTACION TIPO PILOTE PREEXCAVADO PARA SEÑAL ELEVADA TIPO BANDERA (LONGITUD ENTRE 4 Y 9 m). INCLUYE EXCAVACION</v>
          </cell>
          <cell r="D1609" t="str">
            <v>M3</v>
          </cell>
          <cell r="E1609">
            <v>724219</v>
          </cell>
        </row>
        <row r="1610">
          <cell r="B1610">
            <v>5688</v>
          </cell>
          <cell r="C1610" t="str">
            <v>SEMAFORO (3x200) S1. LENTES DE POLICARBONATO DE 8" BICICLETAS LUCES, SISTEMA DE ILUMINACIÓN A LEDS, COMPATIBILIDAD C800/900, FIJACION A MASTIL. INCLUYE ELEMENTOS DE FIJACION.</v>
          </cell>
          <cell r="D1610" t="str">
            <v>UN</v>
          </cell>
          <cell r="E1610">
            <v>2735354</v>
          </cell>
        </row>
        <row r="1611">
          <cell r="B1611">
            <v>5690</v>
          </cell>
          <cell r="C1611" t="str">
            <v>SALIDA PARA DATOS EMT 3/4" (EN TAQUILLAS Y TORNIQUETES) DESDE EL RACK DE COMUNICACIONES HASTA EL SITIO DE LA SALIDA EN EL PISO DEL TORNIQUETE O HASTA EL PUESTO EN LA TAQUILLA. INCL. PONCHADO DE LOS JACKS EN LOS EXTREMOS .</v>
          </cell>
          <cell r="D1611" t="str">
            <v>UN</v>
          </cell>
          <cell r="E1611">
            <v>223917</v>
          </cell>
        </row>
        <row r="1612">
          <cell r="B1612">
            <v>5691</v>
          </cell>
          <cell r="C1612" t="str">
            <v>SALIDA PARA SONIDO EMT 3/4" (POR EL TECHO DEL VAGON) DESDE EL ARMARIO DE COMUNICACIONES HASTA EL SITIO DE LA SALIDA EN EL TECHO DEL VAGON, EN LA MITAD Y EN LOS EXTREMOS DEL MISMO .</v>
          </cell>
          <cell r="D1612" t="str">
            <v>UN</v>
          </cell>
          <cell r="E1612">
            <v>411880</v>
          </cell>
        </row>
        <row r="1613">
          <cell r="B1613">
            <v>5692</v>
          </cell>
          <cell r="C1613" t="str">
            <v>SALIDA PARA CCTV EMT 3/4" (POR EL TECHO DEL VAGON) DESDE EL ARMARIO DE COMUNICACIONES HASTA EL SITIO DE LA SALIDA EN EL TECHO EN LOS EXTREMOS DE CADA VAGON.</v>
          </cell>
          <cell r="D1613" t="str">
            <v>UN</v>
          </cell>
          <cell r="E1613">
            <v>704238</v>
          </cell>
        </row>
        <row r="1614">
          <cell r="B1614">
            <v>5693</v>
          </cell>
          <cell r="C1614" t="str">
            <v>SALIDA PARA EL MASTIL DEL GPS EN TUBERIA EMT 1" INCL PEDESTAL EN CONCRETO DE 1.0mx0.80mx0.80m. ESTA SALIDA VA DESDE EL MASTIL DEL GPS A SALIDA DE LA RAMPA NORTE HASTA EL RACK DE DATOS DEL VAGON Y EMBEBIDA EN EL PISO.</v>
          </cell>
          <cell r="D1614" t="str">
            <v>UN</v>
          </cell>
          <cell r="E1614">
            <v>728129</v>
          </cell>
        </row>
        <row r="1615">
          <cell r="B1615">
            <v>5696</v>
          </cell>
          <cell r="C1615" t="str">
            <v>CAJA DE INSPECCION AP-280. SUMINISTRO E INSTALACION. SE CONSTRUYEN EN EL PISO AL LADO DE LOS VAGONES PARA EL SISTEMA DE ENERGIA Y/O COMUNICACIONES.</v>
          </cell>
          <cell r="D1615" t="str">
            <v>UN</v>
          </cell>
          <cell r="E1615">
            <v>371682</v>
          </cell>
        </row>
        <row r="1616">
          <cell r="B1616">
            <v>5697</v>
          </cell>
          <cell r="C1616" t="str">
            <v>CAJA PARA MEDIDORES DE ENERGIA. SUMINISTRO E INSTALACION. ESTA CAJA ESTA UBICADA EN EL ARMARIO DEL VAGON NORTE. CONTIENE LOS MEDIDORES DE ENERGIA DE LA ESTACION, PUBLICIDAD Y ANGELCOM.</v>
          </cell>
          <cell r="D1616" t="str">
            <v>UN</v>
          </cell>
          <cell r="E1616">
            <v>380391</v>
          </cell>
        </row>
        <row r="1617">
          <cell r="B1617">
            <v>5698</v>
          </cell>
          <cell r="C1617" t="str">
            <v>POZO DE TIERRA CON VARILLA DE COBRE DE 2.40m, GEL, CABLE No. 2/0 AWG. CONSTRUCCION. SON LAS PUESTAS A TIERRA DE LOS VAGONES Y RAMPAS NUEVAS DE CONEXION A PUENTES PEATONALES.</v>
          </cell>
          <cell r="D1617" t="str">
            <v>UN</v>
          </cell>
          <cell r="E1617">
            <v>196530</v>
          </cell>
        </row>
        <row r="1618">
          <cell r="B1618">
            <v>5699</v>
          </cell>
          <cell r="C1618" t="str">
            <v xml:space="preserve">MEDIDORES DE ENERGIA TRIFASICO 20-80 AMP PARA LA CUENTA DE LA ESTACION. SUMINISTRO E INSTALACION. SE UBICA EN EL ARMARIO DEL VAGON NORTE. SE ENERGIZARA CUANDO LA CUENTA SEA LEGALIZADA ANTE CODENSA. </v>
          </cell>
          <cell r="D1618" t="str">
            <v>UN</v>
          </cell>
          <cell r="E1618">
            <v>242694</v>
          </cell>
        </row>
        <row r="1619">
          <cell r="B1619">
            <v>5700</v>
          </cell>
          <cell r="C1619" t="str">
            <v>MEDIDORES DE ENERGIA MONOFASICO PARA LAS CUENTAS DE PUBLICIDAD Y ANGELCOM. SUMINISTRO E INSTALACION. SE UBICA EN EL ARMARIO DEL VAGON NORTE. SE ENERGIZARAN CUANDO LAS CUENTAS SEAN LEGALIZADAS ANTE CODENSA.</v>
          </cell>
          <cell r="D1619" t="str">
            <v>UN</v>
          </cell>
          <cell r="E1619">
            <v>110230</v>
          </cell>
        </row>
        <row r="1620">
          <cell r="B1620">
            <v>5701</v>
          </cell>
          <cell r="C1620" t="str">
            <v>ACOMETIDA PARCIAL 3No. 1/0 + 1No. 2 - 600V-CU. SUMINISTRO E INSTALACION. ACOMETIDA PARCIAL ENTRE ARMARIOS NORTE Y SUR PARA ALIMENTACION ENTRE LOS VAGONES. INSTALADOS POR DEBAJO DEL PISO DE LOS VAGONES.</v>
          </cell>
          <cell r="D1620" t="str">
            <v>M</v>
          </cell>
          <cell r="E1620">
            <v>64105</v>
          </cell>
        </row>
        <row r="1621">
          <cell r="B1621">
            <v>5702</v>
          </cell>
          <cell r="C1621" t="str">
            <v>BAJANTE PARA ACOMETIDA 1 D= 3" CALIBRE 14 (L= 4.98) HG, CAPACETE, CINTA BAND IT, CURVA PVC. SUMINISTRO E INSTALACION. INCLUYE APERTURA DE ZANJA PARA INSTALACION DE CURVA Y TUBERIA GALVANIZADA, RESANE Y RETIRO DE ESCOMBROS.</v>
          </cell>
          <cell r="D1621" t="str">
            <v>UN</v>
          </cell>
          <cell r="E1621">
            <v>368430</v>
          </cell>
        </row>
        <row r="1622">
          <cell r="B1622">
            <v>5705</v>
          </cell>
          <cell r="C1622" t="str">
            <v xml:space="preserve">NEOPRENO REFORZADO 0.50 x 0.50 x 2" DOBLE REFUERZO. SUMINISTRO E INSTALACION. (INCLUYE LIMPIEZA DE LA SUPERFICIE CON CHORRO DE AIRE A PRESIÓN, HERRAMIENTA MENOR Y COMPRESOR). </v>
          </cell>
          <cell r="D1622" t="str">
            <v>UN</v>
          </cell>
          <cell r="E1622">
            <v>526309</v>
          </cell>
        </row>
        <row r="1623">
          <cell r="B1623">
            <v>5706</v>
          </cell>
          <cell r="C1623" t="str">
            <v>PISO MEZCLADO EN CAUCHO BICAPA e= 3.0cm BASE EN GRC Negro e= 2cm y GRC pigmento para color e= 1cm (Suministro e Instalación)</v>
          </cell>
          <cell r="D1623" t="str">
            <v>M2</v>
          </cell>
          <cell r="E1623">
            <v>288400</v>
          </cell>
        </row>
        <row r="1624">
          <cell r="B1624">
            <v>5708</v>
          </cell>
          <cell r="C1624" t="str">
            <v>RELLENO EN ARENA DE RIO. INCLUYE TRANSPORTE, SUMINISTRO, EXTENDIDO MANUAL Y COMPACTACION.</v>
          </cell>
          <cell r="D1624" t="str">
            <v>M3</v>
          </cell>
          <cell r="E1624">
            <v>69468</v>
          </cell>
        </row>
        <row r="1625">
          <cell r="B1625">
            <v>5710</v>
          </cell>
          <cell r="C1625" t="str">
            <v>GRAVILLA DE 1/2" SUELTA - SUMINISTRO E INSTALACION.</v>
          </cell>
          <cell r="D1625" t="str">
            <v>M3</v>
          </cell>
          <cell r="E1625">
            <v>45370</v>
          </cell>
        </row>
        <row r="1626">
          <cell r="B1626">
            <v>5712</v>
          </cell>
          <cell r="C1626" t="str">
            <v>DOTACION ABDOMINALES PARA ADULTOS/MAYORES SEGUN ESPECIFICACIONES IDRD - SUMINISTRO E INSTALACION.</v>
          </cell>
          <cell r="D1626" t="str">
            <v>UN</v>
          </cell>
          <cell r="E1626">
            <v>1539044</v>
          </cell>
        </row>
        <row r="1627">
          <cell r="B1627">
            <v>5713</v>
          </cell>
          <cell r="C1627" t="str">
            <v>JUEGO BALANCIN PARA NIÑOS (1-5 AÑOS)  SEGUN ESPECIFICACIONES IDRD - SUMINISTRO E INSTALACION.</v>
          </cell>
          <cell r="D1627" t="str">
            <v>UN</v>
          </cell>
          <cell r="E1627">
            <v>1009373</v>
          </cell>
        </row>
        <row r="1628">
          <cell r="B1628">
            <v>5714</v>
          </cell>
          <cell r="C1628" t="str">
            <v>DOTACION BARRAS PARA ADULTOS.SEGUN ESPECIFICACIONES IDRD - SUMINISTRO E INSTALACION.</v>
          </cell>
          <cell r="D1628" t="str">
            <v>UN</v>
          </cell>
          <cell r="E1628">
            <v>2019842</v>
          </cell>
        </row>
        <row r="1629">
          <cell r="B1629">
            <v>5715</v>
          </cell>
          <cell r="C1629" t="str">
            <v>DOTACION CAMINADOR PARA ADULTOS.SEGUN ESPECIFICACIONES IDRD - SUMINISTRO E INSTALACION.</v>
          </cell>
          <cell r="D1629" t="str">
            <v>UN</v>
          </cell>
          <cell r="E1629">
            <v>2457308</v>
          </cell>
        </row>
        <row r="1630">
          <cell r="B1630">
            <v>5716</v>
          </cell>
          <cell r="C1630" t="str">
            <v>DOTACIÓN FLEXIÓN PIERNAS PARA ADULTOS. SEGÚN ESPECIFICACIONES IDRD - SUMINISTRO E INSTALACIÓN.</v>
          </cell>
          <cell r="D1630" t="str">
            <v>UN</v>
          </cell>
          <cell r="E1630">
            <v>2396591</v>
          </cell>
        </row>
        <row r="1631">
          <cell r="B1631">
            <v>5717</v>
          </cell>
          <cell r="C1631" t="str">
            <v>DOTACIÓN GIRO DE CADERA PARA ADULTOS. SEGÚN ESPECIFICACIONES IDRD - SUMINISTRO E INSTALACIÓN.</v>
          </cell>
          <cell r="D1631" t="str">
            <v>UN</v>
          </cell>
          <cell r="E1631">
            <v>2274750</v>
          </cell>
        </row>
        <row r="1632">
          <cell r="B1632">
            <v>5721</v>
          </cell>
          <cell r="C1632" t="str">
            <v>DOTACIÓN PLATAFORMA PARA ADULTOS. SEGÚN ESPECIFICACIONES IDRD - SUMINISTRO E INSTALACIÓN.</v>
          </cell>
          <cell r="D1632" t="str">
            <v>UN</v>
          </cell>
          <cell r="E1632">
            <v>1364626</v>
          </cell>
        </row>
        <row r="1633">
          <cell r="B1633">
            <v>5727</v>
          </cell>
          <cell r="C1633" t="str">
            <v>GEODREN VIAL DE 160mm x 1.0m. SUMINISTRO E INSTALACION. (INCLUYE EXCAVACION MANUAL (Ancho = 30cm) Y RELLENO EN MATERIAL SELECCIONADO PROVENIENTE DE EXCAVACION.</v>
          </cell>
          <cell r="D1633" t="str">
            <v>M</v>
          </cell>
          <cell r="E1633">
            <v>101274</v>
          </cell>
        </row>
        <row r="1634">
          <cell r="B1634">
            <v>5728</v>
          </cell>
          <cell r="C1634" t="str">
            <v xml:space="preserve">GEODREN VIAL DE 200mm x 1.0m. SUMINISTRO E INSTALACION. (INCLUYE EXCAVACION MANUAL (Ancho = 30cm) Y RELLENO EN MATERIAL SELECCIONADO PROVENIENTE DE EXCAVACION. </v>
          </cell>
          <cell r="D1634" t="str">
            <v>M</v>
          </cell>
          <cell r="E1634">
            <v>119678</v>
          </cell>
        </row>
        <row r="1635">
          <cell r="B1635">
            <v>5729</v>
          </cell>
          <cell r="C1635" t="str">
            <v>DEMARCACION PICTOGRAMA ZONA ESCOLAR EN PINTURA TERMOPLASTICA. (INCLUYE SUMINISTRO Y APLICACION CON EQUIPO. INCLUYE MICROESFERAS).</v>
          </cell>
          <cell r="D1635" t="str">
            <v>UN</v>
          </cell>
          <cell r="E1635">
            <v>1182384</v>
          </cell>
        </row>
        <row r="1636">
          <cell r="B1636">
            <v>5730</v>
          </cell>
          <cell r="C1636" t="str">
            <v>DEMARCACION METROS LINEALES EN PINTURA TIPO TRAFICO BASE SOLVENTE COLOR BLANCO Y/O AMARILLA. LINEA 0.12m Y 16 Mils (INCLUYE SUMINISTRO Y APLICACION CON EQUIPO. INCLUYE MICROESFERAS TIPO DROP ON PARA LINEAS DE BORDE Y DE CARRIL).</v>
          </cell>
          <cell r="D1636" t="str">
            <v>M</v>
          </cell>
          <cell r="E1636">
            <v>3460</v>
          </cell>
        </row>
        <row r="1637">
          <cell r="B1637">
            <v>5731</v>
          </cell>
          <cell r="C1637" t="str">
            <v>CUADRILLA (3 AYUDANTES) HORARIO NOCTURNO</v>
          </cell>
          <cell r="D1637" t="str">
            <v>JR</v>
          </cell>
          <cell r="E1637">
            <v>184026</v>
          </cell>
        </row>
        <row r="1638">
          <cell r="B1638">
            <v>5732</v>
          </cell>
          <cell r="C1638" t="str">
            <v>CUADRILLA (4 AYUDANTES) HORARIO NOCTURNO</v>
          </cell>
          <cell r="D1638" t="str">
            <v>JR</v>
          </cell>
          <cell r="E1638">
            <v>245368</v>
          </cell>
        </row>
        <row r="1639">
          <cell r="B1639">
            <v>5733</v>
          </cell>
          <cell r="C1639" t="str">
            <v>DEMARCACION EN PINTURA TIPO TRAFICO BASE SOLVENTE COLOR BLANCO. LINEA 0.20m Y 16 Mils (INCLUYE SUMINISTRO Y APLICACION CON EQUIPO. INCLUYE MICROESFERAS TIPO DROP ON PARA LINEAS DE CARRIL).</v>
          </cell>
          <cell r="D1639" t="str">
            <v>M2</v>
          </cell>
          <cell r="E1639">
            <v>30072</v>
          </cell>
        </row>
        <row r="1640">
          <cell r="B1640">
            <v>5734</v>
          </cell>
          <cell r="C1640" t="str">
            <v>DEMARCACION EN IMPRIMANTE TIPO TRAFICO BASE SOLVENTE COLOR NEGRO. ANCHO 0.25m (INCLUYE SUMINISTRO Y APLICACION CON EQUIPO. NO INCLUYE MICROESFERAS).</v>
          </cell>
          <cell r="D1640" t="str">
            <v>M2</v>
          </cell>
          <cell r="E1640">
            <v>31088</v>
          </cell>
        </row>
        <row r="1641">
          <cell r="B1641">
            <v>5735</v>
          </cell>
          <cell r="C1641" t="str">
            <v>DEMARCACION EN IMPRIMANTE TIPO TRAFICO BASE SOLVENTE COLOR NEGRO. PARADEROS (INCLUYE SUMINISTRO Y APLICACION CON EQUIPO. NO INCLUYE MICROESFERAS).</v>
          </cell>
          <cell r="D1641" t="str">
            <v>M2</v>
          </cell>
          <cell r="E1641">
            <v>36594</v>
          </cell>
        </row>
        <row r="1642">
          <cell r="B1642">
            <v>5736</v>
          </cell>
          <cell r="C1642" t="str">
            <v>DEMARCACION METROS LINEALES EN PINTURA TIPO TRAFICO BASE SOLVENTE COLOR NEGRO. LINEA 0.15m (INCLUYE SUMINISTRO Y APLICACION CON EQUIPO. NO INCLUYE MICROESFERAS).</v>
          </cell>
          <cell r="D1642" t="str">
            <v>M</v>
          </cell>
          <cell r="E1642">
            <v>7475</v>
          </cell>
        </row>
        <row r="1643">
          <cell r="B1643">
            <v>5737</v>
          </cell>
          <cell r="C1643" t="str">
            <v>DEMARCACION METROS CUADRADO EN PINTURA  TIPO TRAFICO BASE SOLVENTE COLOR AZUL 16 Mils PARA PRIMERA CAPA. (PARADEROS) (INCLUYE SUMINISTRO Y APLICACION CON EQUIPO. INCLUYE MICROESFERAS).</v>
          </cell>
          <cell r="D1643" t="str">
            <v>M2</v>
          </cell>
          <cell r="E1643">
            <v>31597</v>
          </cell>
        </row>
        <row r="1644">
          <cell r="B1644">
            <v>5738</v>
          </cell>
          <cell r="C1644" t="str">
            <v>DEMARCACION METROS CUADRADO EN PINTURA  TIPO TRAFICO BASE SOLVENTE COLOR AZUL 16 Mils Y 18 Mils (PARADEROS) (INCLUYE SUMINISTRO Y APLICACION CON EQUIPO. INCLUYE MICROESFERAS).</v>
          </cell>
          <cell r="D1644" t="str">
            <v>M2</v>
          </cell>
          <cell r="E1644">
            <v>73535</v>
          </cell>
        </row>
        <row r="1645">
          <cell r="B1645">
            <v>5746</v>
          </cell>
          <cell r="C1645" t="str">
            <v>EMPATES DE TUBERÍA EN PVC A PVC 2" LINEAL SEGÚN NORMA NS-023 (INCLUYE ACCESORIOS). SUMINISTRO E INSTALACIÓN.</v>
          </cell>
          <cell r="D1645" t="str">
            <v>UN</v>
          </cell>
          <cell r="E1645">
            <v>48666</v>
          </cell>
        </row>
        <row r="1646">
          <cell r="B1646">
            <v>5747</v>
          </cell>
          <cell r="C1646" t="str">
            <v>EMPATES EN LINEA DE TUBERÍA EN PVC A AC 14" (INCL UNION GIBAULT HD PARA AC CL.25 D=14", UNION DE CONSTRUCCION Y REPARACION PARA PVC D=14", UNION DE TRANSICION PCV-AC CL.25 Y 1m TUB PVC D=14 RDE 21). SUMINISTRO E INSTALACIÓN.</v>
          </cell>
          <cell r="D1646" t="str">
            <v>UN</v>
          </cell>
          <cell r="E1646">
            <v>4487551</v>
          </cell>
        </row>
        <row r="1647">
          <cell r="B1647">
            <v>5748</v>
          </cell>
          <cell r="C1647" t="str">
            <v>EMPATES EN LINEA DE TUBERÍA EN PVC A HF 3" (INCL UNION DE REPARACION PVC U.M. D=3", ADAPTADOR MACHO PVC US D=3" UNION GIBAULT HD CL.25 CL.25  D=3" Y 1m TUB PVC D=3" RDE 21). SUMINISTRO E INSTALACIÓN.</v>
          </cell>
          <cell r="D1647" t="str">
            <v>UN</v>
          </cell>
          <cell r="E1647">
            <v>179263</v>
          </cell>
        </row>
        <row r="1648">
          <cell r="B1648">
            <v>5749</v>
          </cell>
          <cell r="C1648" t="str">
            <v>REDUCCION CONCENTRICA HD 4" x 2" (SUMINISTRO E INSTALACIÓN).</v>
          </cell>
          <cell r="D1648" t="str">
            <v>UN</v>
          </cell>
          <cell r="E1648">
            <v>127556</v>
          </cell>
        </row>
        <row r="1649">
          <cell r="B1649">
            <v>5750</v>
          </cell>
          <cell r="C1649" t="str">
            <v>REDUCCION CONCENTRICA HD 6" x 4" (SUMINISTRO E INSTALACIÓN).</v>
          </cell>
          <cell r="D1649" t="str">
            <v>UN</v>
          </cell>
          <cell r="E1649">
            <v>247438</v>
          </cell>
        </row>
        <row r="1650">
          <cell r="B1650">
            <v>5751</v>
          </cell>
          <cell r="C1650" t="str">
            <v>REDUCCION CONCENTRICA HD 14" x 12" (SUMINISTRO E INSTALACIÓN).</v>
          </cell>
          <cell r="D1650" t="str">
            <v>UN</v>
          </cell>
          <cell r="E1650">
            <v>2138937</v>
          </cell>
        </row>
        <row r="1651">
          <cell r="B1651">
            <v>5752</v>
          </cell>
          <cell r="C1651" t="str">
            <v>DESMONTE Y UBICACIÓN PARADEROS SITP TRASLADO. De paradero existente. Incluye concreto 3000 PSI Hecho en obra 1:2:2 con arena de rio y triturado 3/4" para anclaje. Transporte y disposición de escombros a 21 Km.</v>
          </cell>
          <cell r="D1651" t="str">
            <v>UN</v>
          </cell>
          <cell r="E1651">
            <v>455902</v>
          </cell>
        </row>
        <row r="1652">
          <cell r="B1652">
            <v>5753</v>
          </cell>
          <cell r="C1652" t="str">
            <v>CASETAS TELEFONICAS. REUBICACION O RETIRO. Desmonte y reubicacion de caseta existente. Incluye concreto 3000 PSI Hecho en obra 1:2:2 con arena de rio y triturado 3/4" para anclaje. Transp y dispos. de escombros a 21 Km.</v>
          </cell>
          <cell r="D1652" t="str">
            <v>UN</v>
          </cell>
          <cell r="E1652">
            <v>258921</v>
          </cell>
        </row>
        <row r="1653">
          <cell r="B1653">
            <v>5754</v>
          </cell>
          <cell r="C1653" t="str">
            <v>DESMONTE Y REUBICACIÓN MODULO SERVICIO AL CIUDADANO (REDEP). De modulo existente. Incluye concreto 3000 PSI Hecho en obra 1:2:2 con arena de rio y triturado 3/4" para anclaje. Transp y dispos. de escombros a 21 Km.</v>
          </cell>
          <cell r="D1653" t="str">
            <v>UN</v>
          </cell>
          <cell r="E1653">
            <v>412752</v>
          </cell>
        </row>
        <row r="1654">
          <cell r="B1654">
            <v>5759</v>
          </cell>
          <cell r="C1654" t="str">
            <v>SALIDA PARA TOMA MONOFASICA DOBLE. SUMINISTRO E INSTALACION. (Incluye accesorios de instalacion y fijacion. No incluye tuberia ni cableado).</v>
          </cell>
          <cell r="D1654" t="str">
            <v>UN</v>
          </cell>
          <cell r="E1654">
            <v>9230</v>
          </cell>
        </row>
        <row r="1655">
          <cell r="B1655">
            <v>5760</v>
          </cell>
          <cell r="C1655" t="str">
            <v>TUBERIA METALICA EMT DE D= 3/4". SUMINISTRO E INSTALACION. (Incluye accesorios de instalacion y fijacion).</v>
          </cell>
          <cell r="D1655" t="str">
            <v>M</v>
          </cell>
          <cell r="E1655">
            <v>10941</v>
          </cell>
        </row>
        <row r="1656">
          <cell r="B1656">
            <v>5761</v>
          </cell>
          <cell r="C1656" t="str">
            <v>CABLE THHN No.10 EN COBRE. SUMINISTRO E INSTALACION. (Incluye accesorios de instalacion).</v>
          </cell>
          <cell r="D1656" t="str">
            <v>M</v>
          </cell>
          <cell r="E1656">
            <v>3891</v>
          </cell>
        </row>
        <row r="1657">
          <cell r="B1657">
            <v>5762</v>
          </cell>
          <cell r="C1657" t="str">
            <v>SALIDA PARA TOMA TRIFASICA DE SEGURIDAD. SUMINISTRO E INSTALACION. (Incluye accesorios de instalacion y fijacion. No incluye tuberia ni cableado).</v>
          </cell>
          <cell r="D1657" t="str">
            <v>UN</v>
          </cell>
          <cell r="E1657">
            <v>21147</v>
          </cell>
        </row>
        <row r="1658">
          <cell r="B1658">
            <v>5763</v>
          </cell>
          <cell r="C1658" t="str">
            <v>CABLE No.2 AWG-THHN-600V EN COBRE. SUMINISTRO E INSTALACION. (Incluye accesorios de instalacion).</v>
          </cell>
          <cell r="D1658" t="str">
            <v>M</v>
          </cell>
          <cell r="E1658">
            <v>12460</v>
          </cell>
        </row>
        <row r="1659">
          <cell r="B1659">
            <v>5764</v>
          </cell>
          <cell r="C1659" t="str">
            <v>CABLE No.14 AWG-THHN-600V EN COBRE. SUMINISTRO E INSTALACION. (Incluye accesorios de instalacion).</v>
          </cell>
          <cell r="D1659" t="str">
            <v>M</v>
          </cell>
          <cell r="E1659">
            <v>3117</v>
          </cell>
        </row>
        <row r="1660">
          <cell r="B1660">
            <v>5765</v>
          </cell>
          <cell r="C1660" t="str">
            <v>CABLE No.12 AWG-THHN-600V EN COBRE. SUMINISTRO E INSTALACION. (Incluye accesorios de instalacion).</v>
          </cell>
          <cell r="D1660" t="str">
            <v>M</v>
          </cell>
          <cell r="E1660">
            <v>3096</v>
          </cell>
        </row>
        <row r="1661">
          <cell r="B1661">
            <v>5766</v>
          </cell>
          <cell r="C1661" t="str">
            <v>SALIDA PARA AVISO PUBLICITARIO. SUMINISTRO E INSTALACION. (Incluye accesorios de instalacion y fijacion. No incluye tuberia ni cableado).</v>
          </cell>
          <cell r="D1661" t="str">
            <v>UN</v>
          </cell>
          <cell r="E1661">
            <v>9230</v>
          </cell>
        </row>
        <row r="1662">
          <cell r="B1662">
            <v>5767</v>
          </cell>
          <cell r="C1662" t="str">
            <v>CABLE No.6 AWG-THHN-600V EN COBRE. SUMINISTRO E INSTALACION. (Incluye accesorios de instalacion).</v>
          </cell>
          <cell r="D1662" t="str">
            <v>M</v>
          </cell>
          <cell r="E1662">
            <v>7415</v>
          </cell>
        </row>
        <row r="1663">
          <cell r="B1663">
            <v>5768</v>
          </cell>
          <cell r="C1663" t="str">
            <v>SALIDA PARA TOMA REGULADA. SUMINISTRO E INSTALACIÓN. SALIDA EN PISO DE LA TAQUILLA O TORNIQUETE O CCTV.(Incluye accesorios de instalacion y fijacion. No incluye tuberia ni cableado).</v>
          </cell>
          <cell r="D1663" t="str">
            <v>UN</v>
          </cell>
          <cell r="E1663">
            <v>16398</v>
          </cell>
        </row>
        <row r="1664">
          <cell r="B1664">
            <v>5769</v>
          </cell>
          <cell r="C1664" t="str">
            <v>SALIDA PARA INFORMADORES. SUMINISTRO E INSTALACION. SALIDA EN PISO DE LA TAQUILLA O TORNIQUETE O CCTV.(Incluye accesorios de instalacion y fijacion. No incluye tuberia ni cableado).</v>
          </cell>
          <cell r="D1664" t="str">
            <v>UN</v>
          </cell>
          <cell r="E1664">
            <v>9230</v>
          </cell>
        </row>
        <row r="1665">
          <cell r="B1665">
            <v>5770</v>
          </cell>
          <cell r="C1665" t="str">
            <v>SALIDA PARA BOMBA RIEGO ZONAS VERDES. SUMINISTRO E INSTALACION. ES LA SALIDA AL TAQUE.(Incluye accesorios de instalacion y fijacion. No incluye tuberia ni cableado).</v>
          </cell>
          <cell r="D1665" t="str">
            <v>UN</v>
          </cell>
          <cell r="E1665">
            <v>17925</v>
          </cell>
        </row>
        <row r="1666">
          <cell r="B1666">
            <v>5771</v>
          </cell>
          <cell r="C1666" t="str">
            <v>CABLE No.8 AWG-THHN-600V EN COBRE. SUMINISTRO E INSTALACION. (Incluye accesorios de instalacion).</v>
          </cell>
          <cell r="D1666" t="str">
            <v>M</v>
          </cell>
          <cell r="E1666">
            <v>5334</v>
          </cell>
        </row>
        <row r="1667">
          <cell r="B1667">
            <v>5772</v>
          </cell>
          <cell r="C1667" t="str">
            <v>SALIDA PARA CONTROLADOR. SUMINISTRO E INSTALACION. (Incluye accesorios de instalacion y fijacion. No incluye tuberia ni cableado).</v>
          </cell>
          <cell r="D1667" t="str">
            <v>UN</v>
          </cell>
          <cell r="E1667">
            <v>9230</v>
          </cell>
        </row>
        <row r="1668">
          <cell r="B1668">
            <v>5773</v>
          </cell>
          <cell r="C1668" t="str">
            <v>SALIDA PARA DATOS EN TAQUILLAS O CCTV. SUMIN E INSTAL. INCL. CAJA GALVANIZADA. TOMA DE SALIDA DE DATOS. PONCHADO DE LOS JACKS EN LOS EXTREMOS DEL CABLE Y LA CERTIFICACION DE LAS SALIDAS. (No incluye tuberia ni cableado UTP).</v>
          </cell>
          <cell r="D1668" t="str">
            <v>UN</v>
          </cell>
          <cell r="E1668">
            <v>29420</v>
          </cell>
        </row>
        <row r="1669">
          <cell r="B1669">
            <v>5774</v>
          </cell>
          <cell r="C1669" t="str">
            <v>CABLE UTP CATEGORIA 6A. SUMINISTRO E INSTALACION. (Incluye accesorios de instalacion).</v>
          </cell>
          <cell r="D1669" t="str">
            <v>M</v>
          </cell>
          <cell r="E1669">
            <v>7229</v>
          </cell>
        </row>
        <row r="1670">
          <cell r="B1670">
            <v>5775</v>
          </cell>
          <cell r="C1670" t="str">
            <v>SALIDA PARA SONIDO (POR EL TECHO DE LA ESTACIÓN). SUMINISTRO E INSTALACIÓN. (Incluye accesorios de instalación. No incluye tubería ni cableado).</v>
          </cell>
          <cell r="D1670" t="str">
            <v>UN</v>
          </cell>
          <cell r="E1670">
            <v>14299</v>
          </cell>
        </row>
        <row r="1671">
          <cell r="B1671">
            <v>5776</v>
          </cell>
          <cell r="C1671" t="str">
            <v>CABLE POLARIZADO  2 No.14. SUMINISTRO E INSTALACION. (Incluye accesorios de instalacion).</v>
          </cell>
          <cell r="D1671" t="str">
            <v>M</v>
          </cell>
          <cell r="E1671">
            <v>5475</v>
          </cell>
        </row>
        <row r="1672">
          <cell r="B1672">
            <v>5777</v>
          </cell>
          <cell r="C1672" t="str">
            <v>SALIDA PARA CCTV (POR EL TECHO DE LA ESTACION). SUMINISTRO E INSTALACION. ES LA SALIDA POR EL TECHO EN LOS EXTREMOS DE CADA ESTACION. (Incluye accesorios de instalacion. No incluye tuberia ni cableado).</v>
          </cell>
          <cell r="D1672" t="str">
            <v>UN</v>
          </cell>
          <cell r="E1672">
            <v>12314</v>
          </cell>
        </row>
        <row r="1673">
          <cell r="B1673">
            <v>5778</v>
          </cell>
          <cell r="C1673" t="str">
            <v>SALIDA PARA EL MASTIL DEL GPS. INCL PEDESTAL EN CONCRETO DE 1.0mx0.8mx0.8m. SUMIN E INSTAL. EMBEBIDA EN EL PISO. (No incluye tuberia ni cableado).</v>
          </cell>
          <cell r="D1673" t="str">
            <v>UN</v>
          </cell>
          <cell r="E1673">
            <v>200936</v>
          </cell>
        </row>
        <row r="1674">
          <cell r="B1674">
            <v>5779</v>
          </cell>
          <cell r="C1674" t="str">
            <v>ACOMETIDA TRIFASICA (3 No.4 + 1 No.4 + 1No.4T AWG-THHN-600V-CU). SUMINISTRO E INSTALACION. EN TUBERIA PVC 4".</v>
          </cell>
          <cell r="D1674" t="str">
            <v>M</v>
          </cell>
          <cell r="E1674">
            <v>50383</v>
          </cell>
        </row>
        <row r="1675">
          <cell r="B1675">
            <v>5780</v>
          </cell>
          <cell r="C1675" t="str">
            <v>ACOMETIDA TRIFASICA (3 No.6 + 1 No.6 + 1No.8T AWG-THHN-600V-CU). SUMINISTRO E INSTALACION. ACOMETIDAS PARCIALES PARA LOS TABLEROS BRAKERS DE TRANSMILENIO, EN TUBERIA EMT 1 1/4".</v>
          </cell>
          <cell r="D1675" t="str">
            <v>M</v>
          </cell>
          <cell r="E1675">
            <v>39436</v>
          </cell>
        </row>
        <row r="1676">
          <cell r="B1676">
            <v>5781</v>
          </cell>
          <cell r="C1676" t="str">
            <v>ACOMETIDA MONOFASICA (1 No.8 + 1 No.6 + 1No.8T AWG-THHN-600V-CU). SUMINISTRO E INSTALACION. ACOMETIDAS PARCIALES PARA LOS TABLEROS BRAKERS DE TABLERO REGULADO MONOFASICO, EN TUBERIA EMT 1".</v>
          </cell>
          <cell r="D1676" t="str">
            <v>M</v>
          </cell>
          <cell r="E1676">
            <v>22952</v>
          </cell>
        </row>
        <row r="1677">
          <cell r="B1677">
            <v>5782</v>
          </cell>
          <cell r="C1677" t="str">
            <v>ACOMETIDA MONOFASICA (1 No.8 + 1 No.8 + 1No.8T AWG-THHN-600V-CU). SUMINISTRO E INSTALACION. ACOMETIDAS PARCIALES PARA LOS TABLEROS BRAKERS DE TABLERO PRINCIPAL REGULADO MONOFASICO, EN TUBERIA EMT 1".</v>
          </cell>
          <cell r="D1677" t="str">
            <v>M</v>
          </cell>
          <cell r="E1677">
            <v>22985</v>
          </cell>
        </row>
        <row r="1678">
          <cell r="B1678">
            <v>5783</v>
          </cell>
          <cell r="C1678" t="str">
            <v>ACOMETIDA MONOFASICA (1 No.10 + 1 No.10 + 1No.10T AWG-THHN-600V-CU). SUMINISTRO E INSTALACION. ACOMETIDAS PARCIALES PARA LOS TABLEROS BRAKERS DE PUBLICIDAD, EN TUBERIA EMT 3/4".</v>
          </cell>
          <cell r="D1678" t="str">
            <v>M</v>
          </cell>
          <cell r="E1678">
            <v>17327</v>
          </cell>
        </row>
        <row r="1679">
          <cell r="B1679">
            <v>5784</v>
          </cell>
          <cell r="C1679" t="str">
            <v>ACOMETIDA (1 No.8 + 1 No.8 + 1No.10 AWG-THHN-600V-CU). SUMINISTRO E INSTALACION.TUBERIA EMT 3/4" DESDE EL TOTALIZADOR DE LA PLANTA ELECTRICA HASTA LA TRANSFERENCIA.</v>
          </cell>
          <cell r="D1679" t="str">
            <v>M</v>
          </cell>
          <cell r="E1679">
            <v>19007</v>
          </cell>
        </row>
        <row r="1680">
          <cell r="B1680">
            <v>5785</v>
          </cell>
          <cell r="C1680" t="str">
            <v>2 DUCTOS D=2" GALVANIZADOS. SUMINISTRO E INSTALACION. INCLUYE ELEMENTOS DE FIJACION Y ACCESORIOS.</v>
          </cell>
          <cell r="D1680" t="str">
            <v>M</v>
          </cell>
          <cell r="E1680">
            <v>59163</v>
          </cell>
        </row>
        <row r="1681">
          <cell r="B1681">
            <v>5786</v>
          </cell>
          <cell r="C1681" t="str">
            <v>2 DUCTOS D=3" GALVANIZADOS. SUMINISTRO E INSTALACION. INCLUYE ELEMENTOS DE FIJACION Y ACCESORIOS.</v>
          </cell>
          <cell r="D1681" t="str">
            <v>M</v>
          </cell>
          <cell r="E1681">
            <v>144725</v>
          </cell>
        </row>
        <row r="1682">
          <cell r="B1682">
            <v>5788</v>
          </cell>
          <cell r="C1682" t="str">
            <v>TABLERO TRIFASICO DE 18 CIRCUITOS, CON ESPACIO PARA TOTALIZADOR. SUMINISTRO E INSTALACION. CORRESPONDE AL TABLERO DE ENERGIA REGULADA DE LOS MODULOS.</v>
          </cell>
          <cell r="D1682" t="str">
            <v>UN</v>
          </cell>
          <cell r="E1682">
            <v>216419</v>
          </cell>
        </row>
        <row r="1683">
          <cell r="B1683">
            <v>5789</v>
          </cell>
          <cell r="C1683" t="str">
            <v>MEDIDOR DE ENERGIA TRIFASICO 20-80 AMP. SUMINISTRO E INSTALACION. PARALA CUENTA DE LA ESTACION UBICADA EN EL ARMARIO DEL CUARTO ELECTRICO DE TAQUILLAS. SE ENERGIZARA CUANDO LA CUENTA SEA LEGALIZADA ANTE CODENSA.</v>
          </cell>
          <cell r="D1683" t="str">
            <v>UN</v>
          </cell>
          <cell r="E1683">
            <v>228320</v>
          </cell>
        </row>
        <row r="1684">
          <cell r="B1684">
            <v>5790</v>
          </cell>
          <cell r="C1684" t="str">
            <v>MEDIDOR DE ENERGIA MONOFASICO. SUMINISTRO E INSTALACION. PARA LAS CUENTA DE PUBLICIDAD Y REGULADA. SE UBICA EN EL CUARTO ELECTRICO DE TAQUILLAS. SE ENERGIZARA CUANDO LA CUENTA SEA LEGALIZADA ANTE CODENSA.</v>
          </cell>
          <cell r="D1684" t="str">
            <v>UN</v>
          </cell>
          <cell r="E1684">
            <v>110963</v>
          </cell>
        </row>
        <row r="1685">
          <cell r="B1685">
            <v>5791</v>
          </cell>
          <cell r="C1685" t="str">
            <v>CABLE DE COBRE DESNUDO No.2/0 AWG. SUMINISTRO E INSTALACION. PARA EL ANILLO EQUIPOTENCIAL DE LA ESTACION, UNIENDO LOS ELECTRODOS DE CAJA DE 3 MEDIDORES CON LOS DE LOS MODULOS. INCLUYE SOLDADURA EXOTERMICA.</v>
          </cell>
          <cell r="D1685" t="str">
            <v>UN</v>
          </cell>
          <cell r="E1685">
            <v>57138</v>
          </cell>
        </row>
        <row r="1686">
          <cell r="B1686">
            <v>5792</v>
          </cell>
          <cell r="C1686" t="str">
            <v>CABLE DE MEDIA TENSION XLPE 4/0 ALUMINIO. SUMINISTRO E INSTALACION.</v>
          </cell>
          <cell r="D1686" t="str">
            <v>M</v>
          </cell>
          <cell r="E1686">
            <v>31432</v>
          </cell>
        </row>
        <row r="1687">
          <cell r="B1687">
            <v>5793</v>
          </cell>
          <cell r="C1687" t="str">
            <v>DUCTO PVC DB 6". SUMINISTRO E INSTALACION.</v>
          </cell>
          <cell r="D1687" t="str">
            <v>M</v>
          </cell>
          <cell r="E1687">
            <v>42379</v>
          </cell>
        </row>
        <row r="1688">
          <cell r="B1688">
            <v>5794</v>
          </cell>
          <cell r="C1688" t="str">
            <v>CONDUCTOR RED BAJA TENSION (3 No.4 + 1 No.6 600V- CU THHN). SUMIN E INSTAL. CONDUCTORES DE LA PARCIAL ENTRE TRAFO Y GABINETE DE 3 MEDIDORES, INSTALADOS EN TUBERIA  DE 2x4" PVC BAJO EL PISO INSTAL CON GRADO DE DIFICULTAD.</v>
          </cell>
          <cell r="D1688" t="str">
            <v>M</v>
          </cell>
          <cell r="E1688">
            <v>69390</v>
          </cell>
        </row>
        <row r="1689">
          <cell r="B1689">
            <v>5798</v>
          </cell>
          <cell r="C1689" t="str">
            <v>REHABILITACIÓN DE PAVIMENTO RÍGIDO: LOSAS EN CONCRETO HIDRAULICO MR-50 e=0.27m PARA TRONCAL.</v>
          </cell>
          <cell r="D1689" t="str">
            <v>M2</v>
          </cell>
          <cell r="E1689">
            <v>297140</v>
          </cell>
        </row>
        <row r="1690">
          <cell r="B1690">
            <v>5799</v>
          </cell>
          <cell r="C1690" t="str">
            <v>REHABILITACION PAVIMENTO ARTICULADO EN ADOQUIN DE ARCILLA - TRAFICO LIVIANO</v>
          </cell>
          <cell r="D1690" t="str">
            <v>M2</v>
          </cell>
          <cell r="E1690">
            <v>67832</v>
          </cell>
        </row>
        <row r="1691">
          <cell r="B1691">
            <v>5800</v>
          </cell>
          <cell r="C1691" t="str">
            <v>REHABILITACIÓN DE PAVIMENTO FLEXIBLE e= 0.18m   BG_B=25cm</v>
          </cell>
          <cell r="D1691" t="str">
            <v>M2</v>
          </cell>
          <cell r="E1691">
            <v>227057</v>
          </cell>
        </row>
        <row r="1692">
          <cell r="B1692">
            <v>5801</v>
          </cell>
          <cell r="C1692" t="str">
            <v>REHABILITACIÓN DE PAVIMENTO FLEXIBLE e= 0.12m BG_B=25cm</v>
          </cell>
          <cell r="D1692" t="str">
            <v>M2</v>
          </cell>
          <cell r="E1692">
            <v>154201</v>
          </cell>
        </row>
        <row r="1693">
          <cell r="B1693">
            <v>5802</v>
          </cell>
          <cell r="C1693" t="str">
            <v>REHABILITACIÓN DE PAVIMENTO FLEXIBLE e= 0.10m BG_B= 0.25m</v>
          </cell>
          <cell r="D1693" t="str">
            <v>M2</v>
          </cell>
          <cell r="E1693">
            <v>139972</v>
          </cell>
        </row>
        <row r="1694">
          <cell r="B1694">
            <v>5825</v>
          </cell>
          <cell r="C1694" t="str">
            <v>CAJA ESPACIO 4 MEDIDORES ENERGIA, BARRAJES INDEPENDIENTES NEUTRO Y TIERRA Y ESPACIO TOTALIZADORES. SUM. E INSTAL. INCL. 1 TOTALIZADOR INDUSTRIAL 3x80A, 1 SUB-BREAKER ENCHUFABLE 3x60A, 1 DE 1x50A Y 1 DE 1x15A. CAJA 0.80x0.18m.</v>
          </cell>
          <cell r="D1694" t="str">
            <v>UN</v>
          </cell>
          <cell r="E1694">
            <v>577160</v>
          </cell>
        </row>
        <row r="1695">
          <cell r="B1695">
            <v>5826</v>
          </cell>
          <cell r="C1695" t="str">
            <v>TABLERO TRIFASICO 18 CIRCUITOS, ESPACIO TOTALIZADORES. SUM. E INSTAL. INCL. 10 BREAKERS ENCHUFABLES MONOPOLARES 1x15A, 1 BREAKER ENCHUFABLE BIPOLAR 2x15A, 1 DE 1x20A. INCL 1 TOTALIZADOR INDUSTRIAL DE 30A PARA PROTECCION.</v>
          </cell>
          <cell r="D1695" t="str">
            <v>UN</v>
          </cell>
          <cell r="E1695">
            <v>644148</v>
          </cell>
        </row>
        <row r="1696">
          <cell r="B1696">
            <v>5827</v>
          </cell>
          <cell r="C1696" t="str">
            <v>TABLERO MONOFASICO CON ESPACIO PARA 6 CIRCUITOS. SUM. E INSTAL. INCL. 3 BREAKERS ENCHUFABLES MONOPOLARES DE 1x15A PARA TOMAS DE AVISOS PUBLICITARIOS Y MUPI.</v>
          </cell>
          <cell r="D1696" t="str">
            <v>UN</v>
          </cell>
          <cell r="E1696">
            <v>137903</v>
          </cell>
        </row>
        <row r="1697">
          <cell r="B1697">
            <v>5830</v>
          </cell>
          <cell r="C1697" t="str">
            <v>SALIDA PARA LUMINARIA CUADRADA LED 35 W. ES LA CAJA DE SALIDA PROPIA DE LA LAMPARA EN LAS TAQUILLAS. INCLUYE LUMINARIA. INCL. ACCESORIOS DE FIJACION E INSTALACION. NO INCL. TUBERIA NI CABLEADO.</v>
          </cell>
          <cell r="D1697" t="str">
            <v>UN</v>
          </cell>
          <cell r="E1697">
            <v>263488</v>
          </cell>
        </row>
        <row r="1698">
          <cell r="B1698">
            <v>5831</v>
          </cell>
          <cell r="C1698" t="str">
            <v>TUBERIA EMT D= 1 1/2". SUMINISTRO E INSTALACION. (Incluye Accesorios de Instalacion y Fijacion).</v>
          </cell>
          <cell r="D1698" t="str">
            <v>M</v>
          </cell>
          <cell r="E1698">
            <v>18799</v>
          </cell>
        </row>
        <row r="1699">
          <cell r="B1699">
            <v>5832</v>
          </cell>
          <cell r="C1699" t="str">
            <v>ACOMETIDA MONOFASICA (18+18+110T AWG-THHN-600V-CU) SUMINISTRO E INSTALACION  (ACOMETIDAS PARCIALES PARA LOS TABLEROS BREAKERS DE TAQUILLA Y UPS, EN TUBERIA EMT 1". INCLUYE ACCESORIOS DE INSTALACION Y FIJACION.</v>
          </cell>
          <cell r="D1699" t="str">
            <v>M</v>
          </cell>
          <cell r="E1699">
            <v>21179</v>
          </cell>
        </row>
        <row r="1700">
          <cell r="B1700">
            <v>5833</v>
          </cell>
          <cell r="C1700" t="str">
            <v>ACOMETIDA MONOFASICA (14+14+16T AWG-THHN-600V-CU) SUMINISTRO E INSTALACION  (ACOMETIDAS PARCIALES PARA LOS TABLEROS REGULADOS DE MODULOS, EN TUBERIA EMT 1 1/2". INCLUYE ACCESORIOS DE INSTALACION Y FIJACION.</v>
          </cell>
          <cell r="D1700" t="str">
            <v>M</v>
          </cell>
          <cell r="E1700">
            <v>37231</v>
          </cell>
        </row>
        <row r="1701">
          <cell r="B1701">
            <v>5834</v>
          </cell>
          <cell r="C1701" t="str">
            <v>ACOMETIDA MONOFASICA (110+110+112T AWG-THHN-600V-CU) SUMINISTRO E INSTALACION  (ACOMETIDAS PARCIALES PARA LOS TABLEROS BREAKERS DE PUBLICIDAD, EN TUBERIA EMT 3/4". INCLUYE ACCESORIOS DE INSTALACION Y FIJACION.</v>
          </cell>
          <cell r="D1701" t="str">
            <v>M</v>
          </cell>
          <cell r="E1701">
            <v>16653</v>
          </cell>
        </row>
        <row r="1702">
          <cell r="B1702">
            <v>5835</v>
          </cell>
          <cell r="C1702" t="str">
            <v>CABLE COBRE DESNUDO  1/0 AWG PARA EL ANILLO EQUIPOTENCIAL DE LA ESTACION, UNIENDO LOS ELECTRODOS DE CAJA DE 4 MEDIDORES CON LOS DE LOS MODULOS EN TUBERIA EMT 1". INCLUYE ACCESORIOS DE FIJACION E INSTALACION.</v>
          </cell>
          <cell r="D1702" t="str">
            <v>M</v>
          </cell>
          <cell r="E1702">
            <v>30027</v>
          </cell>
        </row>
        <row r="1703">
          <cell r="B1703">
            <v>5836</v>
          </cell>
          <cell r="C1703" t="str">
            <v>ACOMETIDA TRIFASICA (36+16+18T AWG-THHN-600V-CU) SUMINISTRO E INSTALACION  (ACOMETIDAS PARCIALES PARA LOS TABLEROS BREAKERS DE TRANSMILENIO, EN TUBERIA EMT 1 1/2". INCLUYE ACCESORIOS DE INSTALACION Y FIJACION.</v>
          </cell>
          <cell r="D1703" t="str">
            <v>M</v>
          </cell>
          <cell r="E1703">
            <v>39647</v>
          </cell>
        </row>
        <row r="1704">
          <cell r="B1704">
            <v>5837</v>
          </cell>
          <cell r="C1704" t="str">
            <v>ACOMETIDA MONOFASICA (16+16+18T AWG-THHN-600V-CU) SUMINISTRO E INSTALACION  (ACOMETIDAS PARCIALES PARA LOS TABLEROS BREAKERS DE TAQUILLA Y UPS, EN TUBERIA EMT 1 1/4". INCLUYE ACCESORIOS DE INSTALACION Y FIJACION.</v>
          </cell>
          <cell r="D1704" t="str">
            <v>M</v>
          </cell>
          <cell r="E1704">
            <v>29921</v>
          </cell>
        </row>
        <row r="1705">
          <cell r="B1705">
            <v>5838</v>
          </cell>
          <cell r="C1705" t="str">
            <v>ACOMETIDA MONOFASICA (12+12+14T AWG-THHN-600V-CU) SUMINISTRO E INSTALACION  (ACOMETIDAS PARCIALES PARA LOS TABLEROS REGULADOS DE LOS MODULOS, EN TUBERIA EMT 3". INCLUYE ACCESORIOS DE INSTALACION Y FIJACION.</v>
          </cell>
          <cell r="D1705" t="str">
            <v>M</v>
          </cell>
          <cell r="E1705">
            <v>81227</v>
          </cell>
        </row>
        <row r="1706">
          <cell r="B1706">
            <v>5839</v>
          </cell>
          <cell r="C1706" t="str">
            <v>CONDUCTOR ACOMETIDA EN BAJA TENSION (44+14T AWG-THHN-600V-CU) SUMINISTRO E INSTALACION  (CONDUCTORES DE LA ACOMETIDA ENTRE EL PUNTO DE CONEXION CODENSA Y CAJA DE 4 MEDIDORES INSTALADOS EN TUBERIA  DE 2x4" PVC.</v>
          </cell>
          <cell r="D1706" t="str">
            <v>M</v>
          </cell>
          <cell r="E1706">
            <v>63283</v>
          </cell>
        </row>
        <row r="1707">
          <cell r="B1707">
            <v>5840</v>
          </cell>
          <cell r="C1707" t="str">
            <v>TUBERIA METALICA EMT DE D= 1". SUMINISTRO E INSTALACION. (Incluye accesorios de instalacion y fijacion).</v>
          </cell>
          <cell r="D1707" t="str">
            <v>M</v>
          </cell>
          <cell r="E1707">
            <v>13046</v>
          </cell>
        </row>
        <row r="1708">
          <cell r="B1708">
            <v>5841</v>
          </cell>
          <cell r="C1708" t="str">
            <v>CONDUCTOR ACOMETIDA EN BAJA TENSION (42+12T AWG-THHN-600V-CU) SUMINISTRO E INSTALACION  (CONDUCTORES DE LA ACOMETIDA ENTRE EL PUNTO DE CONEXION CODENSA Y CAJA DE 4 MEDIDORES INSTALADOS EN TUBERIA  DE 2x4" PVC.</v>
          </cell>
          <cell r="D1708" t="str">
            <v>M</v>
          </cell>
          <cell r="E1708">
            <v>81416</v>
          </cell>
        </row>
        <row r="1709">
          <cell r="B1709">
            <v>5842</v>
          </cell>
          <cell r="C1709" t="str">
            <v>ESCARIFICACION, HUMEDECIMIENTO, NIVELACION Y COMPACTACION CON VIBROCOMPACTADOR DEL MATERIAL GRANULAR EXISTENTE.</v>
          </cell>
          <cell r="D1709" t="str">
            <v>M3</v>
          </cell>
          <cell r="E1709">
            <v>17487</v>
          </cell>
        </row>
        <row r="1710">
          <cell r="B1710">
            <v>5843</v>
          </cell>
          <cell r="C1710" t="str">
            <v>GEOMALLAS CON FIBRAS CONTINUAS DE MULTIFILAMENTOS DE POLIESTER DE ALTA TENACIDAD (IDU ET SECCION 342-11 TRAFICO T4 - T5, RESISTENCIA ULTIMA &gt; 100KN/m). SUMINISTRO E INSTALACION.</v>
          </cell>
          <cell r="D1710" t="str">
            <v>M2</v>
          </cell>
          <cell r="E1710">
            <v>15322</v>
          </cell>
        </row>
        <row r="1711">
          <cell r="B1711">
            <v>5844</v>
          </cell>
          <cell r="C1711" t="str">
            <v>GEOMALLAS CON FIBRAS CONTINUAS DE MULTIFILAMENTOS DE POLIESTER DE ALTA TENACIDAD (IDU ET SECCION 342-11 TRAFICO T4 - T5, RESISTENCIA ULTIMA &gt; 75KN/m). SUMINISTRO E INSTALACION.</v>
          </cell>
          <cell r="D1711" t="str">
            <v>M2</v>
          </cell>
          <cell r="E1711">
            <v>13701</v>
          </cell>
        </row>
        <row r="1712">
          <cell r="B1712">
            <v>5845</v>
          </cell>
          <cell r="C1712" t="str">
            <v>GEODREN VIAL CON TUBERIA CIRCULAR 100mm H= 2.0m. SUMINISTRO E INSTALACION. (No incluye excavacion ni rellenos)</v>
          </cell>
          <cell r="D1712" t="str">
            <v>M</v>
          </cell>
          <cell r="E1712">
            <v>85277</v>
          </cell>
        </row>
        <row r="1713">
          <cell r="B1713">
            <v>5846</v>
          </cell>
          <cell r="C1713" t="str">
            <v>SEPARADORES TIPO TRANSMILENIO DELINEADOR TIPO A EN POLIETILENO (0.77m x 0.15m x 0.10m) Y 4 TORNILLOS EN ACERO INOXIDABLE DE 1/2" DE ANCHO Y 4 TORNILLOS DE 1/2" DE LARGO. SUMINISTRO E INSTALACION.</v>
          </cell>
          <cell r="D1713" t="str">
            <v>UN</v>
          </cell>
          <cell r="E1713">
            <v>175852</v>
          </cell>
        </row>
        <row r="1714">
          <cell r="B1714">
            <v>5847</v>
          </cell>
          <cell r="C1714" t="str">
            <v>SEPARADORES TIPO TRANSMILENIO DELINEADOR TIPO B EN POLIETILENO (0.78m x 0.20m x 0.15m) Y 4 TORNILLOS EN ACERO INOXIDABLE DE 1/2" DE ANCHO Y 5 TORNILLOS DE 1/2" DE LARGO. SUMINISTRO E INSTALACION.</v>
          </cell>
          <cell r="D1714" t="str">
            <v>UN</v>
          </cell>
          <cell r="E1714">
            <v>175852</v>
          </cell>
        </row>
        <row r="1715">
          <cell r="B1715">
            <v>5848</v>
          </cell>
          <cell r="C1715" t="str">
            <v>SEPARADORES TIPO TRANSMILENIO DELINEADOR TIPO C EN POLIETILENO (0.405m x 0.15m x 0.85m) Y 2 TORNILLOS EN ACERO INOXIDABLE DE 1/2" DE ANCHO Y 4 TORNILLOS DE 1/2" DE LARGO. SUMINISTRO E INSTALACION.</v>
          </cell>
          <cell r="D1715" t="str">
            <v>UN</v>
          </cell>
          <cell r="E1715">
            <v>44300</v>
          </cell>
        </row>
        <row r="1716">
          <cell r="B1716">
            <v>5850</v>
          </cell>
          <cell r="C1716" t="str">
            <v>FLECHA DIRECCIONAL "A LA IZQUIERDA" (e= 15 mils. TERMOPLASTICA. AREA: 1.5037 m2 SEGUN EL MANUAL DE SEÑALIZACION VIAL. SUMINISTRO Y APLICACION CON EQUIPO. INCLUYE MICROESFERAS.</v>
          </cell>
          <cell r="D1716" t="str">
            <v>UN</v>
          </cell>
          <cell r="E1716">
            <v>171816</v>
          </cell>
        </row>
        <row r="1717">
          <cell r="B1717">
            <v>5851</v>
          </cell>
          <cell r="C1717" t="str">
            <v>DEMARCACION DE FLECHA DE TERMINACION DE CARRIL (e= 2.3 mils. TERMOPLASTICA. AREA: 4.1850 m2 SEGUN EL MANUAL DE SEÑALIZACION VIAL. SUMINISTRO Y APLICACION CON EQUIPO. INCLUYE MICROESFERAS.</v>
          </cell>
          <cell r="D1717" t="str">
            <v>UN</v>
          </cell>
          <cell r="E1717">
            <v>465364</v>
          </cell>
        </row>
        <row r="1718">
          <cell r="B1718">
            <v>5852</v>
          </cell>
          <cell r="C1718" t="str">
            <v>FLECHA DIRECCIONAL "FRENTE, DERECHA E  IZQUIERDA" (e= 2.3 mils. TERMOPLASTICA. AREA: 3.2095 m2 SEGUN EL MANUAL DE SEÑALIZACION VIAL. SUMINISTRO Y APLICACION CON EQUIPO. INCLUYE MICROESFERAS.</v>
          </cell>
          <cell r="D1718" t="str">
            <v>UN</v>
          </cell>
          <cell r="E1718">
            <v>358567</v>
          </cell>
        </row>
        <row r="1719">
          <cell r="B1719">
            <v>5854</v>
          </cell>
          <cell r="C1719" t="str">
            <v>DEMARCACION TEXTO PARE. AREA: 1.48 m2. (e= 2.3 mils, TERMOPLASTICA. SUMINISTRO Y APLICACION CON EQUIPO. INCLUYE MICROESFERAS.</v>
          </cell>
          <cell r="D1719" t="str">
            <v>UN</v>
          </cell>
          <cell r="E1719">
            <v>165322</v>
          </cell>
        </row>
        <row r="1720">
          <cell r="B1720">
            <v>5856</v>
          </cell>
          <cell r="C1720" t="str">
            <v>DEMARCACION DE ACHURADO. AREA: 1.0 m2. (e= 2.3 mils, TERMOPLASTICA. SUMINISTRO Y APLICACION CON EQUIPO. INCLUYE MICROESFERAS.</v>
          </cell>
          <cell r="D1720" t="str">
            <v>M2</v>
          </cell>
          <cell r="E1720">
            <v>116671</v>
          </cell>
        </row>
        <row r="1721">
          <cell r="B1721">
            <v>5858</v>
          </cell>
          <cell r="C1721" t="str">
            <v>DEMARCACION DE LINEA LOGARITMICA. AREA: 0.60 m2. (e= 2.3 mils, TERMOPLASTICA. SUMINISTRO Y APLICACION CON EQUIPO. INCLUYE MICROESFERAS.</v>
          </cell>
          <cell r="D1721" t="str">
            <v>M</v>
          </cell>
          <cell r="E1721">
            <v>68977</v>
          </cell>
        </row>
        <row r="1722">
          <cell r="B1722">
            <v>5860</v>
          </cell>
          <cell r="C1722" t="str">
            <v>DEMARCACION DE LINEA DE PARE. AREA: 0.60 m2. (e= 2.3 mils, TERMOPLASTICA. SUMINISTRO Y APLICACION CON EQUIPO. INCLUYE MICROESFERAS.</v>
          </cell>
          <cell r="D1722" t="str">
            <v>M2</v>
          </cell>
          <cell r="E1722">
            <v>72878</v>
          </cell>
        </row>
        <row r="1723">
          <cell r="B1723">
            <v>5862</v>
          </cell>
          <cell r="C1723" t="str">
            <v>DEMARCACION DE LINEA SENDERO PEATONAL. AREA: 0.30 m2. (e= 2.3 mils, TERMOPLASTICA. SUMINISTRO Y APLICACION CON EQUIPO. INCLUYE MICROESFERAS.</v>
          </cell>
          <cell r="D1723" t="str">
            <v>M</v>
          </cell>
          <cell r="E1723">
            <v>35870</v>
          </cell>
        </row>
        <row r="1724">
          <cell r="B1724">
            <v>5864</v>
          </cell>
          <cell r="C1724" t="str">
            <v>DEMARCACION ZONA ANTIBLOQUEO. AREA: 0.30 m2. (e= 2.3 mils, TERMOPLASTICA. SUMINISTRO Y APLICACION CON EQUIPO. INCLUYE MICROESFERAS.</v>
          </cell>
          <cell r="D1724" t="str">
            <v>M</v>
          </cell>
          <cell r="E1724">
            <v>35870</v>
          </cell>
        </row>
        <row r="1725">
          <cell r="B1725">
            <v>5866</v>
          </cell>
          <cell r="C1725" t="str">
            <v>DEMARCACION DE LINEA DE PARADERO DE BUSES. AREA: 5.5775 m2. (e= 2.3 mils, TERMOPLASTICA. SUMINISTRO Y APLICACION CON EQUIPO. INCLUYE MICROESFERAS.</v>
          </cell>
          <cell r="D1725" t="str">
            <v>UN</v>
          </cell>
          <cell r="E1725">
            <v>639353</v>
          </cell>
        </row>
        <row r="1726">
          <cell r="B1726">
            <v>5868</v>
          </cell>
          <cell r="C1726" t="str">
            <v>DEMARCACION PICTOGRAMA TRIANGULOS CEDA EL PASO. (e= 2.3 mils, TERMOPLASTICA. SUMINISTRO Y APLICACION CON EQUIPO. INCLUYE MICROESFERAS.</v>
          </cell>
          <cell r="D1726" t="str">
            <v>M2</v>
          </cell>
          <cell r="E1726">
            <v>111872</v>
          </cell>
        </row>
        <row r="1727">
          <cell r="B1727">
            <v>5870</v>
          </cell>
          <cell r="C1727" t="str">
            <v>DEMARCACION LINEA DE CEDA EL PASO DISCONTINUA. AREA: 0.32m2. (e= 2.3 mils, TERMOPLASTICA. SUMINISTRO Y APLICACION CON EQUIPO. INCLUYE MICROESFERAS.</v>
          </cell>
          <cell r="D1727" t="str">
            <v>UN</v>
          </cell>
          <cell r="E1727">
            <v>37426</v>
          </cell>
        </row>
        <row r="1728">
          <cell r="B1728">
            <v>5871</v>
          </cell>
          <cell r="C1728" t="str">
            <v>BASE DE CONCRETO PARA POSTE TIPO T1 O T2 (0.80m x 0.80m x 0.80m). CONSTRUCCION. INCLUYE EXCAVACION, CONCRETO 3000 PSI, FUNDIDA, ARMADURA Y CURVA 90° PVC D= 2". HASTA MENSULA DE 6.5m.</v>
          </cell>
          <cell r="D1728" t="str">
            <v>UN</v>
          </cell>
          <cell r="E1728">
            <v>296460</v>
          </cell>
        </row>
        <row r="1729">
          <cell r="B1729">
            <v>5872</v>
          </cell>
          <cell r="C1729" t="str">
            <v>BASE DE CONCRETO PARA POSTE TIPO T1 O T2 (0.80m x 0.80m x 0.80m). CONSTRUCCION. INCLUYE EXCAVACION, CONCRETO 3000 PSI, FUNDIDA, ARMADURA Y CURVA 90° PVC D= 2". HASTA MENSULA DE 8.5m.</v>
          </cell>
          <cell r="D1729" t="str">
            <v>UN</v>
          </cell>
          <cell r="E1729">
            <v>311127</v>
          </cell>
        </row>
        <row r="1730">
          <cell r="B1730">
            <v>5873</v>
          </cell>
          <cell r="C1730" t="str">
            <v>CURVA 90° PVC D= 2". SUMINISTRO E INSTALACION. NO INCLUYE RELLENOS.</v>
          </cell>
          <cell r="D1730" t="str">
            <v>UN</v>
          </cell>
          <cell r="E1730">
            <v>15817</v>
          </cell>
        </row>
        <row r="1731">
          <cell r="B1731">
            <v>5874</v>
          </cell>
          <cell r="C1731" t="str">
            <v>PEDESTAL EN CONCRETO DE 3000 PSI (0.30m x 0.40m x 1.00m) O MEDIDAS SIMILARES. CONSTRUCCION. CON DOS DUCTOS PESADOS DE PVC TIPO DB D= 2".</v>
          </cell>
          <cell r="D1731" t="str">
            <v>UN</v>
          </cell>
          <cell r="E1731">
            <v>145191</v>
          </cell>
        </row>
        <row r="1732">
          <cell r="B1732">
            <v>5875</v>
          </cell>
          <cell r="C1732" t="str">
            <v>RETIRO DE POSTES T1, T1X Y T2 (Incluye grua).</v>
          </cell>
          <cell r="D1732" t="str">
            <v>UN</v>
          </cell>
          <cell r="E1732">
            <v>180251</v>
          </cell>
        </row>
        <row r="1733">
          <cell r="B1733">
            <v>5876</v>
          </cell>
          <cell r="C1733" t="str">
            <v>RETIRO Y REUBICACION DE POSTES T1, T1X Y T2 (Incluye grua).</v>
          </cell>
          <cell r="D1733" t="str">
            <v>UN</v>
          </cell>
          <cell r="E1733">
            <v>294996</v>
          </cell>
        </row>
        <row r="1734">
          <cell r="B1734">
            <v>5877</v>
          </cell>
          <cell r="C1734" t="str">
            <v>REUBICACION DE SEMAFORO PEATONAL.</v>
          </cell>
          <cell r="D1734" t="str">
            <v>UN</v>
          </cell>
          <cell r="E1734">
            <v>51319</v>
          </cell>
        </row>
        <row r="1735">
          <cell r="B1735">
            <v>5878</v>
          </cell>
          <cell r="C1735" t="str">
            <v>POSTE TIPO MASTIL T1X (5.00m) EN TUBO SCH 40 GALVANIZADO Y PINTADO. SUMINISTRO E INSTALACIÓN.</v>
          </cell>
          <cell r="D1735" t="str">
            <v>UN</v>
          </cell>
          <cell r="E1735">
            <v>2126960</v>
          </cell>
        </row>
        <row r="1736">
          <cell r="B1736">
            <v>5879</v>
          </cell>
          <cell r="C1736" t="str">
            <v>REUBICACION DE SEMAFORO VEHICULAR PARA FIJACION DE MASTIL.</v>
          </cell>
          <cell r="D1736" t="str">
            <v>UN</v>
          </cell>
          <cell r="E1736">
            <v>194670</v>
          </cell>
        </row>
        <row r="1737">
          <cell r="B1737">
            <v>5880</v>
          </cell>
          <cell r="C1737" t="str">
            <v>REUBICACION DE SEMAFORO VEHICULAR PARA FIJACION DE MENSULA.</v>
          </cell>
          <cell r="D1737" t="str">
            <v>UN</v>
          </cell>
          <cell r="E1737">
            <v>243337</v>
          </cell>
        </row>
        <row r="1738">
          <cell r="B1738">
            <v>5881</v>
          </cell>
          <cell r="C1738" t="str">
            <v>RETIRO DE SOLDADURA PARA TAPAS RECTANGULARES DE CAJAS DE PASO.</v>
          </cell>
          <cell r="D1738" t="str">
            <v>UN</v>
          </cell>
          <cell r="E1738">
            <v>2262</v>
          </cell>
        </row>
        <row r="1739">
          <cell r="B1739">
            <v>5882</v>
          </cell>
          <cell r="C1739" t="str">
            <v>PLATINA DE POSTE (Cuadrada de 0.30m x 0.30m fabricada en hierro de 3/8" de espesor con 4 orificios de 3/4" y una perforacion central de 3" para fijacion del poste al anclaje base).</v>
          </cell>
          <cell r="D1739" t="str">
            <v>UN</v>
          </cell>
          <cell r="E1739">
            <v>81299</v>
          </cell>
        </row>
        <row r="1740">
          <cell r="B1740">
            <v>5883</v>
          </cell>
          <cell r="C1740" t="str">
            <v>COLOCACION DE SOLDADURA E-7018 PARA TAPAS RECTANGULARES DE CAJAS DE PASO.</v>
          </cell>
          <cell r="D1740" t="str">
            <v>UN</v>
          </cell>
          <cell r="E1740">
            <v>8625</v>
          </cell>
        </row>
        <row r="1741">
          <cell r="B1741">
            <v>5884</v>
          </cell>
          <cell r="C1741" t="str">
            <v>APLICACION DE PINTURA EN VIA DE POSTES TIPO MASTIL T1 Y T1X.</v>
          </cell>
          <cell r="D1741" t="str">
            <v>UN</v>
          </cell>
          <cell r="E1741">
            <v>57478</v>
          </cell>
        </row>
        <row r="1742">
          <cell r="B1742">
            <v>5885</v>
          </cell>
          <cell r="C1742" t="str">
            <v>PINTURA EN VIA DE POSTES TIPO MENSULA T2 (L= 4.50m A 6.50m).</v>
          </cell>
          <cell r="D1742" t="str">
            <v>UN</v>
          </cell>
          <cell r="E1742">
            <v>63103</v>
          </cell>
        </row>
        <row r="1743">
          <cell r="B1743">
            <v>5886</v>
          </cell>
          <cell r="C1743" t="str">
            <v>TUBERIA DE CONCRETO DE ALTA RESISTENCIA D= 8" (INCLUYE MORTERO DE INSTALACION). SUMINISTRO E INSTALACION.</v>
          </cell>
          <cell r="D1743" t="str">
            <v>M</v>
          </cell>
          <cell r="E1743">
            <v>219668</v>
          </cell>
        </row>
        <row r="1744">
          <cell r="B1744">
            <v>5887</v>
          </cell>
          <cell r="C1744" t="str">
            <v>TUBERIA DE CONCRETO DE ALTA RESISTENCIA D= 16" (INCLUYE MORTERO DE INSTALACION). SUMINISTRO E INSTALACION.</v>
          </cell>
          <cell r="D1744" t="str">
            <v>M</v>
          </cell>
          <cell r="E1744">
            <v>393072</v>
          </cell>
        </row>
        <row r="1745">
          <cell r="B1745">
            <v>5888</v>
          </cell>
          <cell r="C1745" t="str">
            <v>TUBERIA DE CONCRETO DE ALTA RESISTENCIA D= 18" (INCLUYE MORTERO DE INSTALACION). SUMINISTRO E INSTALACION.</v>
          </cell>
          <cell r="D1745" t="str">
            <v>M</v>
          </cell>
          <cell r="E1745">
            <v>469982</v>
          </cell>
        </row>
        <row r="1746">
          <cell r="B1746">
            <v>5889</v>
          </cell>
          <cell r="C1746" t="str">
            <v>TUBERIA DE CONCRETO DE ALTA RESISTENCIA D= 20" (INCLUYE MORTERO DE INSTALACION). SUMINISTRO E INSTALACION.</v>
          </cell>
          <cell r="D1746" t="str">
            <v>M</v>
          </cell>
          <cell r="E1746">
            <v>541852</v>
          </cell>
        </row>
        <row r="1747">
          <cell r="B1747">
            <v>5890</v>
          </cell>
          <cell r="C1747" t="str">
            <v>ENTIBADO TIPO ED2, DISCONTINUO EN MADERA, CON PERFILES METALICOS Y PARALES TELESCOPICOS (Incluye suministro e instalacion).</v>
          </cell>
          <cell r="D1747" t="str">
            <v>M2</v>
          </cell>
          <cell r="E1747">
            <v>23274</v>
          </cell>
        </row>
        <row r="1748">
          <cell r="B1748">
            <v>5891</v>
          </cell>
          <cell r="C1748" t="str">
            <v>EXCAVACION MECANICA PARA REDES PROFUNDIDAD MAYORES A 3.5m (Incluye Cargue).</v>
          </cell>
          <cell r="D1748" t="str">
            <v>M3</v>
          </cell>
          <cell r="E1748">
            <v>3451</v>
          </cell>
        </row>
        <row r="1749">
          <cell r="B1749">
            <v>5892</v>
          </cell>
          <cell r="C1749" t="str">
            <v>EMPATE EN LÍNEA DE TUBERÍA DE ACERO (HA) A ASBESTO CEMENTO (AC) 3". SUMINISTRO E INSTALACIÓN. (INCLUYE DOS ACOPLES UNIVERSAL D= 3" R1  Y 1mt DE TUBERÍA PVC D= 3" RDE 21).</v>
          </cell>
          <cell r="D1749" t="str">
            <v>UN</v>
          </cell>
          <cell r="E1749">
            <v>237266</v>
          </cell>
        </row>
        <row r="1750">
          <cell r="B1750">
            <v>5893</v>
          </cell>
          <cell r="C1750" t="str">
            <v>EMPATE EN LÍNEA DE TUBERÍA DE ACERO (HA) A ASBESTO CEMENTO (AC) 4". SUMINISTRO E INSTALACIÓN. (INCLUYE DOS ACOPLES UNIVERSAL D= 4" R1  Y 1mt DE TUBERÍA PVC D= 4" RDE 21).</v>
          </cell>
          <cell r="D1750" t="str">
            <v>UN</v>
          </cell>
          <cell r="E1750">
            <v>275322</v>
          </cell>
        </row>
        <row r="1751">
          <cell r="B1751">
            <v>5894</v>
          </cell>
          <cell r="C1751" t="str">
            <v>EMPATE EN LÍNEA DE TUBERÍA DE ACERO (HA) A ASBESTO CEMENTO (AC) 12". SUMINISTRO E INSTALACIÓN. (INCLUYE DOS ACOPLES UNIVERSAL D= 12" R1  Y 1mt DE TUBERÍA PVC D= 12" RDE 21).</v>
          </cell>
          <cell r="D1751" t="str">
            <v>UN</v>
          </cell>
          <cell r="E1751">
            <v>1405559</v>
          </cell>
        </row>
        <row r="1752">
          <cell r="B1752">
            <v>5895</v>
          </cell>
          <cell r="C1752" t="str">
            <v>VALOR IVP POR TALA DE INDIVIDUOS VEGETALES NO INCLUIDOS EN EL MANUAL DE SILVICULTURA URBANA CON ALTURA &lt; 5m SEGUN RESOLUCION 7132 DEL 30/12/2011 DE LA SDA.</v>
          </cell>
          <cell r="D1752" t="str">
            <v>UN</v>
          </cell>
          <cell r="E1752">
            <v>849913</v>
          </cell>
        </row>
        <row r="1753">
          <cell r="B1753">
            <v>5896</v>
          </cell>
          <cell r="C1753" t="str">
            <v xml:space="preserve">VALOR IVP POR TALA DE INDIVIDUOS VEGETALES NO INCLUIDOS EN EL MANUAL DE SILVICULTURA URBANA CON ALTURA &gt; 5m SEGUN RESOLUCION 7132 DEL 30/12/2011 DE LA SDA. </v>
          </cell>
          <cell r="D1753" t="str">
            <v>UN</v>
          </cell>
          <cell r="E1753">
            <v>888975</v>
          </cell>
        </row>
        <row r="1754">
          <cell r="B1754">
            <v>5897</v>
          </cell>
          <cell r="C1754" t="str">
            <v xml:space="preserve">VALOR IVP POR TALA DE INDIVIDUOS VEGETALES INCLUIDOS EN EL MANUAL DE SILVICULTURA URBANA CON ALTURA &lt; 5m SEGUN RESOLUCION 7132 DEL 30/12/2011 DE LA SDA. </v>
          </cell>
          <cell r="D1754" t="str">
            <v>UN</v>
          </cell>
          <cell r="E1754">
            <v>928037</v>
          </cell>
        </row>
        <row r="1755">
          <cell r="B1755">
            <v>5898</v>
          </cell>
          <cell r="C1755" t="str">
            <v>VALOR IVP POR TALA DE INDIVIDUOS VEGETALES INCLUIDOS EN EL MANUAL DE SILVICULTURA URBANA CON ALTURA &gt; 5m SEGUN RESOLUCION 7132 DEL 30/12/2011 DE LA SDA.</v>
          </cell>
          <cell r="D1755" t="str">
            <v>UN</v>
          </cell>
          <cell r="E1755">
            <v>1123348</v>
          </cell>
        </row>
        <row r="1756">
          <cell r="B1756">
            <v>5899</v>
          </cell>
          <cell r="C1756" t="str">
            <v>VALOR IVP POR TALA DE INDIVIDUOS VEGETALES INCLUIDOS EN EL MANUAL DE SILVICULTURA URBANA (SETO) CON ALTURA &lt; 2m SEGUN RESOLUCION 7132 DEL 30/12/2011 DE LA SDA.</v>
          </cell>
          <cell r="D1756" t="str">
            <v>UN</v>
          </cell>
          <cell r="E1756">
            <v>92804</v>
          </cell>
        </row>
        <row r="1757">
          <cell r="B1757">
            <v>5900</v>
          </cell>
          <cell r="C1757" t="str">
            <v>VALOR IVP POR TALA DE INDIVIDUOS VEGETALES INCLUIDOS EN EL MANUAL DE SILVICULTURA URBANA (SETO) CON ALTURA &gt; 2m SEGUN RESOLUCION 7132 DEL 30/12/2011 DE LA SDA.</v>
          </cell>
          <cell r="D1757" t="str">
            <v>UN</v>
          </cell>
          <cell r="E1757">
            <v>171760</v>
          </cell>
        </row>
        <row r="1758">
          <cell r="B1758">
            <v>5901</v>
          </cell>
          <cell r="C1758" t="str">
            <v>VALOR IVP POR TALA DE INDIVIDUOS VEGETALES NO INCLUIDOS EN EL MANUAL DE SILVICULTURA URBANA (SETO) CON ALTURA &lt; 2m SEGUN RESOLUCION 7132 DEL 30/12/2011 DE LA SDA.</v>
          </cell>
          <cell r="D1758" t="str">
            <v>UN</v>
          </cell>
          <cell r="E1758">
            <v>84991</v>
          </cell>
        </row>
        <row r="1759">
          <cell r="B1759">
            <v>5902</v>
          </cell>
          <cell r="C1759" t="str">
            <v>VALOR IVP POR TALA DE INDIVIDUOS VEGETALES NO INCLUIDOS EN EL MANUAL DE SILVICULTURA URBANA (SETO) CON ALTURA &gt; 2m SEGUN RESOLUCION 7132 DEL 30/12/2011 DE LA SDA.</v>
          </cell>
          <cell r="D1759" t="str">
            <v>UN</v>
          </cell>
          <cell r="E1759">
            <v>135924</v>
          </cell>
        </row>
        <row r="1760">
          <cell r="B1760">
            <v>5903</v>
          </cell>
          <cell r="C1760" t="str">
            <v>EVALUACION PARA TRATAMIENTOS A LA VEGETACION DE LA SDA. CANTIDAD &lt; 25 ARBOLES (SEGUN RESOLUCION SDA No. 5589 DEL 30/09/2011.</v>
          </cell>
          <cell r="D1760" t="str">
            <v>UN</v>
          </cell>
          <cell r="E1760">
            <v>71874</v>
          </cell>
        </row>
        <row r="1761">
          <cell r="B1761">
            <v>5904</v>
          </cell>
          <cell r="C1761" t="str">
            <v>SEGUIMIENTO PARA TRATAMIENTOS A LA VEGETACION DE LA SDA. CANTIDAD &lt; 25 ARBOLES (SEGUN RESOLUCION SDA No. 5589 DEL 30/09/2011.</v>
          </cell>
          <cell r="D1761" t="str">
            <v>UN</v>
          </cell>
          <cell r="E1761">
            <v>151561</v>
          </cell>
        </row>
        <row r="1762">
          <cell r="B1762">
            <v>5905</v>
          </cell>
          <cell r="C1762" t="str">
            <v>EVALUACION PARA TRATAMIENTOS A LA VEGETACION DE LA SDA. CANTIDAD 25 - 49 ARBOLES (SEGUN RESOLUCION SDA No. 5589 DEL 30/09/2011.</v>
          </cell>
          <cell r="D1762" t="str">
            <v>UN</v>
          </cell>
          <cell r="E1762">
            <v>98436</v>
          </cell>
        </row>
        <row r="1763">
          <cell r="B1763">
            <v>5906</v>
          </cell>
          <cell r="C1763" t="str">
            <v>SEGUIMIENTO PARA TRATAMIENTOS A LA VEGETACION DE LA SDA. CANTIDAD 25 - 49 ARBOLES (SEGUN RESOLUCION SDA No. 5589 DEL 30/09/2011.</v>
          </cell>
          <cell r="D1763" t="str">
            <v>UN</v>
          </cell>
          <cell r="E1763">
            <v>203904</v>
          </cell>
        </row>
        <row r="1764">
          <cell r="B1764">
            <v>5907</v>
          </cell>
          <cell r="C1764" t="str">
            <v>EVALUACION PARA TRATAMIENTOS A LA VEGETACION DE LA SDA. CANTIDAD 50 - 99 ARBOLES (SEGUN RESOLUCION SDA No. 5589 DEL 30/09/2011.</v>
          </cell>
          <cell r="D1764" t="str">
            <v>UN</v>
          </cell>
          <cell r="E1764">
            <v>124999</v>
          </cell>
        </row>
        <row r="1765">
          <cell r="B1765">
            <v>5908</v>
          </cell>
          <cell r="C1765" t="str">
            <v>SEGUIMIENTO PARA TRATAMIENTOS A LA VEGETACION DE LA SDA. CANTIDAD 50 - 99 ARBOLES (SEGUN RESOLUCION SDA No. 5589 DEL 30/09/2011.</v>
          </cell>
          <cell r="D1765" t="str">
            <v>UN</v>
          </cell>
          <cell r="E1765">
            <v>257029</v>
          </cell>
        </row>
        <row r="1766">
          <cell r="B1766">
            <v>5909</v>
          </cell>
          <cell r="C1766" t="str">
            <v>EVALUACION PARA TRATAMIENTOS A LA VEGETACION DE LA SDA. CANTIDAD 100 - 199 ARBOLES (SEGUN RESOLUCION SDA No. 5589 DEL 30/09/2011.</v>
          </cell>
          <cell r="D1766" t="str">
            <v>UN</v>
          </cell>
          <cell r="E1766">
            <v>151561</v>
          </cell>
        </row>
        <row r="1767">
          <cell r="B1767">
            <v>5910</v>
          </cell>
          <cell r="C1767" t="str">
            <v>SEGUIMIENTO PARA TRATAMIENTOS A LA VEGETACION DE LA SDA. CANTIDAD 100 - 199 ARBOLES (SEGUN RESOLUCION SDA No. 5589 DEL 30/09/2011.</v>
          </cell>
          <cell r="D1767" t="str">
            <v>UN</v>
          </cell>
          <cell r="E1767">
            <v>310153</v>
          </cell>
        </row>
        <row r="1768">
          <cell r="B1768">
            <v>5911</v>
          </cell>
          <cell r="C1768" t="str">
            <v>EVALUACION PARA TRATAMIENTOS A LA VEGETACION DE LA SDA. CANTIDAD 200 - 299 ARBOLES (SEGUN RESOLUCION SDA No. 5589 DEL 30/09/2011.</v>
          </cell>
          <cell r="D1768" t="str">
            <v>UN</v>
          </cell>
          <cell r="E1768">
            <v>203904</v>
          </cell>
        </row>
        <row r="1769">
          <cell r="B1769">
            <v>5912</v>
          </cell>
          <cell r="C1769" t="str">
            <v>SEGUIMIENTO PARA TRATAMIENTOS A LA VEGETACION DE LA SDA. CANTIDAD 200 - 299 ARBOLES (SEGUN RESOLUCION SDA No. 5589 DEL 30/09/2011.</v>
          </cell>
          <cell r="D1769" t="str">
            <v>UN</v>
          </cell>
          <cell r="E1769">
            <v>415621</v>
          </cell>
        </row>
        <row r="1770">
          <cell r="B1770">
            <v>5913</v>
          </cell>
          <cell r="C1770" t="str">
            <v>EVALUACION PARA TRATAMIENTOS A LA VEGETACION DE LA SDA. CANTIDAD 300 - 399 ARBOLES (SEGUN RESOLUCION SDA No. 5589 DEL 30/09/2011.</v>
          </cell>
          <cell r="D1770" t="str">
            <v>UN</v>
          </cell>
          <cell r="E1770">
            <v>302341</v>
          </cell>
        </row>
        <row r="1771">
          <cell r="B1771">
            <v>5914</v>
          </cell>
          <cell r="C1771" t="str">
            <v>SEGUIMIENTO PARA TRATAMIENTOS A LA VEGETACION DE LA SDA. CANTIDAD 300 - 399 ARBOLES (SEGUN RESOLUCION SDA No. 5589 DEL 30/09/2011.</v>
          </cell>
          <cell r="D1771" t="str">
            <v>UN</v>
          </cell>
          <cell r="E1771">
            <v>521088</v>
          </cell>
        </row>
        <row r="1772">
          <cell r="B1772">
            <v>5915</v>
          </cell>
          <cell r="C1772" t="str">
            <v>EVALUACION PARA TRATAMIENTOS A LA VEGETACION DE LA SDA. CANTIDAD 400 - 499 ARBOLES (SEGUN RESOLUCION SDA No. 5589 DEL 30/09/2011.</v>
          </cell>
          <cell r="D1772" t="str">
            <v>UN</v>
          </cell>
          <cell r="E1772">
            <v>400777</v>
          </cell>
        </row>
        <row r="1773">
          <cell r="B1773">
            <v>5916</v>
          </cell>
          <cell r="C1773" t="str">
            <v>SEGUIMIENTO PARA TRATAMIENTOS A LA VEGETACION DE LA SDA. CANTIDAD 400 - 499 ARBOLES (SEGUN RESOLUCION SDA No. 5589 DEL 30/09/2011.</v>
          </cell>
          <cell r="D1773" t="str">
            <v>UN</v>
          </cell>
          <cell r="E1773">
            <v>785929</v>
          </cell>
        </row>
        <row r="1774">
          <cell r="B1774">
            <v>5917</v>
          </cell>
          <cell r="C1774" t="str">
            <v>EVALUACION PARA TRATAMIENTOS A LA VEGETACION DE LA SDA. CANTIDAD 500 - 999 ARBOLES (SEGUN RESOLUCION SDA No. 5589 DEL 30/09/2011.</v>
          </cell>
          <cell r="D1774" t="str">
            <v>UN</v>
          </cell>
          <cell r="E1774">
            <v>665618</v>
          </cell>
        </row>
        <row r="1775">
          <cell r="B1775">
            <v>5918</v>
          </cell>
          <cell r="C1775" t="str">
            <v>SEGUIMIENTO PARA TRATAMIENTOS A LA VEGETACION DE LA SDA. CANTIDAD 500 - 999 ARBOLES (SEGUN RESOLUCION SDA No. 5589 DEL 30/09/2011.</v>
          </cell>
          <cell r="D1775" t="str">
            <v>UN</v>
          </cell>
          <cell r="E1775">
            <v>1511703</v>
          </cell>
        </row>
        <row r="1776">
          <cell r="B1776">
            <v>5919</v>
          </cell>
          <cell r="C1776" t="str">
            <v>EVALUACION PARA TRATAMIENTOS A LA VEGETACION DE LA SDA. CANTIDAD &gt; 1000 ARBOLES (SEGUN RESOLUCION SDA No. 5589 DEL 30/09/2011.</v>
          </cell>
          <cell r="D1776" t="str">
            <v>UN</v>
          </cell>
          <cell r="E1776">
            <v>824210</v>
          </cell>
        </row>
        <row r="1777">
          <cell r="B1777">
            <v>5920</v>
          </cell>
          <cell r="C1777" t="str">
            <v>SEGUIMIENTO PARA TRATAMIENTOS A LA VEGETACION DE LA SDA. CANTIDAD &gt;1000 ARBOLES (SEGUN RESOLUCION SDA No. 5589 DEL 30/09/2011.</v>
          </cell>
          <cell r="D1777" t="str">
            <v>UN</v>
          </cell>
          <cell r="E1777">
            <v>1775763</v>
          </cell>
        </row>
        <row r="1778">
          <cell r="B1778">
            <v>5921</v>
          </cell>
          <cell r="C1778" t="str">
            <v>DESMONTE DE PARADERO URBANO TIPO M10 (INCLUYE CARGUE Y TRANSPORTE A ALMACEN AUTORIZADO POR EL IDU.</v>
          </cell>
          <cell r="D1778" t="str">
            <v>UN</v>
          </cell>
          <cell r="E1778">
            <v>305297</v>
          </cell>
        </row>
        <row r="1779">
          <cell r="B1779">
            <v>5922</v>
          </cell>
          <cell r="C1779" t="str">
            <v>DESMONTE DE TELÉFONO PUBLICO DE PEDESTAL  TIPO M20 (INCLUYE CARGUE Y TRANSPORTE A ALMACÉN AUTORIZADO POR EL IDU (NO INCLUYE REPARACIÓN DEL SITIO).</v>
          </cell>
          <cell r="D1779" t="str">
            <v>UN</v>
          </cell>
          <cell r="E1779">
            <v>48820</v>
          </cell>
        </row>
        <row r="1780">
          <cell r="B1780">
            <v>5923</v>
          </cell>
          <cell r="C1780" t="str">
            <v>DESMONTE DE BANCA EN CONCRETO TIPO M30 (INCLUYE CARGUE Y TRANSPORTE A ALMACEN AUTORIZADO POR EL IDU (NO INCLUYE REPARACION DEL SITIO).</v>
          </cell>
          <cell r="D1780" t="str">
            <v>UN</v>
          </cell>
          <cell r="E1780">
            <v>74636</v>
          </cell>
        </row>
        <row r="1781">
          <cell r="B1781">
            <v>5924</v>
          </cell>
          <cell r="C1781" t="str">
            <v>DESMONTE DE PROTECTOR DE ARBOL TIPO M90 (INCLUYE CARGUE Y TRANSPORTE A ALMACEN AUTORIZADO POR EL IDU (NO INCLUYE REPARACION DEL SITIO).</v>
          </cell>
          <cell r="D1781" t="str">
            <v>UN</v>
          </cell>
          <cell r="E1781">
            <v>16528</v>
          </cell>
        </row>
        <row r="1782">
          <cell r="B1782">
            <v>5927</v>
          </cell>
          <cell r="C1782" t="str">
            <v>CARTELERA TIPO PUNTO CREA DE 1.00m x 1.00m EN ALUMINIO ANODIZADO, CON PAÑO COLOR GRIS, CENEFA SUPERIOR, PUERTAS CORREDIZAS, LOGO INSTITUCIONAL. INCLUYE SUMINISTRO E INSTALACION.</v>
          </cell>
          <cell r="D1782" t="str">
            <v>UN</v>
          </cell>
          <cell r="E1782">
            <v>460547</v>
          </cell>
        </row>
        <row r="1783">
          <cell r="B1783">
            <v>5928</v>
          </cell>
          <cell r="C1783" t="str">
            <v>CAMARA FOTOGRAFICA DIGITAL COMPACTA. ALQUILER. DE 16.2 MEGAPIXELES. MEMORIA DE 6 GB. VIDEO HD CON PAUSA Y ZOOM. INCLUYE TRANSPORTE, SOPORTE TECNICO.</v>
          </cell>
          <cell r="D1783" t="str">
            <v>MES</v>
          </cell>
          <cell r="E1783">
            <v>17500</v>
          </cell>
        </row>
        <row r="1784">
          <cell r="B1784">
            <v>5933</v>
          </cell>
          <cell r="C1784" t="str">
            <v>CUBIERTA 333C SENCILLA EN ALUZINC CAL. 24. SUM E INSTAL. PANEL SIN TRASLAPOS LONGITUDINALES. PINTURA PLASTISOL/DURANAR POR 1 CARA. COLOR A  ESCOGER (e= 24 micrones). CLIPS METALICOS OCULTOS AISLANTE EN FIBRA DE VIDRIO DE 38mm.</v>
          </cell>
          <cell r="D1784" t="str">
            <v>M2</v>
          </cell>
          <cell r="E1784">
            <v>178330</v>
          </cell>
        </row>
        <row r="1785">
          <cell r="B1785">
            <v>5934</v>
          </cell>
          <cell r="C1785" t="str">
            <v>CUBIERTA 380C SENCILLA EN ALUZINC CAL. 24. SUM E INSTAL. PANEL SIN TRASLAPOS LONGITUDINALES. PINTURA PLASTISOL/DURANAR POR 1 CARA. COLOR A  ESCOGER (e= 24 micrones). CLIPS METALICOS OCULTOS AISLANTE EN FIBRA DE VIDRIO DE 38mm.</v>
          </cell>
          <cell r="D1785" t="str">
            <v>M2</v>
          </cell>
          <cell r="E1785">
            <v>178330</v>
          </cell>
        </row>
        <row r="1786">
          <cell r="B1786">
            <v>5935</v>
          </cell>
          <cell r="C1786" t="str">
            <v>CIELO RASO BAFFLE EN ALUZINC LISO COLOR ALUMINIO MEDIO. SUMINISTRO E INSTALACION. INCL FIJACION CON SISTEMA DE TRABA DE PRESION A UN RIEL PORTAPANEL. SECCION 25mm CON DISTANCIA CADA 100mm Y ALTURA 100mm.</v>
          </cell>
          <cell r="D1786" t="str">
            <v>M2</v>
          </cell>
          <cell r="E1786">
            <v>179477</v>
          </cell>
        </row>
        <row r="1787">
          <cell r="B1787">
            <v>5936</v>
          </cell>
          <cell r="C1787" t="str">
            <v>CIELO 84R EN ALUZINC LISO COLOR ALUMINIO MEDIO. SUMINISTRO E INSTALACION. INCL FIJACION ALA ESTRUCTURA DEL PORTAPANEL POR MEDIO DE AMARRES CADA METRO. ANCHO DEL PANEL DE 84mm</v>
          </cell>
          <cell r="D1787" t="str">
            <v>M2</v>
          </cell>
          <cell r="E1787">
            <v>185283</v>
          </cell>
        </row>
        <row r="1788">
          <cell r="B1788">
            <v>5937</v>
          </cell>
          <cell r="C1788" t="str">
            <v>TEJA LUZ GIP EN PRFV PANEL BIOCLIMATICO COMPUESTO POR 2 TEJAS FABRICADAS CON RESINA DE POLIESTER RETARDANTE AL FUEGO REFORZADA CON FIBRA DE VIDRIO. SUM E INST. ONDULADO TRAPEZOIDAL A=100cm h=7.20cm CAPA SUP CLASE 6 COLOR T3.</v>
          </cell>
          <cell r="D1788" t="str">
            <v>M2</v>
          </cell>
          <cell r="E1788">
            <v>247175</v>
          </cell>
        </row>
        <row r="1789">
          <cell r="B1789">
            <v>5938</v>
          </cell>
          <cell r="C1789" t="str">
            <v>SEPARADOR NEW JERSEY MONODIRECCIONAL 0.375m x 0.90m x 0.15m (Prefabricado. Incluye Sum. e Inst. No Inc. material de base).</v>
          </cell>
          <cell r="D1789" t="str">
            <v>M</v>
          </cell>
          <cell r="E1789">
            <v>504797</v>
          </cell>
        </row>
        <row r="1790">
          <cell r="B1790">
            <v>5939</v>
          </cell>
          <cell r="C1790" t="str">
            <v>PILOTE D=20 CM (Incl. Excavación, Cargue y Retiro de Sobrantes, Movilización, montaje y desmontaje equipo, y concreto).</v>
          </cell>
          <cell r="D1790" t="str">
            <v>M</v>
          </cell>
          <cell r="E1790">
            <v>270740</v>
          </cell>
        </row>
        <row r="1791">
          <cell r="B1791">
            <v>5940</v>
          </cell>
          <cell r="C1791" t="str">
            <v>CONCRETO 3000 PSI PARA ZAPATA (Premezclado. Incluye bombeo, Sumin., Formaleteo y Colocación. No incl. Refuerzo, Curado).</v>
          </cell>
          <cell r="D1791" t="str">
            <v>M3</v>
          </cell>
          <cell r="E1791">
            <v>566991</v>
          </cell>
        </row>
        <row r="1792">
          <cell r="B1792">
            <v>5941</v>
          </cell>
          <cell r="C1792" t="str">
            <v>CONCRETO 3000 PSI PARA VIGAS DE CIMENTACION ESTACIONES DE TRANSMILENIO DE 0.45m x 0.45m (Premezclado. Incluye Sumin., Formaleteo y Colocación. No incl. Refuerzo, Curado).</v>
          </cell>
          <cell r="D1792" t="str">
            <v>M3</v>
          </cell>
          <cell r="E1792">
            <v>588650</v>
          </cell>
        </row>
        <row r="1793">
          <cell r="B1793">
            <v>5942</v>
          </cell>
          <cell r="C1793" t="str">
            <v>CONCRETO 5000 PSI PARA VIGA TIPO I DE 1.40m x 0.65m CON ALA DE 0.20m Y LONGITUD DE 27.0m(Premezclado. Incluye Sumin., Formaleteo y Colocación. No incl. Refuerzo, Curado).</v>
          </cell>
          <cell r="D1793" t="str">
            <v>M3</v>
          </cell>
          <cell r="E1793">
            <v>780600</v>
          </cell>
        </row>
        <row r="1794">
          <cell r="B1794">
            <v>5943</v>
          </cell>
          <cell r="C1794" t="str">
            <v>CONCRETO 4000 PSI PARA VIGA RIOSTRA DE 0.60m x 0.30m x 5.30m (Premezclado. Incluye Sumin., Formaleteo y Colocación. No incl. Refuerzo, Curado).</v>
          </cell>
          <cell r="D1794" t="str">
            <v>M3</v>
          </cell>
          <cell r="E1794">
            <v>683826</v>
          </cell>
        </row>
        <row r="1795">
          <cell r="B1795">
            <v>5944</v>
          </cell>
          <cell r="C1795" t="str">
            <v>CONCRETO 4000 PSI PARA TABLERO PUENTE DE 5.30m x 0.20m x 27.00m (Premezclado. Incluye Sumin., Formaleteo y Colocación. No incl. Refuerzo, Curado).</v>
          </cell>
          <cell r="D1795" t="str">
            <v>M3</v>
          </cell>
          <cell r="E1795">
            <v>608707</v>
          </cell>
        </row>
        <row r="1796">
          <cell r="B1796">
            <v>5945</v>
          </cell>
          <cell r="C1796" t="str">
            <v>CONCRETO 3500 PSI PARA RECALCE DE 0.05m x 0.50m x 1.20m (Premezclado. Incluye Sumin., Formaleteo y Colocación. No incl. Refuerzo, Curado).</v>
          </cell>
          <cell r="D1796" t="str">
            <v>M3</v>
          </cell>
          <cell r="E1796">
            <v>558839</v>
          </cell>
        </row>
        <row r="1797">
          <cell r="B1797">
            <v>5946</v>
          </cell>
          <cell r="C1797" t="str">
            <v>CONCRETO 3500 PSI PARA TOPE SISMICO DE 0.35m x 0.80m x 1.00m (Premezclado. Incluye Sumin., Formaleteo y Colocación. No incl. Refuerzo, Curado).</v>
          </cell>
          <cell r="D1797" t="str">
            <v>M3</v>
          </cell>
          <cell r="E1797">
            <v>558215</v>
          </cell>
        </row>
        <row r="1798">
          <cell r="B1798">
            <v>5947</v>
          </cell>
          <cell r="C1798" t="str">
            <v>CONCRETO 3000 PSI PARA PLACA DE APROXIMACION PUENTE VEHICULAR DE 5.00m x 3.50m x 0.20m (Premezclado. Incluye Sumin., Formaleteo y Colocación. No incl. Refuerzo, Curado).</v>
          </cell>
          <cell r="D1798" t="str">
            <v>M3</v>
          </cell>
          <cell r="E1798">
            <v>613986</v>
          </cell>
        </row>
        <row r="1799">
          <cell r="B1799">
            <v>5948</v>
          </cell>
          <cell r="C1799" t="str">
            <v>CONCRETO 3500 PSI PARA ESPALDAR ESTRIBOS CON MENSULA SECCION 5.30m x 1.70m x 0.30m (Premezclado. Incluye Sumin., Formaleteo y Colocación. No incl. Refuerzo, Curado).</v>
          </cell>
          <cell r="D1799" t="str">
            <v>M3</v>
          </cell>
          <cell r="E1799">
            <v>644648</v>
          </cell>
        </row>
        <row r="1800">
          <cell r="B1800">
            <v>5949</v>
          </cell>
          <cell r="C1800" t="str">
            <v>CONCRETO 3500 PSI PARA DADO DE CIMENTACIÓN SECCIÓN 1.70m x 1.00m x 5.30m (Premezclado. Incluye Sumin., Formaleteo y Colocación. No incl. Refuerzo, Curado).</v>
          </cell>
          <cell r="D1800" t="str">
            <v>M3</v>
          </cell>
          <cell r="E1800">
            <v>665031</v>
          </cell>
        </row>
        <row r="1801">
          <cell r="B1801">
            <v>5950</v>
          </cell>
          <cell r="C1801" t="str">
            <v>CONCRETO 3500 PSI PARA CONSTRUCCION DE CAISSON DE 1.20m DE DIAMETRO (Incluye excavacion manual, suministro de camisa metalica perdida e= 3/8" formaleteo y colocacion. Sumin de concreto premezclado. No incl. Refuerzo, Curado).</v>
          </cell>
          <cell r="D1801" t="str">
            <v>M3</v>
          </cell>
          <cell r="E1801">
            <v>2050268</v>
          </cell>
        </row>
        <row r="1802">
          <cell r="B1802">
            <v>5952</v>
          </cell>
          <cell r="C1802" t="str">
            <v>BARANDA METÁLICA M81 (instalado y pintado)</v>
          </cell>
          <cell r="D1802" t="str">
            <v>M</v>
          </cell>
          <cell r="E1802">
            <v>233380</v>
          </cell>
        </row>
        <row r="1803">
          <cell r="B1803">
            <v>5953</v>
          </cell>
          <cell r="C1803" t="str">
            <v>TUBERIA ACERO CARBON ASTM A=53 SCH 40 DE D=12"</v>
          </cell>
          <cell r="D1803" t="str">
            <v>M</v>
          </cell>
          <cell r="E1803">
            <v>414619</v>
          </cell>
        </row>
        <row r="1804">
          <cell r="B1804">
            <v>5954</v>
          </cell>
          <cell r="C1804" t="str">
            <v>CANALIZACION VIA PUBLICA NUEVE (9) DUCTOS PVC TIPO TDP 9Ø6"+2Ø3"</v>
          </cell>
          <cell r="D1804" t="str">
            <v>M</v>
          </cell>
          <cell r="E1804">
            <v>671758</v>
          </cell>
        </row>
        <row r="1805">
          <cell r="B1805">
            <v>5955</v>
          </cell>
          <cell r="C1805" t="str">
            <v>SEÑAL VERTICAL UNA CARA PARA CICLORUTA PARAL 3m, ÁNGULO DE 2x1/4x3m LAMINA CAL. 16 PINTADA POR UNA CARA 0.60m x 0.60m o 0.75m x 0.75m (Incluye suministro e instalación)</v>
          </cell>
          <cell r="D1805" t="str">
            <v>UN</v>
          </cell>
          <cell r="E1805">
            <v>251760</v>
          </cell>
        </row>
        <row r="1806">
          <cell r="B1806">
            <v>5964</v>
          </cell>
          <cell r="C1806" t="str">
            <v>SUMINISTRO Y APLICACIÓN DE UNA CAPA DE ANTICORROSIVO DE 3mm DE ESPESOR DE PELÍCULA SECA IMPRIMANTE EPÓXICO, PREVIA PREPARACIÓN DE LA SUPERFICIE MEDIANTE LIMPIEZA MANUAL O MECÁNICA, SEGÚN LAS NORMAS SSPC-SP2</v>
          </cell>
          <cell r="D1806" t="str">
            <v>M</v>
          </cell>
          <cell r="E1806">
            <v>16146</v>
          </cell>
        </row>
        <row r="1807">
          <cell r="B1807">
            <v>5966</v>
          </cell>
          <cell r="C1807" t="str">
            <v>MANTENIMIENTO RUTINARIO DE CALZADA EN ADOQUÍN Y/O LOSETA. INCLUYE LIMPIEZA DE SUMIDEROS, POZOS, SELLOS DE JUNTA Y RETIRO MANUAL DE CAPA VEGETAL.</v>
          </cell>
          <cell r="D1807" t="str">
            <v>M2</v>
          </cell>
          <cell r="E1807">
            <v>2286</v>
          </cell>
        </row>
        <row r="1808">
          <cell r="B1808">
            <v>5967</v>
          </cell>
          <cell r="C1808" t="str">
            <v>MANTENIMIENTO RUTINARIO DE CALZADA EN CONCRETO HIDRÁULICO. INCLUYE LIMPIEZA DE SUMIDEROS, POZOS, SELLO DE JUNTAS Y RETIRO MANUAL DE CAPA VEGETAL</v>
          </cell>
          <cell r="D1808" t="str">
            <v>M2</v>
          </cell>
          <cell r="E1808">
            <v>15859</v>
          </cell>
        </row>
        <row r="1809">
          <cell r="B1809">
            <v>5968</v>
          </cell>
          <cell r="C1809" t="str">
            <v>MANTENIMIENTO CORRECTIVO DE CALZADA EN ADOQUIN DE ARCILLA PESADO SOBRE MORTERO. INCLUYE RETIRO DE ADOQUIN E INSTALAR NUEVO</v>
          </cell>
          <cell r="D1809" t="str">
            <v>M2</v>
          </cell>
          <cell r="E1809">
            <v>54060</v>
          </cell>
        </row>
        <row r="1810">
          <cell r="B1810">
            <v>5969</v>
          </cell>
          <cell r="C1810" t="str">
            <v>MANTENIMIENTO CORRECTIVO DE CALZADA EN ADOQUÍN DE ARCILLA SOBRE ARENA. INCLUYE RETIRO DE ADOQUIN E INSTALAR NUEVO</v>
          </cell>
          <cell r="D1810" t="str">
            <v>M2</v>
          </cell>
          <cell r="E1810">
            <v>53408</v>
          </cell>
        </row>
        <row r="1811">
          <cell r="B1811">
            <v>5970</v>
          </cell>
          <cell r="C1811" t="str">
            <v>MANTENIMIENTO CORRECTIVO DE CALZADA EN CONCRETO RÍGIDO. INCLUYE RETIRO, REEMPLAZO DE LOSA, RENIVELACIÓN Y RECOMPACTACIÓN DE CAPAS GRANULARES</v>
          </cell>
          <cell r="D1811" t="str">
            <v>M2</v>
          </cell>
          <cell r="E1811">
            <v>197719</v>
          </cell>
        </row>
        <row r="1812">
          <cell r="B1812">
            <v>5971</v>
          </cell>
          <cell r="C1812" t="str">
            <v>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v>
          </cell>
          <cell r="D1812" t="str">
            <v>M2</v>
          </cell>
          <cell r="E1812">
            <v>217320</v>
          </cell>
        </row>
        <row r="1813">
          <cell r="B1813">
            <v>5972</v>
          </cell>
          <cell r="C1813" t="str">
            <v>MANTENIMIENTO CORRECTIVO DE CALZADA EN CONCRETO ESTAMPADO. INCLUYE RETIRO, REEMPLAZO DE LOSA, RENIVELACIÓN Y RECOMPACTACIÓN DE CAPAS GRANULARES</v>
          </cell>
          <cell r="D1813" t="str">
            <v>M2</v>
          </cell>
          <cell r="E1813">
            <v>224948</v>
          </cell>
        </row>
        <row r="1814">
          <cell r="B1814">
            <v>5975</v>
          </cell>
          <cell r="C1814" t="str">
            <v>CUADRILLA (TECNICO ELECTRICO + 2 AYUDANTES)</v>
          </cell>
          <cell r="D1814" t="str">
            <v>HR</v>
          </cell>
          <cell r="E1814">
            <v>20787</v>
          </cell>
        </row>
        <row r="1815">
          <cell r="B1815">
            <v>5976</v>
          </cell>
          <cell r="C1815" t="str">
            <v>TUBERIA GALVANIZADA 2" PARA ANCLAJES</v>
          </cell>
          <cell r="D1815" t="str">
            <v>M</v>
          </cell>
          <cell r="E1815">
            <v>32044</v>
          </cell>
        </row>
        <row r="1816">
          <cell r="B1816">
            <v>5977</v>
          </cell>
          <cell r="C1816" t="str">
            <v>CAJILLA PARA MEDIDOR EN POLIPLÁSTICO CON CONCRETO. SUMINISTRO E INSTALACIÓN</v>
          </cell>
          <cell r="D1816" t="str">
            <v>UN</v>
          </cell>
          <cell r="E1816">
            <v>181115</v>
          </cell>
        </row>
        <row r="1817">
          <cell r="B1817">
            <v>5992</v>
          </cell>
          <cell r="C1817" t="str">
            <v>TUBERIA CONCRETO D= 32" CL. II REFORZADO. INCLUYE SUMINISTRO E INSTALACIÓN</v>
          </cell>
          <cell r="D1817" t="str">
            <v>M</v>
          </cell>
          <cell r="E1817">
            <v>657967</v>
          </cell>
        </row>
        <row r="1818">
          <cell r="B1818">
            <v>5993</v>
          </cell>
          <cell r="C1818" t="str">
            <v>TORRE DE ILUMINACIÓN DE 4 BOMBILLAS DE 1000 WATS CADA UNA. ALQUILER. INCLUYE COMBUSTIBLE A.C.P.M.</v>
          </cell>
          <cell r="D1818" t="str">
            <v>UN/MES</v>
          </cell>
          <cell r="E1818">
            <v>3910200</v>
          </cell>
        </row>
        <row r="1819">
          <cell r="B1819">
            <v>5994</v>
          </cell>
          <cell r="C1819" t="str">
            <v>TUBERIA CONCRETO D= 8" CL. V EXTRARREFORZADA PARA INSTALACIÓN SUPERFICIAL (SUMINISTRO E INSTALACIÓN). INCLUYE MORTERO 2000 PSI PARA RECUBRIMIENTO DE JUNTA.</v>
          </cell>
          <cell r="D1819" t="str">
            <v>M</v>
          </cell>
          <cell r="E1819">
            <v>158251</v>
          </cell>
        </row>
        <row r="1820">
          <cell r="B1820">
            <v>5995</v>
          </cell>
          <cell r="C1820" t="str">
            <v>TUBERIA CONCRETO D= 16" CL. V EXTRARREFORZADA PARA INSTALACIÓN SUPERFICIAL (SUMINISTRO E INSTALACIÓN). INCLUYE MORTERO 2000 PSI PARA RECUBRIMIENTO DE JUNTA.</v>
          </cell>
          <cell r="D1820" t="str">
            <v>M</v>
          </cell>
          <cell r="E1820">
            <v>325828</v>
          </cell>
        </row>
        <row r="1821">
          <cell r="B1821">
            <v>5996</v>
          </cell>
          <cell r="C1821" t="str">
            <v>SELLO PVC FLEXIBLE PARA SELLOS DE JUNTAS SOMETIDAS A PRESIÓN HIDRÁULICA, ANCHO = 15cm. SUMINISTRO Y COLOCACIÓN</v>
          </cell>
          <cell r="D1821" t="str">
            <v>M</v>
          </cell>
          <cell r="E1821">
            <v>24052</v>
          </cell>
        </row>
        <row r="1822">
          <cell r="B1822">
            <v>5997</v>
          </cell>
          <cell r="C1822" t="str">
            <v>GRAVILLA DE 3/4" PEGADA CON MORTERO 1:3 e= 0.15m PARA ENTREGA A CANAL. SUMINISTRO E INSTALACIÓN</v>
          </cell>
          <cell r="D1822" t="str">
            <v>M2</v>
          </cell>
          <cell r="E1822">
            <v>60131</v>
          </cell>
        </row>
        <row r="1823">
          <cell r="B1823">
            <v>5998</v>
          </cell>
          <cell r="C1823" t="str">
            <v>TAPÓN EXTREMO LISO D= 3". SUMINISTRO E INSTALACIÓN</v>
          </cell>
          <cell r="D1823" t="str">
            <v>UN</v>
          </cell>
          <cell r="E1823">
            <v>71232</v>
          </cell>
        </row>
        <row r="1824">
          <cell r="B1824">
            <v>5999</v>
          </cell>
          <cell r="C1824" t="str">
            <v>PRUEBA HIDROSTÁTICA EN TUBERÍAS HASTA 12" DE DIÁMETRO, TRAMOS MÁXIMOS DE 500m. INCLUYE DESINFECCIÓN DE TUBERÍA.</v>
          </cell>
          <cell r="D1824" t="str">
            <v>UN</v>
          </cell>
          <cell r="E1824">
            <v>989310</v>
          </cell>
        </row>
        <row r="1825">
          <cell r="B1825">
            <v>6001</v>
          </cell>
          <cell r="C1825" t="str">
            <v>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D1825" t="str">
            <v>UN</v>
          </cell>
          <cell r="E1825">
            <v>116941300</v>
          </cell>
        </row>
        <row r="1826">
          <cell r="B1826">
            <v>6002</v>
          </cell>
          <cell r="C1826" t="str">
            <v>CONTROLADOR C900V CON CAPACIDAD PARA 24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D1826" t="str">
            <v>UN</v>
          </cell>
          <cell r="E1826">
            <v>132828990</v>
          </cell>
        </row>
        <row r="1827">
          <cell r="B1827">
            <v>6003</v>
          </cell>
          <cell r="C1827" t="str">
            <v>CONTROLADOR C900V CON CAPACIDAD PARA 32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D1827" t="str">
            <v>UN</v>
          </cell>
          <cell r="E1827">
            <v>147771820</v>
          </cell>
        </row>
        <row r="1828">
          <cell r="B1828">
            <v>6004</v>
          </cell>
          <cell r="C1828" t="str">
            <v>DETECTORES DE DEMANDA VEHICULAR (CÁMARA). NO INCLUYE CABLES. SUMINISTRO E INSTALACIÓN</v>
          </cell>
          <cell r="D1828" t="str">
            <v>UN</v>
          </cell>
          <cell r="E1828">
            <v>9854390</v>
          </cell>
        </row>
        <row r="1829">
          <cell r="B1829">
            <v>6006</v>
          </cell>
          <cell r="C1829" t="str">
            <v>PUESTA A TIERRA PARA CENTRO DE TRANSFORMACIÓN SUBTERRÁNEO PARCIALMENTE  SUMERGIBLE CON TRES PUNTOS A TIERRA. SUMINISTRO, TRANSPORTE Y CONSTRUCCIÓN. INCLUYE SOLDADURA EXOTÉRMICA Y TERMINALES.</v>
          </cell>
          <cell r="D1829" t="str">
            <v>UN</v>
          </cell>
          <cell r="E1829">
            <v>1148626</v>
          </cell>
        </row>
        <row r="1830">
          <cell r="B1830">
            <v>6007</v>
          </cell>
          <cell r="C1830" t="str">
            <v>PILOTE PREEXCAVADO EN CONCRETO TREMIE DE 4000 PSI (280 Kg/Cm2) ACELERADO A 2 DÍAS. INCLUYE ACELERANTE, ALQUILER DE EQUIPO DE PERFORACIÓN CON OPERARIO, MOTOBOMBA, BENTONITA, MANO DE OBRA, TRANSPORTE Y DISPOSICIÓN FINAL DE ESCOMBROS EN SITIO AUTORIZADO. DISTANCIA DE TRANSPORTE 21 Km.</v>
          </cell>
          <cell r="D1830" t="str">
            <v>M3</v>
          </cell>
          <cell r="E1830">
            <v>1421803</v>
          </cell>
        </row>
        <row r="1831">
          <cell r="B1831">
            <v>6008</v>
          </cell>
          <cell r="C1831" t="str">
            <v>IMPERMEABILIZANTE PARA CONCRETO. SUMINISTRO Y APLICACIÓN</v>
          </cell>
          <cell r="D1831" t="str">
            <v>M2</v>
          </cell>
          <cell r="E1831">
            <v>1493</v>
          </cell>
        </row>
        <row r="1832">
          <cell r="B1832">
            <v>6009</v>
          </cell>
          <cell r="C1832" t="str">
            <v>ADITIVO DESENCOFRANTE. SUMINISTRO Y APLICACIÓN DE MATERIAL</v>
          </cell>
          <cell r="D1832" t="str">
            <v>M2</v>
          </cell>
          <cell r="E1832">
            <v>1931</v>
          </cell>
        </row>
        <row r="1833">
          <cell r="B1833">
            <v>6010</v>
          </cell>
          <cell r="C1833" t="str">
            <v>REGATA, ANCHO PROMEDIO 5cm POR 5cm DE PROFUNDIDAD. INCLUYE MATERIALES, EQUIPOS, TRANSPORTE Y DISPOSICIÓN FINAL DE ESCOMBROS A SITIO AUTORIZADO.</v>
          </cell>
          <cell r="D1833" t="str">
            <v>M</v>
          </cell>
          <cell r="E1833">
            <v>24414</v>
          </cell>
        </row>
        <row r="1834">
          <cell r="B1834">
            <v>6011</v>
          </cell>
          <cell r="C1834" t="str">
            <v>RESTITUCIÓN DE ESTRUCTURA DE PAVIMENTO FLEXIBLE, PARA APIQUE DE 0.60m x 0.60m (Profundidad 1.50M). INCLUYE BASE GRANULAR CLASE A (BG_A) e= 1.35, MEZCLA DENSA EN CALIENTE TIPO MD12 e= 0.05m, MEZCLA DENSA EN CALIENTE TIPO MD20 e= 0.10m, IMPRIMANTE Y RIEGO DE LIGA.</v>
          </cell>
          <cell r="D1834" t="str">
            <v>UN</v>
          </cell>
          <cell r="E1834">
            <v>97925</v>
          </cell>
        </row>
        <row r="1835">
          <cell r="B1835">
            <v>6015</v>
          </cell>
          <cell r="C1835" t="str">
            <v>ENTIBADO TIPO EC3 CONTINUO METÁLICO CON PARALES METÁLICOS. INCLUYE SUMINISTRO E INSTALACIÓN</v>
          </cell>
          <cell r="D1835" t="str">
            <v>M2</v>
          </cell>
          <cell r="E1835">
            <v>54076</v>
          </cell>
        </row>
        <row r="1836">
          <cell r="B1836">
            <v>6016</v>
          </cell>
          <cell r="C1836" t="str">
            <v>ESTABILIZACIÓN DE SUBRASANTE CON RAJÓN, INCLUYE EQUIPO DE COMPACTACIÓN (SUMINISTRO, EXTENDIDO, NIVELACIÓN Y COMPACTACIÓN CON EQUIPO MECÁNICO)</v>
          </cell>
          <cell r="D1836" t="str">
            <v>M3</v>
          </cell>
          <cell r="E1836">
            <v>81044</v>
          </cell>
        </row>
        <row r="1837">
          <cell r="B1837">
            <v>6020</v>
          </cell>
          <cell r="C1837" t="str">
            <v>RELLENO EN RECEBO COMUN (Suministro e instalación  Extendido manual, Humedecimiento y Compactación. No incluye transporte)</v>
          </cell>
          <cell r="D1837" t="str">
            <v>M3</v>
          </cell>
          <cell r="E1837">
            <v>22962</v>
          </cell>
        </row>
        <row r="1838">
          <cell r="B1838">
            <v>6021</v>
          </cell>
          <cell r="C1838" t="str">
            <v>CONCRETO DE NIVELACION 2000 PSI (140 Kg/Cm2) (Premezclado. Incluye suministro, fundida y nivelación y colocación. No incluye refuerzo, curado) PARA MEJORAMIENTO, ADECUACIÓN Y REHABILITACIÓN DE ESPACIO PÚBLICO.</v>
          </cell>
          <cell r="D1838" t="str">
            <v>M3</v>
          </cell>
          <cell r="E1838">
            <v>460866</v>
          </cell>
        </row>
        <row r="1839">
          <cell r="B1839">
            <v>6025</v>
          </cell>
          <cell r="C1839" t="str">
            <v>REMATE TIPO FILTRO EN ALUZINC CAL. 26 PERFORACION M 101 PARA CUBIERTA VERDE DE ESTACION TRANSMILENIO. SUMINISTRO E INSTALACION.</v>
          </cell>
          <cell r="D1839" t="str">
            <v>M</v>
          </cell>
          <cell r="E1839">
            <v>56966</v>
          </cell>
        </row>
        <row r="1840">
          <cell r="B1840">
            <v>6026</v>
          </cell>
          <cell r="C1840" t="str">
            <v>CIELO RASO BAFFLE EN ALUZINC LISO, ALTURA DE 100mm COMBINADA CON ALTURA DE 50mm EN PROPORCIONES IGUALES (50% y 50%), EN COLOR ALUMINIO MEDIO CON PORTAPANEL PASO 100mm EN COLOR NEGRO. (Incluye mano de obra y transporte). SUMINISTRO E INSTALACION</v>
          </cell>
          <cell r="D1840" t="str">
            <v>M2</v>
          </cell>
          <cell r="E1840">
            <v>339851</v>
          </cell>
        </row>
        <row r="1841">
          <cell r="B1841">
            <v>6029</v>
          </cell>
          <cell r="C1841" t="str">
            <v>SEÑAL VERTICAL GRUPO DE PREVENTIVAS TIPO CUADRADO (75cm x 75cm). INCLUYE SUMONISTRO E INSTALACION.</v>
          </cell>
          <cell r="D1841" t="str">
            <v>UN</v>
          </cell>
          <cell r="E1841">
            <v>287268</v>
          </cell>
        </row>
        <row r="1842">
          <cell r="B1842">
            <v>6030</v>
          </cell>
          <cell r="C1842" t="str">
            <v>SEÑAL VERTICAL GRUPO DE REGLAMENTARIAS TIPO CIRCULO D=75cm. INCLUYE SUMINISTRO E INSTALACION.</v>
          </cell>
          <cell r="D1842" t="str">
            <v>UN</v>
          </cell>
          <cell r="E1842">
            <v>406268</v>
          </cell>
        </row>
        <row r="1843">
          <cell r="B1843">
            <v>6031</v>
          </cell>
          <cell r="C1843" t="str">
            <v>SEÑAL VERTICAL GRUPO DE PREVENTIVA SP-40 TIPO RECTANGULO (120cm x 40cm). INCLUYE SUMINISTRO E INSTALACION.</v>
          </cell>
          <cell r="D1843" t="str">
            <v>UN</v>
          </cell>
          <cell r="E1843">
            <v>394368</v>
          </cell>
        </row>
        <row r="1844">
          <cell r="B1844">
            <v>6032</v>
          </cell>
          <cell r="C1844" t="str">
            <v>SEÑAL VERTICAL GRUPO DE REGLAMENTARIAS SR-01 TIPO OCTAGONO CON ALTURA DE 75cm. INCLUYE SUMINISTRO E INSTALACION.</v>
          </cell>
          <cell r="D1844" t="str">
            <v>UN</v>
          </cell>
          <cell r="E1844">
            <v>311068</v>
          </cell>
        </row>
        <row r="1845">
          <cell r="B1845">
            <v>6033</v>
          </cell>
          <cell r="C1845" t="str">
            <v>SEÑAL VERTICAL GRUPO DE REGLAMENTARIAS SR-02 TIPO TRIANGULO EQUILATERO 75cm. DE LADO. INCLUYE SUMINISTRO E INSTALACION.</v>
          </cell>
          <cell r="D1845" t="str">
            <v>UN</v>
          </cell>
          <cell r="E1845">
            <v>328918</v>
          </cell>
        </row>
        <row r="1846">
          <cell r="B1846">
            <v>6034</v>
          </cell>
          <cell r="C1846" t="str">
            <v>SEÑAL VERTICAL GRUPO DE INFORMATIVAS TIPO RECTANGULO (60cm x 75cm). INCLUYE SUMINISTRO E INSTALACION.</v>
          </cell>
          <cell r="D1846" t="str">
            <v>UN</v>
          </cell>
          <cell r="E1846">
            <v>299168</v>
          </cell>
        </row>
        <row r="1847">
          <cell r="B1847">
            <v>6035</v>
          </cell>
          <cell r="C1847" t="str">
            <v>SEÑAL VERTICAL GRUPO DE INFORMATIVAS TURISTICAS TIPO CUADRADO DE 75cm DE LADO. INCLUYE SUMINISTRO E INSTALACION.</v>
          </cell>
          <cell r="D1847" t="str">
            <v>UN</v>
          </cell>
          <cell r="E1847">
            <v>322968</v>
          </cell>
        </row>
        <row r="1848">
          <cell r="B1848">
            <v>6036</v>
          </cell>
          <cell r="C1848" t="str">
            <v>TRANSFORMADOR MONOFASICO 15 KVA (TENSION PRIMARIA DE 13.200, TENSION SECUNDARIA 240-120. (Incluye suministro e instalación)</v>
          </cell>
          <cell r="D1848" t="str">
            <v>UN</v>
          </cell>
          <cell r="E1848">
            <v>2115436</v>
          </cell>
        </row>
        <row r="1849">
          <cell r="B1849">
            <v>6037</v>
          </cell>
          <cell r="C1849" t="str">
            <v>POSTE TIPO MENSULA T2 (3.50m) EN TUBO SCH 40 GALVANIZADO Y PINTADO. SUMINISTRO E INSTALACIÓN.</v>
          </cell>
          <cell r="D1849" t="str">
            <v>UN</v>
          </cell>
          <cell r="E1849">
            <v>2354819</v>
          </cell>
        </row>
        <row r="1850">
          <cell r="B1850">
            <v>6038</v>
          </cell>
          <cell r="C1850" t="str">
            <v>POSTE TIPO MENSULA T2 (4.50m) EN TUBO SCH 40 GALVANIZADO Y PINTADO. SUMINISTRO E INSTALACIÓN.</v>
          </cell>
          <cell r="D1850" t="str">
            <v>UN</v>
          </cell>
          <cell r="E1850">
            <v>2468001</v>
          </cell>
        </row>
        <row r="1851">
          <cell r="B1851">
            <v>6039</v>
          </cell>
          <cell r="C1851" t="str">
            <v>POSTE TIPO MENSULA T2 (6.50m) EN TUBO SCH 40 GALVANIZADO Y PINTADO. SUMINISTRO E INSTALACIÓN.</v>
          </cell>
          <cell r="D1851" t="str">
            <v>UN</v>
          </cell>
          <cell r="E1851">
            <v>2961256</v>
          </cell>
        </row>
        <row r="1852">
          <cell r="B1852">
            <v>6040</v>
          </cell>
          <cell r="C1852" t="str">
            <v>POSTE TIPO MENSULA T2 (8.50m) EN TUBO SCH 40 GALVANIZADO Y PINTADO. SUMINISTRO E INSTALACIÓN.</v>
          </cell>
          <cell r="D1852" t="str">
            <v>UN</v>
          </cell>
          <cell r="E1852">
            <v>3268077</v>
          </cell>
        </row>
        <row r="1853">
          <cell r="B1853">
            <v>6041</v>
          </cell>
          <cell r="C1853" t="str">
            <v>SEMAFORO VEHICULAR DE POLICARBONATO (3x200) LENTES DE POLICARBONATO DE 8" TRES LUCES, SISTEMA DE ILUMINACIÓN A LEDS, TIPO MASTIL. INCLUYE ELEMENTOS DE FIJACION.</v>
          </cell>
          <cell r="D1853" t="str">
            <v>UN</v>
          </cell>
          <cell r="E1853">
            <v>3395431</v>
          </cell>
        </row>
        <row r="1854">
          <cell r="B1854">
            <v>6042</v>
          </cell>
          <cell r="C1854" t="str">
            <v>SEMAFORO VEHICULAR DE POLICARBONATO (3x200) LENTES DE POLICARBONATO DE 8" TRES LUCES, SISTEMA DE ILUMINACIÓN A LEDS, TIPO MENSULA. INCLUYE ELEMENTOS DE FIJACION.</v>
          </cell>
          <cell r="D1854" t="str">
            <v>UN</v>
          </cell>
          <cell r="E1854">
            <v>3666751</v>
          </cell>
        </row>
        <row r="1855">
          <cell r="B1855">
            <v>6043</v>
          </cell>
          <cell r="C1855" t="str">
            <v>SEMAFORO VEHICULAR DE POLICARBONATO (3x200) LENTES DE POLICARBONATO DE 8" TRES LUCES, SISTEMA DE ILUMINACIÓN A LEDS, FLECHA DE GIRO TIPO MENSULA. INCLUYE ELEMENTOS DE FIJACION.</v>
          </cell>
          <cell r="D1855" t="str">
            <v>UN</v>
          </cell>
          <cell r="E1855">
            <v>3523951</v>
          </cell>
        </row>
        <row r="1856">
          <cell r="B1856">
            <v>6044</v>
          </cell>
          <cell r="C1856" t="str">
            <v>SEMAFORO VEHICULAR DE POLICARBONATO (3x200) LENTES DE POLICARBONATO DE 8" TRES LUCES, SISTEMA DE ILUMINACIÓN A LEDS, FLECHA DE GIRO TIPO MASTIL. INCLUYE ELEMENTOS DE FIJACION.</v>
          </cell>
          <cell r="D1856" t="str">
            <v>UN</v>
          </cell>
          <cell r="E1856">
            <v>3247871</v>
          </cell>
        </row>
        <row r="1857">
          <cell r="B1857">
            <v>6045</v>
          </cell>
          <cell r="C1857" t="str">
            <v>SONORIZADORES PARA INVIDENTES (SUMINISTRO E INSTALACION)</v>
          </cell>
          <cell r="D1857" t="str">
            <v>UN</v>
          </cell>
          <cell r="E1857">
            <v>5041251</v>
          </cell>
        </row>
        <row r="1858">
          <cell r="B1858">
            <v>6046</v>
          </cell>
          <cell r="C1858" t="str">
            <v>DEMARCACION LINEA DE PARADA DE TRANSMILENIO. AREA: 3.96 m2 SEGUN PARAMETROS DE DISEÑO DE TRANSMILENIO (e= 2.3 mils, TERMOPLASTICA. SUMINISTRO Y APLICACION CON EQUIPO. INCLUYE MICROESFERAS.</v>
          </cell>
          <cell r="D1858" t="str">
            <v>UN</v>
          </cell>
          <cell r="E1858">
            <v>462307</v>
          </cell>
        </row>
        <row r="1859">
          <cell r="B1859">
            <v>6047</v>
          </cell>
          <cell r="C1859" t="str">
            <v>PISO EN CONCRETO COLOR OCRE MR 41 (280 Kg/Cm2) GRAVA 1" 28 DIAS  ESTAMPADO e=0.10m (INCLUYE SUMINISTRO Y COLOCACIÓN DE CONCRETO, JUEGO DE MOLDES,  DESMOLDANTE EN POLVO, CURADOR PARA CONCRETO, INCLUYE CORTE Y SELLADO DE JUNTAS.</v>
          </cell>
          <cell r="D1859" t="str">
            <v>M2</v>
          </cell>
          <cell r="E1859">
            <v>206352</v>
          </cell>
        </row>
        <row r="1860">
          <cell r="B1860">
            <v>6053</v>
          </cell>
          <cell r="C1860" t="str">
            <v>CAPA DE SUELO DE SUBRASANTE ESTABILIZADA CON CAL HIDRATADA TIPO N, IN SITU AL 4%. (SUMINISTRO, EXTENDIDO, NIVELACION, HUMEDECIMIENTO Y COMPACTACION).</v>
          </cell>
          <cell r="D1860" t="str">
            <v>M3</v>
          </cell>
          <cell r="E1860">
            <v>89993</v>
          </cell>
        </row>
        <row r="1861">
          <cell r="B1861">
            <v>6057</v>
          </cell>
          <cell r="C1861" t="str">
            <v>SEMAFORO VEHICULAR DE POLICARBONATO (3x200) (ALQUILER) LENTES DE POLICARBONATO DE 8" TRES LUCES, SISTEMA DE ILUMINACIÓN A LEDS, INCLUYE SUMINISTRO, INSTALACION Y TRASLADO INTERNO EN OBRA. ELEMENTOS DE FIJACION.</v>
          </cell>
          <cell r="D1861" t="str">
            <v>UN/MES</v>
          </cell>
          <cell r="E1861">
            <v>145061</v>
          </cell>
        </row>
        <row r="1862">
          <cell r="B1862">
            <v>6058</v>
          </cell>
          <cell r="C1862" t="str">
            <v>SEMAFORO PEATONAL DE POLICARBONATO (2x200) (ALQUILER) LENTES DE POLICARBONATO DE 8" DOS LUCES, SISTEMA DE ILUMINACIÓN A LEDS, INCLUYE SUMINISTRO, INSTALACION Y TRASLADO INTERNO EN OBRA. ELEMENTOS DE FIJACION.</v>
          </cell>
          <cell r="D1862" t="str">
            <v>UN/MES</v>
          </cell>
          <cell r="E1862">
            <v>106435</v>
          </cell>
        </row>
        <row r="1863">
          <cell r="B1863">
            <v>6059</v>
          </cell>
          <cell r="C1863" t="str">
            <v>BARRICADA METÁLICAS C-20 CON TRES BANDEJAS DE 23cm x 150cm. (ALQUILER). INCLUYE TABLERO DE 60cm DE DIAMETRO "DESVIO" REFLECTIVO GRADO INGENIERIA COMERCIAL. SUMINISTRO E INSTALACION Y TRASLADO INTERNO EN OBRA.</v>
          </cell>
          <cell r="D1863" t="str">
            <v>UN/MES</v>
          </cell>
          <cell r="E1863">
            <v>50753</v>
          </cell>
        </row>
        <row r="1864">
          <cell r="B1864">
            <v>6060</v>
          </cell>
          <cell r="C1864" t="str">
            <v>GRUA PARA REMOLQUE DE VEHICULOS (ALQUILER). INCLUYE CONDUCTOR Y COMBUSTIBLE. TIEMPO 12 HORAS DIARIAS.</v>
          </cell>
          <cell r="D1864" t="str">
            <v>UN/MES</v>
          </cell>
          <cell r="E1864">
            <v>1248829</v>
          </cell>
        </row>
        <row r="1865">
          <cell r="B1865">
            <v>6061</v>
          </cell>
          <cell r="C1865" t="str">
            <v>PASACALLES IMPRESO EN LONA BANNER (7.0m x 1.0m) TERMINADO CON PALOS EN LOS EXTREMOS. INCLUYE SUMINISTRO E INSTALACION.</v>
          </cell>
          <cell r="D1865" t="str">
            <v>UN</v>
          </cell>
          <cell r="E1865">
            <v>286917</v>
          </cell>
        </row>
        <row r="1866">
          <cell r="B1866">
            <v>6062</v>
          </cell>
          <cell r="C1866" t="str">
            <v>CONCRETO 3000 PSI PARA BARRERA NEW JERSEY MONODIRECCIONAL DE 0.90m DE ALTURA x 0.375 DE BASE x 4.76m DE LONG. (PREMEZCLADO. INCLUYE SUMINISTRO, FORMALETEO, COLOCACION. NO INCLUYE REFUERZO NI CURADO).</v>
          </cell>
          <cell r="D1866" t="str">
            <v>M3</v>
          </cell>
          <cell r="E1866">
            <v>514148</v>
          </cell>
        </row>
        <row r="1867">
          <cell r="B1867">
            <v>6065</v>
          </cell>
          <cell r="C1867" t="str">
            <v>LAMINA MACIZA HR PARA BOCATOMA, INCLUYE MANO DE OBRA, ACCESORIOS E INSTALACION SEGUN DETALLE EN PLANOS Y ESPECIFICACIONES TECNICAS</v>
          </cell>
          <cell r="D1867" t="str">
            <v>UN</v>
          </cell>
          <cell r="E1867">
            <v>701291</v>
          </cell>
        </row>
        <row r="1868">
          <cell r="B1868">
            <v>6070</v>
          </cell>
          <cell r="C1868" t="str">
            <v>ELEMENTO ENVOLVENTE PEINAZO PARA MODULO. SUMINISTRO E INSTALACION. INCLUYE MANO DE OBRA.</v>
          </cell>
          <cell r="D1868" t="str">
            <v>M2</v>
          </cell>
          <cell r="E1868">
            <v>65510</v>
          </cell>
        </row>
        <row r="1869">
          <cell r="B1869">
            <v>6073</v>
          </cell>
          <cell r="C1869" t="str">
            <v>MODULO DE PERSIANA DE 1.80 x 2.35 GALVANIZADO PARA CERRAMIENTO, INCLUYE MANO DE OBRA, ACCESORIOS E INSTALACION, SEGUN DETALLE EN PLANOS Y ESPECIFICACIONES TECNICAS. SUMINISTRO E INSTALACION.</v>
          </cell>
          <cell r="D1869" t="str">
            <v>UN</v>
          </cell>
          <cell r="E1869">
            <v>3425178</v>
          </cell>
        </row>
        <row r="1870">
          <cell r="B1870">
            <v>6074</v>
          </cell>
          <cell r="C1870" t="str">
            <v>MODULO DE PERSIANA DE 1.80 x 1.20 GALVANIZADO PARA FACHADA COMERCIAL, INCLUYE MANO DE OBRA, ACCESORIOS SEGUN DETALLE EN PLANOS Y ESPECIFICACIONES TECNICAS. SUMINISTRO E INSTALACION.</v>
          </cell>
          <cell r="D1870" t="str">
            <v>UN</v>
          </cell>
          <cell r="E1870">
            <v>1665159</v>
          </cell>
        </row>
        <row r="1871">
          <cell r="B1871">
            <v>6078</v>
          </cell>
          <cell r="C1871" t="str">
            <v>CUBIERTA EN LAMINA ALVEOLAR EN POLICARBONATO. SUMINISTRO E INSTALACION. INCLUYE MANO DE OBRA Y ACCESORIOS</v>
          </cell>
          <cell r="D1871" t="str">
            <v>M2</v>
          </cell>
          <cell r="E1871">
            <v>102024</v>
          </cell>
        </row>
        <row r="1872">
          <cell r="B1872">
            <v>6079</v>
          </cell>
          <cell r="C1872" t="str">
            <v>ELEMENTO ENVOLVENTE REMATE PARA CUBIERTA. SUMINISTRO E INSTALACION. INCLUYE MANO DE OBRA</v>
          </cell>
          <cell r="D1872" t="str">
            <v>M2</v>
          </cell>
          <cell r="E1872">
            <v>88334</v>
          </cell>
        </row>
        <row r="1873">
          <cell r="B1873">
            <v>6080</v>
          </cell>
          <cell r="C1873" t="str">
            <v>ALQUILER 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D1873" t="str">
            <v>UN</v>
          </cell>
          <cell r="E1873">
            <v>977489</v>
          </cell>
        </row>
        <row r="1874">
          <cell r="B1874">
            <v>6082</v>
          </cell>
          <cell r="C1874" t="str">
            <v>MAMPOSTERIA EN BLOQUE  5 e= 0.12m (Incluye suministro, insumos y construcción)</v>
          </cell>
          <cell r="D1874" t="str">
            <v>M2</v>
          </cell>
          <cell r="E1874">
            <v>39047</v>
          </cell>
        </row>
        <row r="1875">
          <cell r="B1875">
            <v>6083</v>
          </cell>
          <cell r="C1875" t="str">
            <v>MANTENIMIENTO DEL ESPACIO PUBLICO PARA EL COBRO DE LA RETRIBUCION POR APROVECHAMIENTO ECONOMICO. COSTO DEL MANTENIMIENTO POR M2</v>
          </cell>
          <cell r="D1875" t="str">
            <v>M2</v>
          </cell>
          <cell r="E1875">
            <v>143106</v>
          </cell>
        </row>
        <row r="1876">
          <cell r="B1876">
            <v>6084</v>
          </cell>
          <cell r="C1876" t="str">
            <v>EDICION, IMPRESION Y DISTRIBUCION DE PIEZAS DE DIVULGACION (Piezas en papel bond, tamaño carta, tipo fotocopia).</v>
          </cell>
          <cell r="D1876" t="str">
            <v>UN</v>
          </cell>
          <cell r="E1876">
            <v>493</v>
          </cell>
        </row>
        <row r="1877">
          <cell r="B1877">
            <v>6085</v>
          </cell>
          <cell r="C1877" t="str">
            <v>LEVANTAMIENTO DE ACTA DE VECINDAD COMPLETA. (Incluye personal, logistica, elaboracion de formato, papeleria, fotografia y video).</v>
          </cell>
          <cell r="D1877" t="str">
            <v>UN PRE</v>
          </cell>
          <cell r="E1877">
            <v>27261</v>
          </cell>
        </row>
        <row r="1878">
          <cell r="B1878">
            <v>6086</v>
          </cell>
          <cell r="C1878" t="str">
            <v>ACTUALIZACION DE SISTEMA DE GESTION DEL ARBOLADO URBANO UBICADO EN TERRENO. SIGAU POR ARBOL PARA TALA, BLOQUEO Y TRASLADO</v>
          </cell>
          <cell r="D1878" t="str">
            <v>UN</v>
          </cell>
          <cell r="E1878">
            <v>10523</v>
          </cell>
        </row>
        <row r="1879">
          <cell r="B1879">
            <v>6087</v>
          </cell>
          <cell r="C1879" t="str">
            <v>ACTUALIZACION DE SISTEMA DE GESTION DEL ARBOLADO URBANO UBICADO EN TERRENO. SIGAU POR ARBOL PARA PLANTACION</v>
          </cell>
          <cell r="D1879" t="str">
            <v>UN</v>
          </cell>
          <cell r="E1879">
            <v>9810</v>
          </cell>
        </row>
        <row r="1880">
          <cell r="B1880">
            <v>6088</v>
          </cell>
          <cell r="C1880" t="str">
            <v>LEVANTAMIENTO DE INVENTARIO FORESTAL. INCLUYE ELABORACION FICHA FORESTAL Y VISITA A TERRENO</v>
          </cell>
          <cell r="D1880" t="str">
            <v xml:space="preserve">FICHA </v>
          </cell>
          <cell r="E1880">
            <v>15848</v>
          </cell>
        </row>
        <row r="1881">
          <cell r="B1881">
            <v>6089</v>
          </cell>
          <cell r="C1881" t="str">
            <v>NIVELACIÓN DE CAJA ETB T-13 H= 0.30m (INCLUYE DEMOLICION, FORMALETA, COMPRESOR, TRANSPORTE, PLACA SUPERIOR EN CONCRETO DE 3000 PSI, ACERO DE REFUERZO, BLOQUE PARA CÁMARA TELEFÓNICA TELECOM RESISTENCIA 3000 PSI, MORTERO, ARO Y TAPA ETB, TRANSPORTE Y DISPOSICION DE ESCOMBROS Y MANO DE OBRA ).</v>
          </cell>
          <cell r="D1881" t="str">
            <v>UN</v>
          </cell>
          <cell r="E1881">
            <v>1747012</v>
          </cell>
        </row>
        <row r="1882">
          <cell r="B1882">
            <v>6090</v>
          </cell>
          <cell r="C1882" t="str">
            <v>NIVELACIÓN DE CAJA ETB T-14 H= 0.30m (INCLUYE DEMOLICION, FORMALETA, COMPRESOR, TRANSPORTE, PLACA SUPERIOR EN CONCRETO DE 3000 PSI, ACERO DE REFUERZO, BLOQUE PARA CÁMARA TELEFÓNICA TELECOM RESISTENCIA 3000 PSI, MORTERO, ARO Y TAPA ETB, TRANSPORTE Y DISPOSICION DE ESCOMBROS Y MANO DE OBRA ).</v>
          </cell>
          <cell r="D1882" t="str">
            <v>UN</v>
          </cell>
          <cell r="E1882">
            <v>1793421</v>
          </cell>
        </row>
        <row r="1883">
          <cell r="B1883">
            <v>6091</v>
          </cell>
          <cell r="C1883" t="str">
            <v>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v>
          </cell>
          <cell r="D1883" t="str">
            <v>UN</v>
          </cell>
          <cell r="E1883">
            <v>937148</v>
          </cell>
        </row>
        <row r="1884">
          <cell r="B1884">
            <v>6092</v>
          </cell>
          <cell r="C1884" t="str">
            <v>RELOCALIZACIÓN DE MEDIDOR DE ACUEDUCTO D= 1/2" (INCLUYE 1.0m TUBERÍA GALVANIZADA D= 1/2", SOLDADURA, CINTA DE TEFLON,  Y CAJILLA PLASTICA FABRICADA EN POLIPROPILENO DE ALTO IMPACTO CON MATERIAL ORIGINAL, DE MEDIDAS 34cm x50.5cm x 3.5cm DE ALTO, Y CAJILLA DE MEDIDAS 34cm x 50.5cm x 28cm DE ALTO</v>
          </cell>
          <cell r="D1884" t="str">
            <v>UN</v>
          </cell>
          <cell r="E1884">
            <v>263736</v>
          </cell>
        </row>
        <row r="1885">
          <cell r="B1885">
            <v>6093</v>
          </cell>
          <cell r="C1885" t="str">
            <v>RELOCALIZACIÓN DE MEDIDOR DE ACUEDUCTO D= 1" (INCLUYE 1.0m TUBERÍA GALVANIZADA D= 1", SOLDADURA, CINTA DE TEFLON,  Y CAJILLA PLASTICA FABRICADA EN POLIPROPILENO DE ALTO IMPACTO CON MATERIAL ORIGINAL, DE MEDIDAS 34cm x 50.5cm x 3.5cm DE ALTO, Y CAJILLA DE MEDIDAS 34cm x 50.5cm x 28cm DE ALTO.</v>
          </cell>
          <cell r="D1885" t="str">
            <v>UN</v>
          </cell>
          <cell r="E1885">
            <v>275226</v>
          </cell>
        </row>
        <row r="1886">
          <cell r="B1886">
            <v>6094</v>
          </cell>
          <cell r="C1886" t="str">
            <v>RELOCALIZACIÓN DE MEDIDOR DE ACUEDUCTO D= 3/4" (INCLUYE 1.0m TUBERÍA GALVANIZADA D= 1/2", SOLDADURA, CINTA DE TEFLON,  Y CAJILLA PLASTICA FABRICADA EN POLIPROPILENO DE ALTO IMPACTO CON MATERIAL ORIGINAL, DE MEDIDAS 34cm x50.5cm x 3.5cm DE ALTO, Y CAJILLA DE MEDIDAS 34cm x 50.5cm x 28cm DE ALTO.</v>
          </cell>
          <cell r="D1886" t="str">
            <v>UN</v>
          </cell>
          <cell r="E1886">
            <v>268995</v>
          </cell>
        </row>
        <row r="1887">
          <cell r="B1887">
            <v>6095</v>
          </cell>
          <cell r="C1887" t="str">
            <v>PISO EN CONCRETO MR 43 (315 Kg/Cm2) GRAVA COMÚN ACELERADO A 7 DÍAS, ESTAMPADO PARA POMPEYANOS, e=0.23m (INCLUYE SUMINISTRO Y COLOCACIÓN DE CONCRETO, JUEGO DE MOLDES,  DESMOLDANTE EN POLVO, CURADOR PARA CONCRETO, CORTE Y SELLADO DE JUNTAS.</v>
          </cell>
          <cell r="D1887" t="str">
            <v>M2</v>
          </cell>
          <cell r="E1887">
            <v>290921</v>
          </cell>
        </row>
        <row r="1888">
          <cell r="B1888">
            <v>6096</v>
          </cell>
          <cell r="C1888" t="str">
            <v>PISO EN CONCRETO MR 43 (315 Kg/Cm2) GRAVA COMÚN ACELERADO A 7 DÍAS, ESTAMPADO PARA POMPEYANOS, e=0.20m (INCLUYE SUMINISTRO Y COLOCACIÓN DE CONCRETO, JUEGO DE MOLDES,  DESMOLDANTE EN POLVO, CURADOR PARA CONCRETO, CORTE Y SELLADO DE JUNTAS.</v>
          </cell>
          <cell r="D1888" t="str">
            <v>M2</v>
          </cell>
          <cell r="E1888">
            <v>265897</v>
          </cell>
        </row>
        <row r="1889">
          <cell r="B1889">
            <v>6098</v>
          </cell>
          <cell r="C1889" t="str">
            <v>ADOQUIN EN CONCRETO COLOR OCRE 200 X 100 X 60  A-25 (Suministro e instalación. Incluye base 4cm mortero 2500PSI y arena de sello)</v>
          </cell>
          <cell r="D1889" t="str">
            <v>M2</v>
          </cell>
          <cell r="E1889">
            <v>66539</v>
          </cell>
        </row>
        <row r="1890">
          <cell r="B1890">
            <v>6099</v>
          </cell>
          <cell r="C1890" t="str">
            <v>ESTAMPADO PARA CONCRETO MR DE POMPEYANOS, ACCESOS VEHICULARES A PREDIOS Y VÍAS (ACABADO Y CURADO, SUMINISTRO Y MANO DE OBRA. INCLUYE JUEGO DE MOLDES, COLOR ENDURECEDOR DE CUARZO, DESMOLDANTE EN POLVO COLOR, SELLADOR ACRÍLICO TRANSPARENTE SEMILUSTRE).</v>
          </cell>
          <cell r="D1890" t="str">
            <v>M2</v>
          </cell>
          <cell r="E1890">
            <v>33946</v>
          </cell>
        </row>
        <row r="1891">
          <cell r="B1891">
            <v>6100</v>
          </cell>
          <cell r="C1891" t="str">
            <v>CENEFA LINEAL EN ADOQUÍN DE CONCRETO (20cm x 10cm x 6cm) COLOR ROJO (SUMINISTRO E INSTALACIÓN. INCLUYE BASE EN ARENA DE NIVELACIÓN e= 4cm Y ARENA DE SELLO).</v>
          </cell>
          <cell r="D1891" t="str">
            <v>M</v>
          </cell>
          <cell r="E1891">
            <v>6923</v>
          </cell>
        </row>
        <row r="1892">
          <cell r="B1892">
            <v>6101</v>
          </cell>
          <cell r="C1892" t="str">
            <v>CENEFA LINEAL EN ADOQUÍN DE CONCRETO (20cm x 10cm x 8cm) COLOR ROJO PARA RAMPAS DE ACCESO VEHICULAR A PREDIOS (SUMINISTRO E INSTALACIÓN. INCLUYE BASE EN ARENA DE NIVELACIÓN e= 4cm Y ARENA DE SELLO).</v>
          </cell>
          <cell r="D1892" t="str">
            <v>M</v>
          </cell>
          <cell r="E1892">
            <v>8468</v>
          </cell>
        </row>
        <row r="1893">
          <cell r="B1893">
            <v>6102</v>
          </cell>
          <cell r="C1893" t="str">
            <v>CENEFA LINEAL EN LOSETA PREFABRICADA TÁCTIL ALERTA A55 / A56 ANCHO 0.40m (SUMINISTRO E INSTALACIÓN. INCLUYE BASE EN ARENA DE NIVELACIÓN e= 4cm Y ARENA DE SELLO).</v>
          </cell>
          <cell r="D1893" t="str">
            <v>M</v>
          </cell>
          <cell r="E1893">
            <v>20650</v>
          </cell>
        </row>
        <row r="1894">
          <cell r="B1894">
            <v>6103</v>
          </cell>
          <cell r="C1894" t="str">
            <v>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v>
          </cell>
          <cell r="D1894" t="str">
            <v>M</v>
          </cell>
          <cell r="E1894">
            <v>90718</v>
          </cell>
        </row>
        <row r="1895">
          <cell r="B1895">
            <v>6104</v>
          </cell>
          <cell r="C1895" t="str">
            <v>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v>
          </cell>
          <cell r="D1895" t="str">
            <v>M2</v>
          </cell>
          <cell r="E1895">
            <v>77626</v>
          </cell>
        </row>
        <row r="1896">
          <cell r="B1896">
            <v>6105</v>
          </cell>
          <cell r="C1896" t="str">
            <v>REJA DE PROTECCIÓN PARA PARQUES VECINALES Y DE BOLSILLO. SEGÚN ESPECIFICACIONES IDRD. (SUMINISTRO E INSTALACIÓN. INCLUYE BASE EN CONCRETO DE 3000 PSI. NO INCLUYE ACERO DE REFUERZO).</v>
          </cell>
          <cell r="D1896" t="str">
            <v>M</v>
          </cell>
          <cell r="E1896">
            <v>1209851</v>
          </cell>
        </row>
        <row r="1897">
          <cell r="B1897">
            <v>6106</v>
          </cell>
          <cell r="C1897" t="str">
            <v>ESTRUCTURA DE BALONCESTO CON TABLERO ANTIVANDÁLICO SEGÚN ESPECIFICACIONES IDRD. (SUMINISTRO E INSTALACIÓN. INCLUYE EXCAVACIÓN, TRANSPORTE DE MATERIAL PROVENIENTE DE LA EXCAVACIÓN, CONCRETO DE LIMPIEZA Y DADO EN CONCRETO DE 3000 PSI).</v>
          </cell>
          <cell r="D1897" t="str">
            <v>UN</v>
          </cell>
          <cell r="E1897">
            <v>3746552</v>
          </cell>
        </row>
        <row r="1898">
          <cell r="B1898">
            <v>6107</v>
          </cell>
          <cell r="C1898" t="str">
            <v>ESTRUCTURA DE MICROFUTBOL SEGÚN ESPECIFICACIONES IDRD. (SUMINISTRO E INSTALACIÓN. INCLUYE EXCAVACIÓN, TRANSPORTE DE MATERIAL PROVENIENTE DE LA EXCAVACIÓN, CONCRETO DE LIMPIEZA Y DADO EN CONCRETO DE 3000 PSI).</v>
          </cell>
          <cell r="D1898" t="str">
            <v>PAR</v>
          </cell>
          <cell r="E1898">
            <v>2483298</v>
          </cell>
        </row>
        <row r="1899">
          <cell r="B1899">
            <v>6108</v>
          </cell>
          <cell r="C1899" t="str">
            <v>MURO DESLIZADERO PARA NIÑOS DE 1 A 5 AÑOS. SEGÚN ESPECIFICACIONES IDRD. (SUMINISTRO E INSTALACIÓN. INCLUYE ANCLAJE EN CONCRETO DE 3000 PSI).</v>
          </cell>
          <cell r="D1899" t="str">
            <v>UN</v>
          </cell>
          <cell r="E1899">
            <v>4018615</v>
          </cell>
        </row>
        <row r="1900">
          <cell r="B1900">
            <v>6110</v>
          </cell>
          <cell r="C1900" t="str">
            <v>RUEDA PARA NIÑOS DE 1 A 5 AÑOS. SEGÚN ESPECIFICACIONES IDRD. (SUMINISTRO E INSTALACIÓN. INCLUYE EXCAVACIÓN Y CONCRETO DE 3000 PSI. NO INCLUYE ACERO DE REFUERZO).</v>
          </cell>
          <cell r="D1900" t="str">
            <v>UN</v>
          </cell>
          <cell r="E1900">
            <v>3950817</v>
          </cell>
        </row>
        <row r="1901">
          <cell r="B1901">
            <v>6111</v>
          </cell>
          <cell r="C1901" t="str">
            <v>TAPETE GATEADOR PARA NIÑOS DE 1 A 5 AÑOS. SEGÚN ESPECIFICACIONES IDRD. (SUMINISTRO E INSTALACIÓN. INCLUYE CONCRETO DE 3000 PSI PARA DADOS DE ANCLAJE).</v>
          </cell>
          <cell r="D1901" t="str">
            <v>UN</v>
          </cell>
          <cell r="E1901">
            <v>1864927</v>
          </cell>
        </row>
        <row r="1902">
          <cell r="B1902">
            <v>6112</v>
          </cell>
          <cell r="C1902" t="str">
            <v>PASAMANOS PARA NIÑOS DE 6 A 12 AÑOS. SEGÚN ESPECIFICACIONES IDRD. (SUMINISTRO E INSTALACIÓN. INCLUYE CONCRETO DE 3000 PSI PARA DADOS DE ANCLAJES).</v>
          </cell>
          <cell r="D1902" t="str">
            <v>UN</v>
          </cell>
          <cell r="E1902">
            <v>2140673</v>
          </cell>
        </row>
        <row r="1903">
          <cell r="B1903">
            <v>6115</v>
          </cell>
          <cell r="C1903" t="str">
            <v>TUBERÍA CONCRETO CLASE V  D= 24" (INCLUYE MORTERO DE INSTALACIÓN. SUMINISTRO E INSTALACIÓN).</v>
          </cell>
          <cell r="D1903" t="str">
            <v>M</v>
          </cell>
          <cell r="E1903">
            <v>522593</v>
          </cell>
        </row>
        <row r="1904">
          <cell r="B1904">
            <v>6116</v>
          </cell>
          <cell r="C1904" t="str">
            <v>TUBERÍA CONCRETO CLASE V  D= 27" (INCLUYE MORTERO DE INSTALACIÓN. SUMINISTRO E INSTALACIÓN).</v>
          </cell>
          <cell r="D1904" t="str">
            <v>M</v>
          </cell>
          <cell r="E1904">
            <v>697475</v>
          </cell>
        </row>
        <row r="1905">
          <cell r="B1905">
            <v>6118</v>
          </cell>
          <cell r="C1905" t="str">
            <v>TUBERÍA CONCRETO CLASE V  D= 40" (INCLUYE MORTERO DE INSTALACIÓN. SUMINISTRO E INSTALACIÓN).</v>
          </cell>
          <cell r="D1905" t="str">
            <v>M</v>
          </cell>
          <cell r="E1905">
            <v>1351395</v>
          </cell>
        </row>
        <row r="1906">
          <cell r="B1906">
            <v>6120</v>
          </cell>
          <cell r="C1906" t="str">
            <v>BARANDA METÁLICA M80 (SUMINISTRO E INSTALACIÓN. INCLUYE BASE EN CONCRETO).</v>
          </cell>
          <cell r="D1906" t="str">
            <v>M</v>
          </cell>
          <cell r="E1906">
            <v>210758</v>
          </cell>
        </row>
        <row r="1907">
          <cell r="B1907">
            <v>6121</v>
          </cell>
          <cell r="C1907" t="str">
            <v>CRUZ HD 12" x 6" JUNTA HIDRÁULICA (SUMINISTRO E INSTALACIÓN)</v>
          </cell>
          <cell r="D1907" t="str">
            <v>UN</v>
          </cell>
          <cell r="E1907">
            <v>1791881</v>
          </cell>
        </row>
        <row r="1908">
          <cell r="B1908">
            <v>6122</v>
          </cell>
          <cell r="C1908" t="str">
            <v>CUBIERTA VERDE (INCLUYE GEOTEXTIL 1800 PARA BASE, LÁMINA DE DRENAJE DE BAJA RETENCIÓN DE AGUA, GEOTEXTIL 1800 PARA RETENCIÓN DE FINOS, TAPETE TIPO CRASSULACEA EXL, TRANSPORTE Y MANO DE OBRA. SUMINISTRO E INSTALACIÓN.</v>
          </cell>
          <cell r="D1908" t="str">
            <v>M2</v>
          </cell>
          <cell r="E1908">
            <v>143943</v>
          </cell>
        </row>
        <row r="1909">
          <cell r="B1909">
            <v>6126</v>
          </cell>
          <cell r="C1909" t="str">
            <v>CUADRILLA (2 OFICIAL + 2 AYUDANTES)</v>
          </cell>
          <cell r="D1909" t="str">
            <v>JR</v>
          </cell>
          <cell r="E1909">
            <v>221820</v>
          </cell>
        </row>
        <row r="1910">
          <cell r="B1910">
            <v>6127</v>
          </cell>
          <cell r="C1910" t="str">
            <v>ACOMETIDA A TABLERO 3x2 + 1x4. THW. Cobre</v>
          </cell>
          <cell r="D1910" t="str">
            <v>UN</v>
          </cell>
          <cell r="E1910">
            <v>47561</v>
          </cell>
        </row>
        <row r="1911">
          <cell r="B1911">
            <v>6135</v>
          </cell>
          <cell r="C1911" t="str">
            <v>CONCRETO 6000 PSI PARA SUPER ESTRUCTURA (Premezclado. Incluye Suministro, Formaleteo y Colocación. No incluye Refuerzo, Curado).</v>
          </cell>
          <cell r="D1911" t="str">
            <v>M3</v>
          </cell>
          <cell r="E1911">
            <v>753123</v>
          </cell>
        </row>
        <row r="1912">
          <cell r="B1912">
            <v>6136</v>
          </cell>
          <cell r="C1912" t="str">
            <v>TUBO EN U SEPARADOR DE CICLORUTA. (SUMINISTRO E INSTALACIÓN. INCLUYE BASE EN CONCRETO DE 3000 PSI HECHO EN OBRA).</v>
          </cell>
          <cell r="D1912" t="str">
            <v>UN</v>
          </cell>
          <cell r="E1912">
            <v>152865</v>
          </cell>
        </row>
        <row r="1913">
          <cell r="B1913">
            <v>6137</v>
          </cell>
          <cell r="C1913" t="str">
            <v>PISO EN CONCRETO COLOR GRIS MR 41 (280 Kg/Cm2) GRAVA 1" 28 DIAS  ESTAMPADO e=0.10m (INCLUYE SUMINISTRO Y COLOCACIÓN DE CONCRETO, JUEGO DE MOLDES,  DESMOLDANTE EN POLVO, CURADOR PARA CONCRETO, INCLUYE CORTE Y SELLADO DE JUNTAS.</v>
          </cell>
          <cell r="D1913" t="str">
            <v>M2</v>
          </cell>
          <cell r="E1913">
            <v>191233</v>
          </cell>
        </row>
        <row r="1914">
          <cell r="B1914">
            <v>6138</v>
          </cell>
          <cell r="C1914" t="str">
            <v>PISO EN CONCRETO COLOR AMARILLO MR 41 (280 Kg/Cm2) GRAVA 1" 28 DIAS  ESTAMPADO e=0.10m (INCLUYE SUMINISTRO Y COLOCACIÓN DE CONCRETO, JUEGO DE MOLDES,  DESMOLDANTE EN POLVO, CURADOR PARA CONCRETO, INCLUYE CORTE Y SELLADO DE JUNTAS.</v>
          </cell>
          <cell r="D1914" t="str">
            <v>M2</v>
          </cell>
          <cell r="E1914">
            <v>206352</v>
          </cell>
        </row>
        <row r="1915">
          <cell r="B1915">
            <v>6139</v>
          </cell>
          <cell r="C1915" t="str">
            <v>PISO EN CONCRETO COLOR SALMON MR 41 (280 Kg/Cm2) GRAVA 1" 28 DIAS ESTAMPADO e= 0.10m (INCLUYE SUMINISTRO Y COLOCACION DE CONCRETO, JUEGO DE MOLDES, DESMOLDANTE EN POLVO, CURADOR PARA CONCRETO. INCLUYE CORTE Y SELLADO DE JUNTAS.</v>
          </cell>
          <cell r="D1915" t="str">
            <v>M2</v>
          </cell>
          <cell r="E1915">
            <v>206352</v>
          </cell>
        </row>
        <row r="1916">
          <cell r="B1916">
            <v>6140</v>
          </cell>
          <cell r="C1916" t="str">
            <v>PISO EN CONCRETO COLOR ARCILLA MR 41 (280 Kg/Cm2) GRAVA 1" 28 DIAS ESTAMPADO e= 0.10m (INCLUYE SUMINISTRO Y COLOCACION DE CONCRETO, JUEGO DE MOLDES, DESMOLDANTE EN POLVO, CURADOR PARA CONCRETO. INCLUYE CORTE Y SELLADO DE JUNTAS.</v>
          </cell>
          <cell r="D1916" t="str">
            <v>M2</v>
          </cell>
          <cell r="E1916">
            <v>206352</v>
          </cell>
        </row>
        <row r="1917">
          <cell r="B1917">
            <v>6141</v>
          </cell>
          <cell r="C1917" t="str">
            <v>DEMOLICIÓN CONSTRUCCIONES DE 1 PISO TEJA. INCLUYEN EL CARGUE, TRANSPORTE Y DISPOSICIÓN FINAL DE ESCOMBROS EN SITIO AUTORIZADO (DISTANCIA DE TRANSPORTE 28 KM.). INCLUYE MUROS INTERNOS, EXTERNOS, PLACAS Y CUBIERTAS, ADEMÁS DE LOS ELEMENTOS INTERNOS QUE SE ENCUENTREN EN LOS MISMOS.</v>
          </cell>
          <cell r="D1917" t="str">
            <v>M2</v>
          </cell>
          <cell r="E1917">
            <v>33072</v>
          </cell>
        </row>
        <row r="1918">
          <cell r="B1918">
            <v>6142</v>
          </cell>
          <cell r="C1918" t="str">
            <v>DEMOLICIÓN CONSTRUCCIONES DE 1 PISO PLACA. INCLUYEN EL CARGUE, TRANSPORTE Y DISPOSICIÓN FINAL DE ESCOMBROS EN SITIO AUTORIZADO (DISTANCIA DE TRANSPORTE 28 KM.). INCLUYE MUROS INTERNOS, EXTERNOS, PLACAS Y CUBIERTAS, ADEMÁS DE LOS ELEMENTOS INTERNOS QUE SE ENCUENTREN EN LOS MISMOS.</v>
          </cell>
          <cell r="D1918" t="str">
            <v>M2</v>
          </cell>
          <cell r="E1918">
            <v>34635</v>
          </cell>
        </row>
        <row r="1919">
          <cell r="B1919">
            <v>6143</v>
          </cell>
          <cell r="C1919" t="str">
            <v>DEMOLICIÓN CONSTRUCCIONES DE 2 HASTA 3 PISOS. INCLUYEN EL CARGUE, TRANSPORTE Y DISPOSICIÓN FINAL DE ESCOMBROS EN SITIO AUTORIZADO (DISTANCIA DE TRANSPORTE 28 KM.). INCLUYE MUROS INTERNOS, EXTERNOS, PLACAS Y CUBIERTAS, ADEMÁS DE LOS ELEMENTOS INTERNOS QUE SE ENCUENTREN EN LOS MISMOS.</v>
          </cell>
          <cell r="D1919" t="str">
            <v>M2</v>
          </cell>
          <cell r="E1919">
            <v>60199</v>
          </cell>
        </row>
        <row r="1920">
          <cell r="B1920">
            <v>6144</v>
          </cell>
          <cell r="C1920" t="str">
            <v>DEMOLICIÓN CONSTRUCCIONES DE 4 HASTA 6 PISOS. INCLUYEN EL CARGUE, TRANSPORTE Y DISPOSICIÓN FINAL DE ESCOMBROS EN SITIO AUTORIZADO (DISTANCIA DE TRANSPORTE 28 KM.). INCLUYE MUROS INTERNOS, EXTERNOS, PLACAS Y CUBIERTAS, ADEMÁS DE LOS ELEMENTOS INTERNOS QUE SE ENCUENTREN EN LOS MISMOS.</v>
          </cell>
          <cell r="D1920" t="str">
            <v>M2</v>
          </cell>
          <cell r="E1920">
            <v>69010</v>
          </cell>
        </row>
        <row r="1921">
          <cell r="B1921">
            <v>6145</v>
          </cell>
          <cell r="C1921" t="str">
            <v>DEMOLICIÓN DE BODEGAS CON DOBLE ALTURA. INCLUYEN EL CARGUE, TRANSPORTE Y DISPOSICIÓN FINAL DE ESCOMBROS EN SITIO AUTORIZADO (DISTANCIA DE TRANSPORTE 28 KM.). INCLUYE MUROS INTERNOS, EXTERNOS, PLACAS Y CUBIERTAS, ADEMÁS DE LOS ELEMENTOS INTERNOS QUE SE ENCUENTREN EN LOS MISMOS.</v>
          </cell>
          <cell r="D1921" t="str">
            <v>M2</v>
          </cell>
          <cell r="E1921">
            <v>45494</v>
          </cell>
        </row>
        <row r="1922">
          <cell r="B1922">
            <v>6146</v>
          </cell>
          <cell r="C1922" t="str">
            <v>DEMOLICIÓN MEZANINE EN MADERA Y/O PREFABRICADO. INCLUYEN EL CARGUE, TRANSPORTE Y DISPOSICIÓN FINAL DE ESCOMBROS EN SITIO AUTORIZADO (DISTANCIA DE TRANSPORTE 28 KM.). INCLUYE MUROS INTERNOS, EXTERNOS, PLACAS Y CUBIERTAS, ADEMÁS DE LOS ELEMENTOS INTERNOS QUE SE ENCUENTREN EN LOS MISMOS.</v>
          </cell>
          <cell r="D1922" t="str">
            <v>M2</v>
          </cell>
          <cell r="E1922">
            <v>29501</v>
          </cell>
        </row>
        <row r="1923">
          <cell r="B1923">
            <v>6147</v>
          </cell>
          <cell r="C1923" t="str">
            <v>CERRAMIENTO (8 HILERAS DE ALAMBRE DE PÚAS CALIBRE 12.5, CON PINTURA BLANCA 3 MANOS 60 CM, EN LA PARTE SUPERIOR, CON POSTES DE CONCRETO H=2.5 M Y SECCIÓN DE 10CM X 10CM, INSTALADOS CADA 2.00 M. INCLUYE DADOS DE CIMENTACIÓN 0.30 M X 0.30 M X 0.50 M)</v>
          </cell>
          <cell r="D1923" t="str">
            <v>M</v>
          </cell>
          <cell r="E1923">
            <v>70744</v>
          </cell>
        </row>
        <row r="1924">
          <cell r="B1924">
            <v>6148</v>
          </cell>
          <cell r="C1924" t="str">
            <v>CERRAMIENTO (8 HILERAS DE ALAMBRE DE PÚAS CALIBRE 12.5, CON POSTE DE MADERA ROLLIZA DE 8 CM DE DIÁMETRO Y 2.00 M DE ALTURA, ENTERRADO COMO MIN. 0.40, CON 2.00 M., ENTRE POSTES)</v>
          </cell>
          <cell r="D1924" t="str">
            <v>M</v>
          </cell>
          <cell r="E1924">
            <v>50672</v>
          </cell>
        </row>
        <row r="1925">
          <cell r="B1925">
            <v>6149</v>
          </cell>
          <cell r="C1925" t="str">
            <v>CERRAMIENTO EN BLOQUE NO.5, DE ALTURA TOTAL DE 1.80 M, CON CIMENTACIÓN CICLÓPEA DE 0.35 M X 0.35 M Y VIGA DE AMARRE DE 0.12 M X 0.15 M Y COLUMNETAS DE 0.20 M X 0.12 M., CADA 3.50 M., ENTRE SÍ. INCLUYE TODOS LOS REFUERZOS EN HIERRO NECESARIOS.</v>
          </cell>
          <cell r="D1925" t="str">
            <v>M</v>
          </cell>
          <cell r="E1925">
            <v>157215</v>
          </cell>
        </row>
        <row r="1926">
          <cell r="B1926">
            <v>6150</v>
          </cell>
          <cell r="C1926" t="str">
            <v>CERRAMIENTO EN MALLA ESLABONADA CALIBRE 10.5 Y ALAMBRE DE PUAS (3 HILERAS) INCLUYE AMARRES DE ALAMBRE GALVANIZADO SOLDADO A POSTES EN ACERO INOXIDABLE EN TUBO DE 1-1/2", CADA 2 MTS, ANGULO DE REMATE. EXCAVACIÓN DE 0.20 X 0.20 X 0.40 PARA ANCLAJE Y CONCRETO DE 3000 PSI PARA VIGA.</v>
          </cell>
          <cell r="D1926" t="str">
            <v>M</v>
          </cell>
          <cell r="E1926">
            <v>246727</v>
          </cell>
        </row>
        <row r="1927">
          <cell r="B1927">
            <v>6151</v>
          </cell>
          <cell r="C1927" t="str">
            <v>EXPLANACIÓN Y EXTENDIDA MECÁNICA.</v>
          </cell>
          <cell r="D1927" t="str">
            <v>M3</v>
          </cell>
          <cell r="E1927">
            <v>6529</v>
          </cell>
        </row>
        <row r="1928">
          <cell r="B1928">
            <v>6152</v>
          </cell>
          <cell r="C1928" t="str">
            <v>LIMPIEZA Y ACOPIO MANUAL DE BASURAS</v>
          </cell>
          <cell r="D1928" t="str">
            <v>M2</v>
          </cell>
          <cell r="E1928">
            <v>167</v>
          </cell>
        </row>
        <row r="1929">
          <cell r="B1929">
            <v>6153</v>
          </cell>
          <cell r="C1929" t="str">
            <v>CORTE Y RETIRO DE CÉSPED (HASTA 40 CM - INCLUYE RETIRO DE DESPERDICIOS). NO INCLUYE TRANSPORTE Y RETIRO DE SOBRANTES.</v>
          </cell>
          <cell r="D1929" t="str">
            <v>M2</v>
          </cell>
          <cell r="E1929">
            <v>529</v>
          </cell>
        </row>
        <row r="1930">
          <cell r="B1930">
            <v>6154</v>
          </cell>
          <cell r="C1930" t="str">
            <v>MATA MALEZA (UNA APLICACIÓN)</v>
          </cell>
          <cell r="D1930" t="str">
            <v>M2</v>
          </cell>
          <cell r="E1930">
            <v>295</v>
          </cell>
        </row>
        <row r="1931">
          <cell r="B1931">
            <v>6155</v>
          </cell>
          <cell r="C1931" t="str">
            <v>PODA DE ÁRBOLES MEDIANOS, ALTURA : 8 MTS (ELIMINAR RAMAS SECAS, CON RIESGO DE ROTURA, RAMAS QUE ESTORBEN EL PASO DE PERSONAS O TOQUEN CABLES O EDIFICIOS)</v>
          </cell>
          <cell r="D1931" t="str">
            <v>UN</v>
          </cell>
          <cell r="E1931">
            <v>122059</v>
          </cell>
        </row>
        <row r="1932">
          <cell r="B1932">
            <v>6156</v>
          </cell>
          <cell r="C1932" t="str">
            <v>FUMIGACIÓN CONTRA ROEDORES (RATICIDA - UNA APLICACIÓN)</v>
          </cell>
          <cell r="D1932" t="str">
            <v>M2</v>
          </cell>
          <cell r="E1932">
            <v>287</v>
          </cell>
        </row>
        <row r="1933">
          <cell r="B1933">
            <v>6157</v>
          </cell>
          <cell r="C1933" t="str">
            <v>FUMIGACIÓN CONTRA INSECTOS (INSECTICIDAS- INCLUYE LEVANTAMIENTO DE ANIMALES Y BASURAS, DESINFECTACIÓN CONTRA VIRUS, BACTERIAS Y HONGOS)</v>
          </cell>
          <cell r="D1933" t="str">
            <v>M2</v>
          </cell>
          <cell r="E1933">
            <v>707</v>
          </cell>
        </row>
        <row r="1934">
          <cell r="B1934">
            <v>6159</v>
          </cell>
          <cell r="C1934" t="str">
            <v>DIAGNOSTICO DE ESPACIO PUBLICO Y CICLORRUTA Y PUENTES PEATONALES (VISUAL)</v>
          </cell>
          <cell r="D1934" t="str">
            <v>M2</v>
          </cell>
          <cell r="E1934">
            <v>72</v>
          </cell>
        </row>
        <row r="1935">
          <cell r="B1935">
            <v>6160</v>
          </cell>
          <cell r="C1935" t="str">
            <v>INSPECCIÓN DE REDES DE ALCANTARILLADO CON SISTEMAS CCTV PARA DIÁMETROS MAYORES A 36"</v>
          </cell>
          <cell r="D1935" t="str">
            <v>M</v>
          </cell>
          <cell r="E1935">
            <v>10115</v>
          </cell>
        </row>
        <row r="1936">
          <cell r="B1936">
            <v>6161</v>
          </cell>
          <cell r="C1936" t="str">
            <v>INSPECCIÓN DE REDES DE ALCANTARILLADO CON SISTEMAS CCTV PARA DIÁMETROS ENTRE 6" A 36"</v>
          </cell>
          <cell r="D1936" t="str">
            <v>M</v>
          </cell>
          <cell r="E1936">
            <v>10115</v>
          </cell>
        </row>
        <row r="1937">
          <cell r="B1937">
            <v>6162</v>
          </cell>
          <cell r="C1937" t="str">
            <v>DIAGNOSTICO DE ESPACIO PUBLICO Y CICLORRUTA Y PUENTES PEATONALES (VISUAL). INCLUYE LEVANTAMIENTO TOPOGRÁFICO Y GEORREFERENCIACIÓN DE ELEMENTOS</v>
          </cell>
          <cell r="D1937" t="str">
            <v>M2</v>
          </cell>
          <cell r="E1937">
            <v>106</v>
          </cell>
        </row>
        <row r="1938">
          <cell r="B1938">
            <v>6163</v>
          </cell>
          <cell r="C1938" t="str">
            <v>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v>
          </cell>
          <cell r="D1938" t="str">
            <v>M2</v>
          </cell>
          <cell r="E1938">
            <v>179543</v>
          </cell>
        </row>
        <row r="1939">
          <cell r="B1939">
            <v>6164</v>
          </cell>
          <cell r="C1939" t="str">
            <v>BACHEO EN PAVIMENTO FLEXIBLE CON ASFALTO CAUCHO e= 0.14m. (Incluye demolición manual y cargue de pavimento flexible de e=0.14m, transporte y disposición final de escombros, excavación y reposición base granular clase A (BG_A) e=0.20m, base asfáltica con asfalto caucho e=0.14m )</v>
          </cell>
          <cell r="D1939" t="str">
            <v>M2</v>
          </cell>
          <cell r="E1939">
            <v>190170</v>
          </cell>
        </row>
        <row r="1940">
          <cell r="B1940">
            <v>6165</v>
          </cell>
          <cell r="C1940" t="str">
            <v>RETIRO DE BOLARDO (O RESTOS). INCLUYE REPARACIÓN DEL SITIO CON CONCRETO DE 1500 PSI HECHO EN OBRA (40x40x10cm) Y SUBBASE GRANULAR B-200 e=0.35. INCLUYE RETIRO DE ESCOMBROS. INCLUYE DEMOLICIÓN Y EXCAVACIÓN.</v>
          </cell>
          <cell r="D1940" t="str">
            <v>UN</v>
          </cell>
          <cell r="E1940">
            <v>19347</v>
          </cell>
        </row>
        <row r="1941">
          <cell r="B1941">
            <v>6166</v>
          </cell>
          <cell r="C1941" t="str">
            <v>MANTENIMIENTO CORRECTIVO ESPACIO PUBLICO EN ADOQUÍN DE ARCILLA LIVIANO SOBRE ARENA. INCL. RETIRO ADOQUÍN E INSTALAR EL MISMO. NO INCLUYE REDES.</v>
          </cell>
          <cell r="D1941" t="str">
            <v>M2</v>
          </cell>
          <cell r="E1941">
            <v>22208</v>
          </cell>
        </row>
        <row r="1942">
          <cell r="B1942">
            <v>6167</v>
          </cell>
          <cell r="C1942" t="str">
            <v>MANTENIMIENTO CORRECTIVO DE ESPACIO PUBLICO LOSETA A-50 SOBRE ARENA.  INCL. RETIRO LOSETA E INSTALAR LA MISMA.</v>
          </cell>
          <cell r="D1942" t="str">
            <v>M2</v>
          </cell>
          <cell r="E1942">
            <v>18063</v>
          </cell>
        </row>
        <row r="1943">
          <cell r="B1943">
            <v>6168</v>
          </cell>
          <cell r="C1943" t="str">
            <v>MANTENIMIENTO CORRECTIVO, RETIRO Y REINSTALACIÓN DE BORDILLO PREFABRICADO A80 (Retiro e Instalación. Incluye material de base)</v>
          </cell>
          <cell r="D1943" t="str">
            <v>M</v>
          </cell>
          <cell r="E1943">
            <v>13191</v>
          </cell>
        </row>
        <row r="1944">
          <cell r="B1944">
            <v>6169</v>
          </cell>
          <cell r="C1944" t="str">
            <v>ALQUILER DE PUESTO DE TRABAJO - ESCRITORIO 75x120x50cm</v>
          </cell>
          <cell r="D1944" t="str">
            <v>UN/MES</v>
          </cell>
          <cell r="E1944">
            <v>8520</v>
          </cell>
        </row>
        <row r="1945">
          <cell r="B1945">
            <v>6170</v>
          </cell>
          <cell r="C1945" t="str">
            <v>ALQUILER DE SILLA PARA ESCRITORIO PARA PUESTO DE TRABAJO</v>
          </cell>
          <cell r="D1945" t="str">
            <v>UN/MES</v>
          </cell>
          <cell r="E1945">
            <v>5495</v>
          </cell>
        </row>
        <row r="1946">
          <cell r="B1946">
            <v>6172</v>
          </cell>
          <cell r="C1946" t="str">
            <v>ALQUILER DE SILLA PLÁSTICA SIN BRAZOS</v>
          </cell>
          <cell r="D1946" t="str">
            <v>UN/MES</v>
          </cell>
          <cell r="E1946">
            <v>1569</v>
          </cell>
        </row>
        <row r="1947">
          <cell r="B1947">
            <v>6175</v>
          </cell>
          <cell r="C1947" t="str">
            <v>EVALUACION SUPERFICIAL. Incluye levantamiento de fallas (auscultación visual) para determinar el PCI (Norma ASTM D 6433-07) para calzada segmento</v>
          </cell>
          <cell r="D1947" t="str">
            <v>Clz/Sg</v>
          </cell>
          <cell r="E1947">
            <v>69043</v>
          </cell>
        </row>
        <row r="1948">
          <cell r="B1948">
            <v>6176</v>
          </cell>
          <cell r="C1948" t="str">
            <v>PROCESAMIENTO Y ANALISIS DE INFORMACION PARA EL DIAGNOSTICO</v>
          </cell>
          <cell r="D1948" t="str">
            <v>SEG</v>
          </cell>
          <cell r="E1948">
            <v>21966</v>
          </cell>
        </row>
        <row r="1949">
          <cell r="B1949">
            <v>6178</v>
          </cell>
          <cell r="C1949" t="str">
            <v>ALQUILER SEÑAL VERTICAL GRUPO I (75x75cm) (Incluye Suministro e Instalación)</v>
          </cell>
          <cell r="D1949" t="str">
            <v>UN/MES</v>
          </cell>
          <cell r="E1949">
            <v>6290</v>
          </cell>
        </row>
        <row r="1950">
          <cell r="B1950">
            <v>6179</v>
          </cell>
          <cell r="C1950" t="str">
            <v>ALQUILER SEÑAL VERTICAL GRUPO I (60x60cm) (Incluye Suministro e Instalación)</v>
          </cell>
          <cell r="D1950" t="str">
            <v>UN/MES</v>
          </cell>
          <cell r="E1950">
            <v>6290</v>
          </cell>
        </row>
        <row r="1951">
          <cell r="B1951">
            <v>6180</v>
          </cell>
          <cell r="C1951" t="str">
            <v>ALQUILER SEÑAL VERTICAL GRUPO I (90x90cm) (Incluye Suministro e Instalación)</v>
          </cell>
          <cell r="D1951" t="str">
            <v>UN/MES</v>
          </cell>
          <cell r="E1951">
            <v>16951</v>
          </cell>
        </row>
        <row r="1952">
          <cell r="B1952">
            <v>6181</v>
          </cell>
          <cell r="C1952" t="str">
            <v>ALQUILER DE PALETA PARE-SIGA EN POLIETILENO.</v>
          </cell>
          <cell r="D1952" t="str">
            <v>UN/MES</v>
          </cell>
          <cell r="E1952">
            <v>1314</v>
          </cell>
        </row>
        <row r="1953">
          <cell r="B1953">
            <v>6184</v>
          </cell>
          <cell r="C1953" t="str">
            <v>MANTENIMIENTO RUTINARIO DE CALZADA EN PAVIMENTO FLEXIBLE. INCLUYE LIMPIEZA DE SUMIDEROS, POZOS, SELLO DE JUNTAS Y RETIRO MANUAL DE CAPA VEGETAL.</v>
          </cell>
          <cell r="D1953" t="str">
            <v>M2</v>
          </cell>
          <cell r="E1953">
            <v>11197</v>
          </cell>
        </row>
        <row r="1954">
          <cell r="B1954">
            <v>6185</v>
          </cell>
          <cell r="C1954" t="str">
            <v>CONO POZO INSPECCIÓN PREFABRICADO D= 1.20m x 0.60m   e=0.10m  h= 0.75m  (Inc. Suministro e Inst. No Inc. Aro de Ajuste, Aro-Tapa y Tapa)</v>
          </cell>
          <cell r="D1954" t="str">
            <v>UN</v>
          </cell>
          <cell r="E1954">
            <v>649757</v>
          </cell>
        </row>
        <row r="1955">
          <cell r="B1955">
            <v>6186</v>
          </cell>
          <cell r="C1955" t="str">
            <v xml:space="preserve">ALQUILER BARRERA RELLENABLE (2.00x0.55x1.00m) </v>
          </cell>
          <cell r="D1955" t="str">
            <v>UN/MES</v>
          </cell>
          <cell r="E1955">
            <v>10108</v>
          </cell>
        </row>
        <row r="1956">
          <cell r="B1956">
            <v>6187</v>
          </cell>
          <cell r="C1956" t="str">
            <v>ALQUILER DE SEÑAL LUMINOSA BIDIRECCIONAL 1.50m x 0.50m (INCLUYE INSTALACIÓN, MANTENIMIENTO Y DESINSTALACIÓN).</v>
          </cell>
          <cell r="D1956" t="str">
            <v>UN/MES</v>
          </cell>
          <cell r="E1956">
            <v>151378</v>
          </cell>
        </row>
        <row r="1957">
          <cell r="B1957">
            <v>6188</v>
          </cell>
          <cell r="C1957" t="str">
            <v>CARCAMO TIPO PLACA DE PROTECCIÓN PARA TUBERÍA Ø 14" NORMA EAAB NS-090 . 3v.2. INCLUYE: DESPERDICIOS, COMPACTACIÓN Y DESPUNTES.</v>
          </cell>
          <cell r="D1957" t="str">
            <v>M</v>
          </cell>
          <cell r="E1957">
            <v>117261</v>
          </cell>
        </row>
        <row r="1958">
          <cell r="B1958">
            <v>6189</v>
          </cell>
          <cell r="C1958" t="str">
            <v>BANDERERO (INCLUYE ALQUILER DE PALETA PARE-SIGA EN POLIETILENO). HORARIO NOCTURNO</v>
          </cell>
          <cell r="D1958" t="str">
            <v>H/ME</v>
          </cell>
          <cell r="E1958">
            <v>1840419</v>
          </cell>
        </row>
        <row r="1959">
          <cell r="B1959">
            <v>6190</v>
          </cell>
          <cell r="C1959" t="str">
            <v>CANALIZACIÓN DE TRÁFICO (INSTALACIÓN, MANTENIMIENTO Y DESINSTALACIÓN DIARIO) CON SEÑALIZADORES TUBULARES COLOMBINA PLÁSTICA Y TRIPLE CINTA DE SEÑALIZACIÓN (INCLUYE ALQUILER DE SEÑALIZADORES TUBULARES). LONGITUD 50 METROS.</v>
          </cell>
          <cell r="D1959" t="str">
            <v>UN/DIA</v>
          </cell>
          <cell r="E1959">
            <v>383</v>
          </cell>
        </row>
        <row r="1960">
          <cell r="B1960">
            <v>6191</v>
          </cell>
          <cell r="C1960" t="str">
            <v>PISOS EN METALDECK 2" CALIBRE 16 (1.50mm) PARA PUENTES VEHICULARES. (Incluye transporte, herramienta menor, mano de obra)</v>
          </cell>
          <cell r="D1960" t="str">
            <v>M2</v>
          </cell>
          <cell r="E1960">
            <v>81648</v>
          </cell>
        </row>
        <row r="1961">
          <cell r="B1961">
            <v>6192</v>
          </cell>
          <cell r="C1961" t="str">
            <v>PISOS EN METALDECK 2" CALIBRE 18 (1.50mm) PARA PUENTES PEATONALES. (Incluye transporte, herramienta menor, mano de obra)</v>
          </cell>
          <cell r="D1961" t="str">
            <v>M2</v>
          </cell>
          <cell r="E1961">
            <v>68038</v>
          </cell>
        </row>
        <row r="1962">
          <cell r="B1962">
            <v>6193</v>
          </cell>
          <cell r="C1962" t="str">
            <v>CONCRETO 3000 PSI PARA BARANDAS (Premezclado. Incluye Sumin., Formaleteo y Colocación. No incl. Refuerzo, Curado).</v>
          </cell>
          <cell r="D1962" t="str">
            <v>M3</v>
          </cell>
          <cell r="E1962">
            <v>496154</v>
          </cell>
        </row>
        <row r="1963">
          <cell r="B1963">
            <v>6194</v>
          </cell>
          <cell r="C1963" t="str">
            <v xml:space="preserve">BARANDA METÁLICA PARA PUENTE PEATONAL (Incluye dados de concreto 3000 psi grava común de 0.20m x 0.20m, recubrimiento en barrera epóxica y esmalte uretano gris. Incluye tubo de cerramiento negro de Ø 2" y Ø 1/2" -  1.9mm, platina metálica). SUMINISTRO E INSTALACIÓN. </v>
          </cell>
          <cell r="D1963" t="str">
            <v>M</v>
          </cell>
          <cell r="E1963">
            <v>368504</v>
          </cell>
        </row>
        <row r="1964">
          <cell r="B1964">
            <v>6196</v>
          </cell>
          <cell r="C1964" t="str">
            <v>PISOS EN TABLILLA DE MADERA TECA TIPO DECK. SUMINISTRO E INSTALACIÓN. (iNCLUYE HERRAMIENTA MENOR, TRANSPORTE, MANO DE OBRA).</v>
          </cell>
          <cell r="D1964" t="str">
            <v>M2</v>
          </cell>
          <cell r="E1964">
            <v>204916</v>
          </cell>
        </row>
        <row r="1965">
          <cell r="B1965">
            <v>6197</v>
          </cell>
          <cell r="C1965" t="str">
            <v>MANTENIMIENTO PARA PISO EN MADERA TECA TIPO DECK. (Incluye pulida, cambio de tornillería dañada y terminado en pintura dos manos)</v>
          </cell>
          <cell r="D1965" t="str">
            <v>M2</v>
          </cell>
          <cell r="E1965">
            <v>53550</v>
          </cell>
        </row>
        <row r="1966">
          <cell r="B1966">
            <v>6198</v>
          </cell>
          <cell r="C1966" t="str">
            <v>PILOTE D=25 CM (Incl. Excavación, Concreto, Cargue y Retiro de Sobrantes, Desmovilización, montaje y desmontaje de Equipo. Incluye movilización hacia y desde la obra y entre perforaciones, montaje y desmontaje, registro de muestras correspondientes al perfil estratigráfico. También incluye el cargue, retiro y disposición final de escombros. Suministro y colocación del concreto).</v>
          </cell>
          <cell r="D1966" t="str">
            <v>M</v>
          </cell>
          <cell r="E1966">
            <v>172088</v>
          </cell>
        </row>
        <row r="1967">
          <cell r="B1967">
            <v>6200</v>
          </cell>
          <cell r="C1967" t="str">
            <v>CONCRETO 3500 PSI PARA COLUMNAS DE SECCIÓN 0.50m x 0.25m. (Premezclado. Incluye Suministro, Formaleteo y Colocación. No incl. Refuerzo, Curado) Incluye vaciado del concreto y elementos para el vaciado.</v>
          </cell>
          <cell r="D1967" t="str">
            <v>M3</v>
          </cell>
          <cell r="E1967">
            <v>623176</v>
          </cell>
        </row>
        <row r="1968">
          <cell r="B1968">
            <v>6201</v>
          </cell>
          <cell r="C1968" t="str">
            <v>CONCRETO 3500 PSI PARA MURO ESTRUCTURAL (Premezclado. Incl. Sumin, Formaleteo, bombeo, curado y Colocación. No incl. Refuerzo)</v>
          </cell>
          <cell r="D1968" t="str">
            <v>M3</v>
          </cell>
          <cell r="E1968">
            <v>739369</v>
          </cell>
        </row>
        <row r="1969">
          <cell r="B1969">
            <v>6202</v>
          </cell>
          <cell r="C1969" t="str">
            <v>ENCHAPE PARA COLUMNAS Y VIGAS EN BLOQUE DE CONCRETO ESTRIADO. MORTERO 1:3 HECHO EN OBRA PARA PEGA, CORTADORA Y DISCO DIAMANTADO (Incluye suministro e instalación).</v>
          </cell>
          <cell r="D1969" t="str">
            <v>M</v>
          </cell>
          <cell r="E1969">
            <v>22347</v>
          </cell>
        </row>
        <row r="1970">
          <cell r="B1970">
            <v>6203</v>
          </cell>
          <cell r="C1970" t="str">
            <v>HIDROPROTECCIÓN Y LAVADO (Incluye alquiler de hidrolavadora 1300W. Incluye hidrosellante, elementos de aseo (detergente industrial). Transporte, Agua, Combustible y mano de obra).</v>
          </cell>
          <cell r="D1970" t="str">
            <v>M2</v>
          </cell>
          <cell r="E1970">
            <v>13741</v>
          </cell>
        </row>
        <row r="1971">
          <cell r="B1971">
            <v>6204</v>
          </cell>
          <cell r="C1971" t="str">
            <v>SELLO DE JUNTAS CON ICOPOR Y SIKAFLEX 1A SELLADO DE JUNTAS (300cc) (Incluye suministro e instalación)</v>
          </cell>
          <cell r="D1971" t="str">
            <v>M</v>
          </cell>
          <cell r="E1971">
            <v>14916</v>
          </cell>
        </row>
        <row r="1972">
          <cell r="B1972">
            <v>6205</v>
          </cell>
          <cell r="C1972" t="str">
            <v>ANCLAJE EPÓXICO PARA DOVELAS (Incluye suministro e instalación)</v>
          </cell>
          <cell r="D1972" t="str">
            <v>UN</v>
          </cell>
          <cell r="E1972">
            <v>9197</v>
          </cell>
        </row>
        <row r="1973">
          <cell r="B1973">
            <v>6206</v>
          </cell>
          <cell r="C1973" t="str">
            <v>CANAL Y FLANCHE EN LAMINA GALVANIZADA. (Incluye suministro e instalación)</v>
          </cell>
          <cell r="D1973" t="str">
            <v>M</v>
          </cell>
          <cell r="E1973">
            <v>80569</v>
          </cell>
        </row>
        <row r="1974">
          <cell r="B1974">
            <v>6207</v>
          </cell>
          <cell r="C1974" t="str">
            <v>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v>
          </cell>
          <cell r="D1974" t="str">
            <v>M2</v>
          </cell>
          <cell r="E1974">
            <v>109234</v>
          </cell>
        </row>
        <row r="1975">
          <cell r="B1975">
            <v>6211</v>
          </cell>
          <cell r="C1975" t="str">
            <v>CUNETAS EN MANTO DE HORMIGÓN DE e= 8mm (Incluye suministro e instalación). Esta actividad se requiere para el Contrato de Consultoría y Obra N° IDU 1920 de 2013.</v>
          </cell>
          <cell r="D1975" t="str">
            <v>M</v>
          </cell>
          <cell r="E1975">
            <v>226946</v>
          </cell>
        </row>
        <row r="1976">
          <cell r="B1976">
            <v>6212</v>
          </cell>
          <cell r="C1976" t="str">
            <v>CANALETA PORTACABLES DE 20cm PVC CON ADHESIVO. INCLUYE UNIÓN PROPORCIONAL CADA 2m. SUMINISTRO E INSTALACIÓN</v>
          </cell>
          <cell r="D1976" t="str">
            <v>M</v>
          </cell>
          <cell r="E1976">
            <v>8292</v>
          </cell>
        </row>
        <row r="1977">
          <cell r="B1977">
            <v>6213</v>
          </cell>
          <cell r="C1977" t="str">
            <v>CANALETA PORTACABLES DE 32cm PVC CON ADHESIVO. INCLUYE UNIÓN PROPORCIONAL CADA 2m. SUMINISTRO E INSTALACIÓN</v>
          </cell>
          <cell r="D1977" t="str">
            <v>M</v>
          </cell>
          <cell r="E1977">
            <v>9243</v>
          </cell>
        </row>
        <row r="1978">
          <cell r="B1978">
            <v>6214</v>
          </cell>
          <cell r="C1978" t="str">
            <v>3 DUCTOS D= 2" PVC  PESADO DB (NO INCLUYE RELLENOS). SUMINISTRO E INSTALACIÓN.</v>
          </cell>
          <cell r="D1978" t="str">
            <v>M</v>
          </cell>
          <cell r="E1978">
            <v>22408</v>
          </cell>
        </row>
        <row r="1979">
          <cell r="B1979">
            <v>6215</v>
          </cell>
          <cell r="C1979" t="str">
            <v>2 DUCTOS D= 1 1/4" CONDUIT PVC (NO INCLUYE RELLENOS). SUMINISTRO E INSTALACIÓN.</v>
          </cell>
          <cell r="D1979" t="str">
            <v>M</v>
          </cell>
          <cell r="E1979">
            <v>10828</v>
          </cell>
        </row>
        <row r="1980">
          <cell r="B1980">
            <v>6216</v>
          </cell>
          <cell r="C1980" t="str">
            <v>ADECUACIÓN DE TERRENO (MOVIMIENTO DE TIERRA Y OBRAS DE ADECUACIÓN PARA ACCESO A MAQUINARIA)</v>
          </cell>
          <cell r="D1980" t="str">
            <v>M3</v>
          </cell>
          <cell r="E1980">
            <v>41913</v>
          </cell>
        </row>
        <row r="1981">
          <cell r="B1981">
            <v>6217</v>
          </cell>
          <cell r="C1981" t="str">
            <v>BOLSA DE LONA CON SUELO-CEMENTO (CONFINAMIENTO DE TALUDES. PROPORCIÓN 1:0:2.SUMINISTRO, MEZCLADO, LLENADO Y COLOCACIÓN.</v>
          </cell>
          <cell r="D1981" t="str">
            <v>UN</v>
          </cell>
          <cell r="E1981">
            <v>12485</v>
          </cell>
        </row>
        <row r="1982">
          <cell r="B1982">
            <v>6218</v>
          </cell>
          <cell r="C1982" t="str">
            <v xml:space="preserve">BOLSA DE LONA CON SUELO-CEMENTO (CONFINAMIENTO DE TALUDES. PROPORCIÓN 1:0:4.SUMINISTRO, MEZCLADO, LLENADO Y COLOCACIÓN. </v>
          </cell>
          <cell r="D1982" t="str">
            <v>UN</v>
          </cell>
          <cell r="E1982">
            <v>14585</v>
          </cell>
        </row>
        <row r="1983">
          <cell r="B1983">
            <v>6219</v>
          </cell>
          <cell r="C1983" t="str">
            <v>TRATAMIENTO SILVICULTURAL PODA DE RAÍCES (Incluye excavación manual, corte, cicatrización y disposición final de escombros a 28 Kilómetros)</v>
          </cell>
          <cell r="D1983" t="str">
            <v>UN</v>
          </cell>
          <cell r="E1983">
            <v>348463</v>
          </cell>
        </row>
        <row r="1984">
          <cell r="B1984">
            <v>6220</v>
          </cell>
          <cell r="C1984" t="str">
            <v>PISO PRETENSADO e= 50 mm PARA ESTACIONES Y PUENTES TIPO TRANSMILENIO. SUMINISTRO E INSTALACIÓN.</v>
          </cell>
          <cell r="D1984" t="str">
            <v>M2</v>
          </cell>
          <cell r="E1984">
            <v>334248</v>
          </cell>
        </row>
        <row r="1985">
          <cell r="B1985">
            <v>6221</v>
          </cell>
          <cell r="C1985" t="str">
            <v xml:space="preserve">PISO PRETENSADO e= 70 mm PARA ESTACIONES Y PUENTES TIPO TRANSMILENIO. SUMINISTRO E INSTALACIÓN. </v>
          </cell>
          <cell r="D1985" t="str">
            <v>M2</v>
          </cell>
          <cell r="E1985">
            <v>353181</v>
          </cell>
        </row>
        <row r="1986">
          <cell r="B1986">
            <v>6224</v>
          </cell>
          <cell r="C1986" t="str">
            <v>DEMOLICIÓN RECUBRIMIENTO ESTRUCTURAL DE ZONAS CON DESCASCARAMIENTO, HASTA DESCUBRIR EL REFUERZO EXISTENTE VERIFICANDO PH EN CONCRETO. Incluye todos los costos de suministro de materiales, equipos, cargue y transporte de materiales sobrantes a botadero autorizado y mano de obra.</v>
          </cell>
          <cell r="D1986" t="str">
            <v>M2</v>
          </cell>
          <cell r="E1986">
            <v>7654</v>
          </cell>
        </row>
        <row r="1987">
          <cell r="B1987">
            <v>6225</v>
          </cell>
          <cell r="C1987" t="str">
            <v>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v>
          </cell>
          <cell r="D1987" t="str">
            <v>M</v>
          </cell>
          <cell r="E1987">
            <v>11797</v>
          </cell>
        </row>
        <row r="1988">
          <cell r="B1988">
            <v>6226</v>
          </cell>
          <cell r="C1988" t="str">
            <v>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v>
          </cell>
          <cell r="D1988" t="str">
            <v>M2</v>
          </cell>
          <cell r="E1988">
            <v>8366</v>
          </cell>
        </row>
        <row r="1989">
          <cell r="B1989">
            <v>6227</v>
          </cell>
          <cell r="C1989" t="str">
            <v>DEMOLICIÓN DE CONCRETO REFORZADO DE TABLERO. Incluye demolición del concreto existente empleando martillos neumáticos o hidráulicos, retiro y manejo de escombros, suministro de equipos, personal, transporte, energía y mano de obra.</v>
          </cell>
          <cell r="D1989" t="str">
            <v>M3</v>
          </cell>
          <cell r="E1989">
            <v>42347</v>
          </cell>
        </row>
        <row r="1990">
          <cell r="B1990">
            <v>6228</v>
          </cell>
          <cell r="C1990" t="str">
            <v>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v>
          </cell>
          <cell r="D1990" t="str">
            <v>M3</v>
          </cell>
          <cell r="E1990">
            <v>43387</v>
          </cell>
        </row>
        <row r="1991">
          <cell r="B1991">
            <v>6229</v>
          </cell>
          <cell r="C1991" t="str">
            <v>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v>
          </cell>
          <cell r="D1991" t="str">
            <v>M2</v>
          </cell>
          <cell r="E1991">
            <v>6251</v>
          </cell>
        </row>
        <row r="1992">
          <cell r="B1992">
            <v>6230</v>
          </cell>
          <cell r="C1992" t="str">
            <v>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v>
          </cell>
          <cell r="D1992" t="str">
            <v>M2</v>
          </cell>
          <cell r="E1992">
            <v>4973</v>
          </cell>
        </row>
        <row r="1993">
          <cell r="B1993">
            <v>6231</v>
          </cell>
          <cell r="C1993" t="str">
            <v>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v>
          </cell>
          <cell r="D1993" t="str">
            <v>M2</v>
          </cell>
          <cell r="E1993">
            <v>7187</v>
          </cell>
        </row>
        <row r="1994">
          <cell r="B1994">
            <v>6232</v>
          </cell>
          <cell r="C1994" t="str">
            <v>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v>
          </cell>
          <cell r="D1994" t="str">
            <v>M3</v>
          </cell>
          <cell r="E1994">
            <v>58981</v>
          </cell>
        </row>
        <row r="1995">
          <cell r="B1995">
            <v>6233</v>
          </cell>
          <cell r="C1995" t="str">
            <v>DEMOLICIÓN DE CONCRETO DE RECUBRIMIENTO DE ZAPATAS PARA ADICIÓN DE REFUERZO. INCLUYE LA DEMOLICIÓN DE CONCRETO EXISTENTE EMPLEANDO MARTILLOS NEUMÁTICOS O HIDRÁULICOS, RETIRO Y MANEJO DE ESCOMBROS, SUMINISTRO DE MATERIALES, EQUIPO, PERSONAL, ENERGÍA Y MANO DE OBRA.</v>
          </cell>
          <cell r="D1995" t="str">
            <v>M3</v>
          </cell>
          <cell r="E1995">
            <v>50379</v>
          </cell>
        </row>
        <row r="1996">
          <cell r="B1996">
            <v>6234</v>
          </cell>
          <cell r="C1996" t="str">
            <v>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v>
          </cell>
          <cell r="D1996" t="str">
            <v>M3</v>
          </cell>
          <cell r="E1996">
            <v>55464</v>
          </cell>
        </row>
        <row r="1997">
          <cell r="B1997">
            <v>6235</v>
          </cell>
          <cell r="C1997" t="str">
            <v>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v>
          </cell>
          <cell r="D1997" t="str">
            <v>M2</v>
          </cell>
          <cell r="E1997">
            <v>8283</v>
          </cell>
        </row>
        <row r="1998">
          <cell r="B1998">
            <v>6236</v>
          </cell>
          <cell r="C1998" t="str">
            <v>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v>
          </cell>
          <cell r="D1998" t="str">
            <v>M</v>
          </cell>
          <cell r="E1998">
            <v>23424</v>
          </cell>
        </row>
        <row r="1999">
          <cell r="B1999">
            <v>6237</v>
          </cell>
          <cell r="C1999" t="str">
            <v>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v>
          </cell>
          <cell r="D1999" t="str">
            <v>M</v>
          </cell>
          <cell r="E1999">
            <v>24452</v>
          </cell>
        </row>
        <row r="2000">
          <cell r="B2000">
            <v>6238</v>
          </cell>
          <cell r="C2000" t="str">
            <v>REGATAS PARA LA COLOCACIÓN DE REFUERZO ADICIONAL EN EL TABLERO 10 cm DE PROFUNDIDAD Y 10 cm DE ANCHO.</v>
          </cell>
          <cell r="D2000" t="str">
            <v>M</v>
          </cell>
          <cell r="E2000">
            <v>4250</v>
          </cell>
        </row>
        <row r="2001">
          <cell r="B2001">
            <v>6239</v>
          </cell>
          <cell r="C2001" t="str">
            <v>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v>
          </cell>
          <cell r="D2001" t="str">
            <v>M2</v>
          </cell>
          <cell r="E2001">
            <v>70850</v>
          </cell>
        </row>
        <row r="2002">
          <cell r="B2002">
            <v>6246</v>
          </cell>
          <cell r="C2002" t="str">
            <v>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v>
          </cell>
          <cell r="D2002" t="str">
            <v>M2</v>
          </cell>
          <cell r="E2002">
            <v>107647</v>
          </cell>
        </row>
        <row r="2003">
          <cell r="B2003">
            <v>6247</v>
          </cell>
          <cell r="C2003" t="str">
            <v>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v>
          </cell>
          <cell r="D2003" t="str">
            <v>CM.PER</v>
          </cell>
          <cell r="E2003">
            <v>1511</v>
          </cell>
        </row>
        <row r="2004">
          <cell r="B2004">
            <v>6249</v>
          </cell>
          <cell r="C2004" t="str">
            <v>ANCLAJE EPÓXICO DE VARILLA DE 3/8"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v>
          </cell>
          <cell r="D2004" t="str">
            <v>CM.PER</v>
          </cell>
          <cell r="E2004">
            <v>1459</v>
          </cell>
        </row>
        <row r="2005">
          <cell r="B2005">
            <v>6250</v>
          </cell>
          <cell r="C2005" t="str">
            <v>ANCLAJE EPÓXICO DE VARILLA DE 5/8" SUMINISTRO E INSTALACIÓN . INCLUYE LA DETECCIÓN DE REFUERZO PARA PERFORACIÓN, LA PERFORACIÓN, LIMPIEZA DE LA PERFORACIÓN CON CHORRO DE AIRE, SUMINISTRO DE MATERIALES (RELLENO EPÓXICO ET O EQUIVALENTE, BROCAS), EQUIPOS, TRANSPORTES, MANEJO, ALMACENAMIENTO, MANEJO DE DESPERDICIOS, MANO DE OBRA.</v>
          </cell>
          <cell r="D2005" t="str">
            <v>CM.PER</v>
          </cell>
          <cell r="E2005">
            <v>2231</v>
          </cell>
        </row>
        <row r="2006">
          <cell r="B2006">
            <v>6251</v>
          </cell>
          <cell r="C2006" t="str">
            <v>ANCLAJE EPÓXICO DE VARILLA DE 7/8"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v>
          </cell>
          <cell r="D2006" t="str">
            <v>CM.PER</v>
          </cell>
          <cell r="E2006">
            <v>1760</v>
          </cell>
        </row>
        <row r="2007">
          <cell r="B2007">
            <v>6253</v>
          </cell>
          <cell r="C2007" t="str">
            <v>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v>
          </cell>
          <cell r="D2007" t="str">
            <v>M</v>
          </cell>
          <cell r="E2007">
            <v>644033</v>
          </cell>
        </row>
        <row r="2008">
          <cell r="B2008">
            <v>6254</v>
          </cell>
          <cell r="C2008" t="str">
            <v>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v>
          </cell>
          <cell r="D2008" t="str">
            <v>M</v>
          </cell>
          <cell r="E2008">
            <v>641761</v>
          </cell>
        </row>
        <row r="2009">
          <cell r="B2009">
            <v>6255</v>
          </cell>
          <cell r="C2009" t="str">
            <v>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v>
          </cell>
          <cell r="D2009" t="str">
            <v>UN</v>
          </cell>
          <cell r="E2009">
            <v>112365</v>
          </cell>
        </row>
        <row r="2010">
          <cell r="B2010">
            <v>6256</v>
          </cell>
          <cell r="C2010" t="str">
            <v>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D2010" t="str">
            <v>UN</v>
          </cell>
          <cell r="E2010">
            <v>126900</v>
          </cell>
        </row>
        <row r="2011">
          <cell r="B2011">
            <v>6257</v>
          </cell>
          <cell r="C2011" t="str">
            <v>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D2011" t="str">
            <v>UN</v>
          </cell>
          <cell r="E2011">
            <v>88210</v>
          </cell>
        </row>
        <row r="2012">
          <cell r="B2012">
            <v>6258</v>
          </cell>
          <cell r="C2012" t="str">
            <v>NEOPRENO DE 20x35x4 DUREZA 60 SIN REFUERZO ENTRE LA VIGA Y LA MÉNSULA. SUMINISTRO E INSTALACIÓN. INCLUYE TODOS LOS COSTOS DE SUMINISTRO DE MATERIALES, EQUIPOS, TRANSPORTES, MANEJO, ALMACENAMIENTO, DESPERDICIOS Y MANO DE OBRA.</v>
          </cell>
          <cell r="D2012" t="str">
            <v>UN</v>
          </cell>
          <cell r="E2012">
            <v>78112</v>
          </cell>
        </row>
        <row r="2013">
          <cell r="B2013">
            <v>6259</v>
          </cell>
          <cell r="C2013" t="str">
            <v>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D2013" t="str">
            <v>UN</v>
          </cell>
          <cell r="E2013">
            <v>543013</v>
          </cell>
        </row>
        <row r="2014">
          <cell r="B2014">
            <v>6260</v>
          </cell>
          <cell r="C2014" t="str">
            <v>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D2014" t="str">
            <v>UN</v>
          </cell>
          <cell r="E2014">
            <v>347681</v>
          </cell>
        </row>
        <row r="2015">
          <cell r="B2015">
            <v>6261</v>
          </cell>
          <cell r="C2015" t="str">
            <v>NEOPRENO DE 60 X 20 X 1,5 D 50 CON PLATINA 3 MM ENTRE LA VIGA METÁLICA Y ESTRIBO. SUMINISTRO E INSTALACIÓN. INCLUYE TODOS LOS COSTOS DE SUMINISTRO DE MATERIALES, EQUIPOS, TRANSPORTES, MANEJO, ALMACENAMIENTO, DESPERDICIOS Y MANO DE OBRA.</v>
          </cell>
          <cell r="D2015" t="str">
            <v>UN</v>
          </cell>
          <cell r="E2015">
            <v>62514</v>
          </cell>
        </row>
        <row r="2016">
          <cell r="B2016">
            <v>6262</v>
          </cell>
          <cell r="C2016" t="str">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ell>
          <cell r="D2016" t="str">
            <v>M2</v>
          </cell>
          <cell r="E2016">
            <v>26264</v>
          </cell>
        </row>
        <row r="2017">
          <cell r="B2017">
            <v>6263</v>
          </cell>
          <cell r="C2017" t="str">
            <v>SUMINISTRO Y APLICACIÓN MEDIANTE IMPREGNACIÓN ACUOSA DE INHIBIDOR DE CORROSIÓN. INCLUYE TODOS LOS COSTOS DE SUMINISTRO DE MATERIALES, EQUIPOS (COMPRESOR, PISTOLA, RODILLO, ANDAMIOS, PROVISIONAL DE ENERGÍA), TRANSPORTES, MANEJO, ALMACENAMIENTO, DESPERDICIOS Y MANO DE OBRA.</v>
          </cell>
          <cell r="D2017" t="str">
            <v>M2</v>
          </cell>
          <cell r="E2017">
            <v>7925</v>
          </cell>
        </row>
        <row r="2018">
          <cell r="B2018">
            <v>6264</v>
          </cell>
          <cell r="C2018" t="str">
            <v>MÉNSULAS METÁLICAS EN ACERO A-36 CALIBRE DE 1/2" SEGÚN PLANOS DE DISEÑO. SUMINISTRO, FABRICACIÓN E INSTALACIÓN. INCLUYE SUMINISTRO DE MATERIALES, EQUIPOS, TRANSPORTES, MANEJO, ALMACENAMIENTO, DESPERDICIOS Y MANO DE OBRA.</v>
          </cell>
          <cell r="D2018" t="str">
            <v>UN</v>
          </cell>
          <cell r="E2018">
            <v>8957</v>
          </cell>
        </row>
        <row r="2019">
          <cell r="B2019">
            <v>6265</v>
          </cell>
          <cell r="C2019" t="str">
            <v>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v>
          </cell>
          <cell r="D2019" t="str">
            <v>M2</v>
          </cell>
          <cell r="E2019">
            <v>10687</v>
          </cell>
        </row>
        <row r="2020">
          <cell r="B2020">
            <v>6266</v>
          </cell>
          <cell r="C2020" t="str">
            <v>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v>
          </cell>
          <cell r="D2020" t="str">
            <v>M2</v>
          </cell>
          <cell r="E2020">
            <v>14071</v>
          </cell>
        </row>
        <row r="2021">
          <cell r="B2021">
            <v>6267</v>
          </cell>
          <cell r="C2021" t="str">
            <v>IZAJE DE VIGA PARA REEMPLAZO DE APOYOS DE NEOPRENO.</v>
          </cell>
          <cell r="D2021" t="str">
            <v>UN</v>
          </cell>
          <cell r="E2021">
            <v>2190471</v>
          </cell>
        </row>
        <row r="2022">
          <cell r="B2022">
            <v>6268</v>
          </cell>
          <cell r="C2022" t="str">
            <v>CAMBIO DE PLATINAS DE ANCLAJE EN VIGAS INCLINADAS DE RAMPA Y ESCALERA PARA GARANTIZAR LA ADECUADA INCLINACIÓN RESPECTO A LA VIGA DE CONCRETO.  INCLUYE: GATEO MEDIANTE TUBERÍA Y GATOS HIDRÁULICO DE 50 TON EN 4 PUNTOS PARA SOPORTE DE TRAMOS A REPARAR; REMOCIÓN DE PINTURA, CORTE Y RETIRO DE PLATINAS EXISTENTES, INSTALACIÓN (NO INCLUYE SUMINISTRO) DE PLATINAS EN ACERO A-36. APLICACIÓN DE CORDONES DE  SOLDADURA EN FILETE CON ELECTRODO  E-7018 DE 1/8" HASTA UN MÁXIMO DE 9 MM;  APLICACIÓN DE ANTICORROSIVO  A BASE DE CROMATO DE ZINC Y ESMALTE EN 5 MILS ESPESOR TOTAL DE CAPAS; EQUIPO, ANDAMIO, MATERIALES, HERRAMIENTA Y MANO DE OBRA.</v>
          </cell>
          <cell r="D2022" t="str">
            <v>UN</v>
          </cell>
          <cell r="E2022">
            <v>368156</v>
          </cell>
        </row>
        <row r="2023">
          <cell r="B2023">
            <v>6269</v>
          </cell>
          <cell r="C2023" t="str">
            <v>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v>
          </cell>
          <cell r="D2023" t="str">
            <v>M2</v>
          </cell>
          <cell r="E2023">
            <v>35447</v>
          </cell>
        </row>
        <row r="2024">
          <cell r="B2024">
            <v>6270</v>
          </cell>
          <cell r="C2024" t="str">
            <v>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v>
          </cell>
          <cell r="D2024" t="str">
            <v>M</v>
          </cell>
          <cell r="E2024">
            <v>243586</v>
          </cell>
        </row>
        <row r="2025">
          <cell r="B2025">
            <v>6271</v>
          </cell>
          <cell r="C2025" t="str">
            <v>NEOPRENO DE 30 X 35 X 4 DUREZA 60 SIN REFUERZO ENTRE LA VIGA Y LA MÉNSULA. SUMINISTRO E INSTALACIÓN. INCLUYE TODOS LOS COSTOS DE SUMINISTRO DE MATERIALES, EQUIPOS, TRANSPORTES, MANEJO, ALMACENAMIENTO, DESPERDICIOS Y MANO DE OBRA.</v>
          </cell>
          <cell r="D2025" t="str">
            <v>UN</v>
          </cell>
          <cell r="E2025">
            <v>79174</v>
          </cell>
        </row>
        <row r="2026">
          <cell r="B2026">
            <v>6272</v>
          </cell>
          <cell r="C2026" t="str">
            <v>TORONES POSTENSADOS PARA REFORZAMIENTO EXTERNO DE 1/2" TENSIONADO 16,9 TON. SUMINISTRO E INSTALACIÓN, TENSIONAMIENTO, MANO DE OBRA, EQUIPOS EN GENERAL.</v>
          </cell>
          <cell r="D2026" t="str">
            <v>TON-M</v>
          </cell>
          <cell r="E2026">
            <v>3087</v>
          </cell>
        </row>
        <row r="2027">
          <cell r="B2027">
            <v>6273</v>
          </cell>
          <cell r="C2027" t="str">
            <v>CABLE DE REFORZAMIENTO EXTERNO DE 5/8" TENSIONADO 46,5 TON. TENSIONAMIENTO, MANO DE OBRA, EQUIPOS EN GENERAL.</v>
          </cell>
          <cell r="D2027" t="str">
            <v>TON-M</v>
          </cell>
          <cell r="E2027">
            <v>1212</v>
          </cell>
        </row>
        <row r="2028">
          <cell r="B2028">
            <v>6274</v>
          </cell>
          <cell r="C2028" t="str">
            <v>HERRAJES. SUMINISTRO E INSTALACIÓN. INCLUYE MATERIALES Y MANO DE OBRA.</v>
          </cell>
          <cell r="D2028" t="str">
            <v>KG</v>
          </cell>
          <cell r="E2028">
            <v>16840</v>
          </cell>
        </row>
        <row r="2029">
          <cell r="B2029">
            <v>6275</v>
          </cell>
          <cell r="C2029" t="str">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ell>
          <cell r="D2029" t="str">
            <v>M</v>
          </cell>
          <cell r="E2029">
            <v>61845</v>
          </cell>
        </row>
        <row r="2030">
          <cell r="B2030">
            <v>6276</v>
          </cell>
          <cell r="C2030" t="str">
            <v>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v>
          </cell>
          <cell r="D2030" t="str">
            <v>M</v>
          </cell>
          <cell r="E2030">
            <v>68499</v>
          </cell>
        </row>
        <row r="2031">
          <cell r="B2031">
            <v>6277</v>
          </cell>
          <cell r="C2031" t="str">
            <v>RESTITUCIÓN DE RECUBRIMIENTO DE ZAPATAS EN ZONAS DE ADICIÓN DE REFUERZO, INCLUYE TODOS LOS COSTOS DE SUMINISTRO DE MATERIALES, EQUIPOS Y MANO DE OBRA.</v>
          </cell>
          <cell r="D2031" t="str">
            <v>M3</v>
          </cell>
          <cell r="E2031">
            <v>464290</v>
          </cell>
        </row>
        <row r="2032">
          <cell r="B2032">
            <v>6278</v>
          </cell>
          <cell r="C2032" t="str">
            <v>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v>
          </cell>
          <cell r="D2032" t="str">
            <v>M</v>
          </cell>
          <cell r="E2032">
            <v>38406</v>
          </cell>
        </row>
        <row r="2033">
          <cell r="B2033">
            <v>6279</v>
          </cell>
          <cell r="C2033" t="str">
            <v>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D2033" t="str">
            <v>M</v>
          </cell>
          <cell r="E2033">
            <v>36589</v>
          </cell>
        </row>
        <row r="2034">
          <cell r="B2034">
            <v>6280</v>
          </cell>
          <cell r="C2034" t="str">
            <v>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v>
          </cell>
          <cell r="D2034" t="str">
            <v>M2</v>
          </cell>
          <cell r="E2034">
            <v>121350</v>
          </cell>
        </row>
        <row r="2035">
          <cell r="B2035">
            <v>6281</v>
          </cell>
          <cell r="C2035" t="str">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D2035" t="str">
            <v>M2</v>
          </cell>
          <cell r="E2035">
            <v>49509</v>
          </cell>
        </row>
        <row r="2036">
          <cell r="B2036">
            <v>6282</v>
          </cell>
          <cell r="C2036" t="str">
            <v>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D2036" t="str">
            <v>M2</v>
          </cell>
          <cell r="E2036">
            <v>52757</v>
          </cell>
        </row>
        <row r="2037">
          <cell r="B2037">
            <v>6283</v>
          </cell>
          <cell r="C2037" t="str">
            <v>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v>
          </cell>
          <cell r="D2037" t="str">
            <v>M2</v>
          </cell>
          <cell r="E2037">
            <v>97837</v>
          </cell>
        </row>
        <row r="2038">
          <cell r="B2038">
            <v>6284</v>
          </cell>
          <cell r="C2038" t="str">
            <v>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D2038" t="str">
            <v>M2</v>
          </cell>
          <cell r="E2038">
            <v>49640</v>
          </cell>
        </row>
        <row r="2039">
          <cell r="B2039">
            <v>6285</v>
          </cell>
          <cell r="C2039" t="str">
            <v>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D2039" t="str">
            <v>M3</v>
          </cell>
          <cell r="E2039">
            <v>464963</v>
          </cell>
        </row>
        <row r="2040">
          <cell r="B2040">
            <v>6286</v>
          </cell>
          <cell r="C2040" t="str">
            <v>RESTITUCIÓN DE MURO EN MAMPOSTERÍA ESTRUCTURAL, PARA PROTECCIÓN DE ZONAS ALEDAÑAS A LOS ESTRIBOS, INCLUYE MANO DE OBRA, MATERIALES NECESARIOS, ACERO DE REFUERZO Y GROUTING DE RELLENO.</v>
          </cell>
          <cell r="D2040" t="str">
            <v>M2</v>
          </cell>
          <cell r="E2040">
            <v>76136</v>
          </cell>
        </row>
        <row r="2041">
          <cell r="B2041">
            <v>6287</v>
          </cell>
          <cell r="C2041" t="str">
            <v>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v>
          </cell>
          <cell r="D2041" t="str">
            <v>M</v>
          </cell>
          <cell r="E2041">
            <v>17690</v>
          </cell>
        </row>
        <row r="2042">
          <cell r="B2042">
            <v>6288</v>
          </cell>
          <cell r="C2042" t="str">
            <v>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v>
          </cell>
          <cell r="D2042" t="str">
            <v>M</v>
          </cell>
          <cell r="E2042">
            <v>14335</v>
          </cell>
        </row>
        <row r="2043">
          <cell r="B2043">
            <v>6289</v>
          </cell>
          <cell r="C2043" t="str">
            <v>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v>
          </cell>
          <cell r="D2043" t="str">
            <v>M</v>
          </cell>
          <cell r="E2043">
            <v>18837</v>
          </cell>
        </row>
        <row r="2044">
          <cell r="B2044">
            <v>6290</v>
          </cell>
          <cell r="C2044" t="str">
            <v>SUMINISTRO DE CONECTORES DE CORTANTES O PLATINAS EN ACERO A-36. (INCLUYE MATERIAL, CORTE CON TORTUGA, TRANSPORTES REQUERIDOS DESDE ALMACÉN A TALLER Y A OBRA)</v>
          </cell>
          <cell r="D2044" t="str">
            <v>KG</v>
          </cell>
          <cell r="E2044">
            <v>18981</v>
          </cell>
        </row>
        <row r="2045">
          <cell r="B2045">
            <v>6291</v>
          </cell>
          <cell r="C2045" t="str">
            <v>DEMARCACIÓN DE DILATACIÓN MEDIANTE CORTE DEL CONCRETO Y RELLENO CON CINTA O  FONDO DE JUNTA EN ESPUMA DE POLIETILENO DE BAJA DENSIDAD DE CELDA CERRADA PREFORMADO, PARA APLICAR MASILLAS EN FRÍO. De Ø1/4" (6mm).</v>
          </cell>
          <cell r="D2045" t="str">
            <v>M</v>
          </cell>
          <cell r="E2045">
            <v>10944</v>
          </cell>
        </row>
        <row r="2046">
          <cell r="B2046">
            <v>6292</v>
          </cell>
          <cell r="C2046" t="str">
            <v>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v>
          </cell>
          <cell r="D2046" t="str">
            <v>KG</v>
          </cell>
          <cell r="E2046">
            <v>13701</v>
          </cell>
        </row>
        <row r="2047">
          <cell r="B2047">
            <v>6293</v>
          </cell>
          <cell r="C2047" t="str">
            <v>ACERO DE REFUERZO DE FY=60000 PSI. SUMINISTRO E INSTALACIÓN. ACERO SEGÚN ESPECIFICACIONES PARTICULARES Y DE ACUERDO A LO ESTIPULADO POR LA NSR-10, NORMA ASTM A-706, ICONTEC 2289 PARA EL ACERO PDR-60. INCLUYE TODOS LOS COSTOS DE SUMINISTRO DE MATERIALES (REFUERZO (G60) FIGURADO, CORRUGADO, INCLUYE EL ALAMBRE DE AMARRE), EQUIPOS (HERRAMIENTA MENOR), TRANSPORTES, MANEJO, ALMACENAMIENTO, DESPERDICIOS Y MANO DE OBRA. INCLUYE SEPARADORES QUE GARANTICEN EL RECUBRIMIENTO MÍNIMO ESPECIFICADO.</v>
          </cell>
          <cell r="D2047" t="str">
            <v>KG</v>
          </cell>
          <cell r="E2047">
            <v>3166</v>
          </cell>
        </row>
        <row r="2048">
          <cell r="B2048">
            <v>6294</v>
          </cell>
          <cell r="C2048" t="str">
            <v>REPARACIÓN DE BARANDAS EXISTENTES. INCLUYE LIMPIEZA, MORTERO DE REPARACIÓN, INHIBIDOR DE CORROSIÓN, PINTURA ANTICARBONATACIÓN, SUMINISTRO DE MANO DE OBRA, EQUIPOS Y MANEJO DE DESPERDICIOS.</v>
          </cell>
          <cell r="D2048" t="str">
            <v>M</v>
          </cell>
          <cell r="E2048">
            <v>28639</v>
          </cell>
        </row>
        <row r="2049">
          <cell r="B2049">
            <v>6295</v>
          </cell>
          <cell r="C2049" t="str">
            <v>REPARACIÓN DE BARANDAS EXISTENTES TYPO NEW JERSEY. INCLUYE LIMPIEZA, MORTERO DE REPARACIÓN, INHIBIDOR DE CORROSIÓN, PINTURA ANTICARBONATACIÓN, PINTURA REFLECTIVA, SUMINISTRO DE MANO DE OBRA, EQUIPOS Y MANEJO DE DESPERDICIOS.</v>
          </cell>
          <cell r="D2049" t="str">
            <v>M</v>
          </cell>
          <cell r="E2049">
            <v>28599</v>
          </cell>
        </row>
        <row r="2050">
          <cell r="B2050">
            <v>6296</v>
          </cell>
          <cell r="C2050" t="str">
            <v>BARRERA DE SEGURIDAD LATERAL EN CONCRETO 3500 PSI SEGÚN DISEÑO. INCLUYE ANCLAJES A ESTRUCTURA EXISTENTE, COLOCACIÓN DE REFUERZO, FUNDICIÓN EN CONCRETO, CURADO, SUMINISTRO DE MANO DE OBRA, EQUIPOS, MATERIALES Y MANEJO DE DESPERDICIOS.</v>
          </cell>
          <cell r="D2050" t="str">
            <v>M</v>
          </cell>
          <cell r="E2050">
            <v>36779</v>
          </cell>
        </row>
        <row r="2051">
          <cell r="B2051">
            <v>6297</v>
          </cell>
          <cell r="C2051" t="str">
            <v>CONCRETO DE FC= 4000 PSI AUTOCOMPACTANTE DE BAJA RETRACCIÓN GRAVA FINA NORMA ASTM 1107 Y ASTM C-827 CON A/C &lt;0.45m PARA RECALCE DE COLUMNA.  INCLUYE TODOS LOS COSTOS DE SUMINISTRO MATERIALES (HERRAMIENTA MENOR, FORMALETA, PARALES, VIBRADORES, CAMISAS PARA CILINDROS-8 UNIDADES, PROVISIONAL DE ENERGÍA), TRANSPORTES, MANEJO, ALMACENAMIENTO, DESPERDICIOS, CARGUE Y TRANSPORTE DE MATERIALES SOBRANTES Y  MANO DE OBRA.</v>
          </cell>
          <cell r="D2051" t="str">
            <v>M3</v>
          </cell>
          <cell r="E2051">
            <v>482992</v>
          </cell>
        </row>
        <row r="2052">
          <cell r="B2052">
            <v>6298</v>
          </cell>
          <cell r="C2052" t="str">
            <v>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v>
          </cell>
          <cell r="D2052" t="str">
            <v>M3</v>
          </cell>
          <cell r="E2052">
            <v>439876</v>
          </cell>
        </row>
        <row r="2053">
          <cell r="B2053">
            <v>6299</v>
          </cell>
          <cell r="C2053" t="str">
            <v>CONCRETO PARA ANDENES, ESCOBEADO Y FUNDIDO EN SITIO E= 0,10 M. SUMINISTRO Y COLOCACIÓN.</v>
          </cell>
          <cell r="D2053" t="str">
            <v>M3</v>
          </cell>
          <cell r="E2053">
            <v>421282</v>
          </cell>
        </row>
        <row r="2054">
          <cell r="B2054">
            <v>6300</v>
          </cell>
          <cell r="C2054" t="str">
            <v>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v>
          </cell>
          <cell r="D2054" t="str">
            <v>M3</v>
          </cell>
          <cell r="E2054">
            <v>506891</v>
          </cell>
        </row>
        <row r="2055">
          <cell r="B2055">
            <v>6301</v>
          </cell>
          <cell r="C2055" t="str">
            <v>CONCRETO DE FC=3500 PSI PARA RECALCE Y REFORZAMIENTO DE ZAPATAS, EN ZONAS DE ADICIÓN DE REFUERZO. INCLUYE MORTERO MODIFICADO CON RESINA ACRÍLICA DE DOS COMPONENTES PARA REPARACIONES ESTRUCTURALES. SUMINISTRO Y COLOCACIÓN. INCLUYE TODOS LOS COSTOS DE SUMINISTRO DE MATERIALES, EQUIPOS, HERRAMIENTA MENOR, ANDAMIOS, LIMPIEZA, ETC.</v>
          </cell>
          <cell r="D2055" t="str">
            <v>M3</v>
          </cell>
          <cell r="E2055">
            <v>744265</v>
          </cell>
        </row>
        <row r="2056">
          <cell r="B2056">
            <v>6302</v>
          </cell>
          <cell r="C2056" t="str">
            <v>CONCRETO DE FC=3000 PSI PARA RECALCE Y REFORZAMIENTO DE ZAPATAS, EN ZONAS DE ADICIÓN DE REFUERZO CON MORTERO MODIFICADO CON RESINA ACRÍLICA DE DOS COMPONENTES PARA REPARACIONES ESTRUCTURALES. SUMINISTRO Y COLOCACIÓN. INCLUYE TODOS LOS COSTOS DE SUMINISTRO DE MATERIALES, EQUIPOS, HERRAMIENTA MENOR, ANDAMIOS, LIMPIEZA, ETC.</v>
          </cell>
          <cell r="D2056" t="str">
            <v>M3</v>
          </cell>
          <cell r="E2056">
            <v>725504</v>
          </cell>
        </row>
        <row r="2057">
          <cell r="B2057">
            <v>6303</v>
          </cell>
          <cell r="C2057" t="str">
            <v>FRESADO PAVIMENTO EXISTENTE, E= 5 CM, INCLUYE CARGUE Y TRANSPORTE A ESCOMBRERA DE MATERIAL SOBRANTE.</v>
          </cell>
          <cell r="D2057" t="str">
            <v>M2</v>
          </cell>
          <cell r="E2057">
            <v>5165</v>
          </cell>
        </row>
        <row r="2058">
          <cell r="B2058">
            <v>6304</v>
          </cell>
          <cell r="C2058" t="str">
            <v>LIMPIEZA MECÁNICA MEDIANTE PULIDORA CON CEPILLO DE CERDAS DE ALAMBRE EN SITIOS CON PRESENCIA DE CORROSIÓN ELIMINANDO COMPLETAMENTE CORROSIÓN Y ÓXIDO DEL ELEMENTO</v>
          </cell>
          <cell r="D2058" t="str">
            <v>M2</v>
          </cell>
          <cell r="E2058">
            <v>4509</v>
          </cell>
        </row>
        <row r="2059">
          <cell r="B2059">
            <v>6305</v>
          </cell>
          <cell r="C2059" t="str">
            <v>SANDBLASTING APLICADO EN SITIO GRADO SSPC-SP6 (METAL GRIS COMERCIAL) EN ELEMENTOS TIPO VIGA PARA REMOCIÓN DE OXIDACIÓN.</v>
          </cell>
          <cell r="D2059" t="str">
            <v>M2</v>
          </cell>
          <cell r="E2059">
            <v>11451</v>
          </cell>
        </row>
        <row r="2060">
          <cell r="B2060">
            <v>6306</v>
          </cell>
          <cell r="C2060" t="str">
            <v>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v>
          </cell>
          <cell r="D2060" t="str">
            <v>M</v>
          </cell>
          <cell r="E2060">
            <v>6633</v>
          </cell>
        </row>
        <row r="2061">
          <cell r="B2061">
            <v>6307</v>
          </cell>
          <cell r="C2061" t="str">
            <v>IMPRIMACIÓN CON EMULSIÓN ASFÁLTICA CRR-1 (Suministro, Barrido Superficie y Riego)</v>
          </cell>
          <cell r="D2061" t="str">
            <v>M2</v>
          </cell>
          <cell r="E2061">
            <v>1429</v>
          </cell>
        </row>
        <row r="2062">
          <cell r="B2062">
            <v>6308</v>
          </cell>
          <cell r="C2062" t="str">
            <v>LAVADO DE ESTRUCTURA EN CONCRETO Y/O METÁLICAS. INCLUYE ALQUILER DE HIDROLAVADORA A GASOLINA PRESION 3200 PSI. INCLUYE ANDAMIO TUBULAR, PLANTA ELÉCTRICA, CARROTANQUE IRRIGADOR DE AGUA, COMBUSTIBLE Y MANO DE OBRA.</v>
          </cell>
          <cell r="D2062" t="str">
            <v>M2</v>
          </cell>
          <cell r="E2062">
            <v>2667</v>
          </cell>
        </row>
        <row r="2063">
          <cell r="B2063">
            <v>6309</v>
          </cell>
          <cell r="C2063" t="str">
            <v>GEOMALLA FORTGRID BX-50. SUMINISTRO E INSTALACIÓN.</v>
          </cell>
          <cell r="D2063" t="str">
            <v>M2</v>
          </cell>
          <cell r="E2063">
            <v>10948</v>
          </cell>
        </row>
        <row r="2064">
          <cell r="B2064">
            <v>6311</v>
          </cell>
          <cell r="C2064" t="str">
            <v>REHABILITACIÓN DE PAVIMENTO RÍGIDO: LOSAS EN CONCRETO HIDRÁULICO MR-45 e=0.24m PARA TRONCAL</v>
          </cell>
          <cell r="D2064" t="str">
            <v>M2</v>
          </cell>
          <cell r="E2064">
            <v>279406</v>
          </cell>
        </row>
        <row r="2065">
          <cell r="B2065">
            <v>6312</v>
          </cell>
          <cell r="C2065" t="str">
            <v>REPARACIÓN DE DESPORTILLAMIENTOS DE LOSA DE CONCRETO CON MORTERO DE FRAGUADO RÁPIDO.</v>
          </cell>
          <cell r="D2065" t="str">
            <v>M2</v>
          </cell>
          <cell r="E2065">
            <v>638286</v>
          </cell>
        </row>
        <row r="2066">
          <cell r="B2066">
            <v>6313</v>
          </cell>
          <cell r="C2066" t="str">
            <v>MEZCLA ASFÁLTICA DENSA EN CALIENTE MD12 con Cemento Asfáltico 60-70 (Suministro, Extendido, Nivelación y Compactación con vibrocompactador y compactador de llantas)</v>
          </cell>
          <cell r="D2066" t="str">
            <v>M3</v>
          </cell>
          <cell r="E2066">
            <v>551402</v>
          </cell>
        </row>
        <row r="2067">
          <cell r="B2067">
            <v>6314</v>
          </cell>
          <cell r="C2067" t="str">
            <v>MEZCLA ASFÁLTICA EN CALIENTE TIPO DENSO MD10 ASFALTO CONVENCIONAL (Cemento asfáltico 60-70) (Suministro, Extendido, Nivelación y Compactación con vibrocompactador y compactador de llantas)</v>
          </cell>
          <cell r="D2067" t="str">
            <v>M3</v>
          </cell>
          <cell r="E2067">
            <v>616852</v>
          </cell>
        </row>
        <row r="2068">
          <cell r="B2068">
            <v>6315</v>
          </cell>
          <cell r="C2068" t="str">
            <v>MEZCLA ASFÁLTICA EN CALIENTE TIPO DENSO MD10 ASF CONVENCIONAL (Cemento asfáltico 60-70) (Suministro, Extendido y Nivelación Manual y Compactación con vibrocompactador BENITIN de 1 tonelada)</v>
          </cell>
          <cell r="D2068" t="str">
            <v>M3</v>
          </cell>
          <cell r="E2068">
            <v>629824</v>
          </cell>
        </row>
        <row r="2069">
          <cell r="B2069">
            <v>6316</v>
          </cell>
          <cell r="C2069" t="str">
            <v>MEZCLA ASFALTICA EN CALIENTE TIPO DENSO MD12 ASF CONVENCIONAL con Cemento Asfáltico 60-70 (Suministro, Extendido y Nivelación Manual y Compactación con vibrocompactador Benitin de 1 tonelada incluye operario y combustible)</v>
          </cell>
          <cell r="D2069" t="str">
            <v>M3</v>
          </cell>
          <cell r="E2069">
            <v>612619</v>
          </cell>
        </row>
        <row r="2070">
          <cell r="B2070">
            <v>6317</v>
          </cell>
          <cell r="C2070" t="str">
            <v>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v>
          </cell>
          <cell r="D2070" t="str">
            <v>M</v>
          </cell>
          <cell r="E2070">
            <v>4537817</v>
          </cell>
        </row>
        <row r="2071">
          <cell r="B2071">
            <v>6318</v>
          </cell>
          <cell r="C2071" t="str">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ell>
          <cell r="D2071" t="str">
            <v>UN/MES</v>
          </cell>
          <cell r="E2071">
            <v>142800</v>
          </cell>
        </row>
        <row r="2072">
          <cell r="B2072">
            <v>6319</v>
          </cell>
          <cell r="C2072" t="str">
            <v>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v>
          </cell>
          <cell r="D2072" t="str">
            <v>M</v>
          </cell>
          <cell r="E2072">
            <v>3078275</v>
          </cell>
        </row>
        <row r="2073">
          <cell r="B2073">
            <v>6320</v>
          </cell>
          <cell r="C2073" t="str">
            <v>POSTE METÁLICO AP, H=12m (Inc. Suministro, Izaje, Aplomado e Instalación. Inc. Brazo Sencillo y Base según Norma AP802)</v>
          </cell>
          <cell r="D2073" t="str">
            <v>UN</v>
          </cell>
          <cell r="E2073">
            <v>2010256</v>
          </cell>
        </row>
        <row r="2074">
          <cell r="B2074">
            <v>6321</v>
          </cell>
          <cell r="C2074" t="str">
            <v>CONCRETO 4000 PSI PREMEZCLADO PARA TABLERO PUENTE (Incluye Suministro e instalación, bombeo de concreto, aditivo para puente de adherencia de concreto fresco y endurecido).</v>
          </cell>
          <cell r="D2074" t="str">
            <v>M3</v>
          </cell>
          <cell r="E2074">
            <v>564751</v>
          </cell>
        </row>
        <row r="2075">
          <cell r="B2075">
            <v>6322</v>
          </cell>
          <cell r="C2075" t="str">
            <v>NEOPRENO REFORZADO 0.30x0.30x3 cm DOBLE REFUERZO DUREZA 60. SUMINISTRO E INSTALACIÓN. (INCLUYE LIMPIEZA DE LA SUPERFICIE CON CHORRO DE AIRE A PRESIÓN, HERRAMIENTA MENOR Y COMPRESOR).</v>
          </cell>
          <cell r="D2075" t="str">
            <v>UN</v>
          </cell>
          <cell r="E2075">
            <v>117918</v>
          </cell>
        </row>
        <row r="2076">
          <cell r="B2076">
            <v>6323</v>
          </cell>
          <cell r="C2076" t="str">
            <v>CONCRETO 3000 PSI PREMEZCLADO PARA MURO (hasta 3.70 m de alto. Incl. Suministro e instalación, geodren planar _H= 1.0 m, excavación, retiro de escombros, mortero, recebo compactado y acero de refuerzo)</v>
          </cell>
          <cell r="D2076" t="str">
            <v>M</v>
          </cell>
          <cell r="E2076">
            <v>491972</v>
          </cell>
        </row>
        <row r="2077">
          <cell r="B2077">
            <v>6324</v>
          </cell>
          <cell r="C2077" t="str">
            <v>NEOPRENO REFORZADO 0.30x0.30x1 cm DOBLE REFUERZO DUREZA 60. SUMINISTRO E INSTALACIÓN. (INCLUYE LIMPIEZA DE LA SUPERFICIE CON CHORRO DE AIRE A PRESIÓN, HERRAMIENTA MENOR Y COMPRESOR).</v>
          </cell>
          <cell r="D2077" t="str">
            <v>UN</v>
          </cell>
          <cell r="E2077">
            <v>51573</v>
          </cell>
        </row>
        <row r="2078">
          <cell r="B2078">
            <v>6325</v>
          </cell>
          <cell r="C2078" t="str">
            <v>DESMONTE DE LUMINARIA DE 70 W</v>
          </cell>
          <cell r="D2078" t="str">
            <v>UN</v>
          </cell>
          <cell r="E2078">
            <v>76922</v>
          </cell>
        </row>
        <row r="2079">
          <cell r="B2079">
            <v>6326</v>
          </cell>
          <cell r="C2079" t="str">
            <v>PIEDRA RAJÓN PARA PROTECCIÓN DEL CANAL e= 30 cm INCLUYE MORTERO 2500 PSI PARA PEGA e= 10 cm (Incluye Suministro e instalación)</v>
          </cell>
          <cell r="D2079" t="str">
            <v>M3</v>
          </cell>
          <cell r="E2079">
            <v>106793</v>
          </cell>
        </row>
        <row r="2080">
          <cell r="B2080">
            <v>6327</v>
          </cell>
          <cell r="C2080" t="str">
            <v>PRUEBA DE HERMETICIDAD POR EL MÉTODO DE PRESIÓN POSITIVA CON AIRE PARA LAS REDES DE ALCANTARILLADO SANITARIO DE ACUERDO A LAS NORMAS TÉCNICAS VIGENTES (E.A.A.B - SISTECNE_12). TRAMO DE Ø6" A Ø12".</v>
          </cell>
          <cell r="D2080" t="str">
            <v>TRAMO</v>
          </cell>
          <cell r="E2080">
            <v>403800</v>
          </cell>
        </row>
        <row r="2081">
          <cell r="B2081">
            <v>6328</v>
          </cell>
          <cell r="C2081" t="str">
            <v>PRUEBA DE HERMETICIDAD POR EL MÉTODO DE PRESIÓN POSITIVA CON AIRE PARA LAS REDES DE ALCANTARILLADO SANITARIO DE ACUERDO A LAS NORMAS TÉCNICAS VIGENTES (E.A.A.B - SISTECNE_12). TRAMO DE Ø14" A Ø24".</v>
          </cell>
          <cell r="D2081" t="str">
            <v>TRAMO</v>
          </cell>
          <cell r="E2081">
            <v>504750</v>
          </cell>
        </row>
        <row r="2082">
          <cell r="B2082">
            <v>6329</v>
          </cell>
          <cell r="C2082" t="str">
            <v>PRUEBA DE HERMETICIDAD POR EL MÉTODO DE PRESIÓN POSITIVA CON AIRE PARA LAS REDES DE ALCANTARILLADO SANITARIO DE ACUERDO A LAS NORMAS TÉCNICAS VIGENTES (E.A.A.B - SISTECNE_12). TRAMO DE Ø42" A Ø50".</v>
          </cell>
          <cell r="D2082" t="str">
            <v>TRAMO</v>
          </cell>
          <cell r="E2082">
            <v>706650</v>
          </cell>
        </row>
        <row r="2083">
          <cell r="B2083">
            <v>6330</v>
          </cell>
          <cell r="C2083" t="str">
            <v>ENTIBADO SISTEMA CAJÓN TIPO KS-100 - ALQUILER. SUMINISTRO E INSTALACIÓN. Incluye eslinga de cadenas 4 ramales, suministro instalación y desinstalación de 3 módulos compuestos cada uno de: 2 paneles base de 3.50 M x 2.40 m, cuatro (4) riostras de 1000 mm y cuatro (4) extensiones de 1000 mm. No incluye transporte.</v>
          </cell>
          <cell r="D2083" t="str">
            <v>MOD/ME</v>
          </cell>
          <cell r="E2083">
            <v>10702388</v>
          </cell>
        </row>
        <row r="2084">
          <cell r="B2084">
            <v>6331</v>
          </cell>
          <cell r="C2084" t="str">
            <v>CÁMARA PREFABRICADA 37° D= 1.20m CAMPANA ESPIGO. NORMA NP  074  E.A.B. (Suministro e instalación)</v>
          </cell>
          <cell r="D2084" t="str">
            <v>UN</v>
          </cell>
          <cell r="E2084">
            <v>4271088</v>
          </cell>
        </row>
        <row r="2085">
          <cell r="B2085">
            <v>6332</v>
          </cell>
          <cell r="C2085" t="str">
            <v>CÁMARA PREFABRICADA 22° D= 1.20 m CAMPANA ESPIGO. NORMA NP  074  E.A.B. (Suministro e instalación)</v>
          </cell>
          <cell r="D2085" t="str">
            <v>UN</v>
          </cell>
          <cell r="E2085">
            <v>3946696</v>
          </cell>
        </row>
        <row r="2086">
          <cell r="B2086">
            <v>6333</v>
          </cell>
          <cell r="C2086" t="str">
            <v>GAVIONES - SUMINISTRO Y CONSTRUCCIÓN. Incluye rajón, malla para gaviones y alambre recocido.</v>
          </cell>
          <cell r="D2086" t="str">
            <v>M3</v>
          </cell>
          <cell r="E2086">
            <v>145386</v>
          </cell>
        </row>
        <row r="2087">
          <cell r="B2087">
            <v>6334</v>
          </cell>
          <cell r="C2087" t="str">
            <v>ACERO ESTRUCTURAL A-709 TIPO CORTEN GRADO 50 DE ALTA RESISTENCIA. Incluye suministro, fabricación, transporte e instalación.</v>
          </cell>
          <cell r="D2087" t="str">
            <v>KG</v>
          </cell>
          <cell r="E2087">
            <v>11637</v>
          </cell>
        </row>
        <row r="2088">
          <cell r="B2088">
            <v>6335</v>
          </cell>
          <cell r="C2088" t="str">
            <v>TUBO GALVANIZADO 3". GOTERO. Incluye suministro e instalación</v>
          </cell>
          <cell r="D2088" t="str">
            <v>M</v>
          </cell>
          <cell r="E2088">
            <v>72179</v>
          </cell>
        </row>
        <row r="2089">
          <cell r="B2089">
            <v>6339</v>
          </cell>
          <cell r="C2089" t="str">
            <v>IZAJE Y DESMONTAJE DE VIGA METÁLICA EXISTENTE. INCLUYE GRÚAS TELESCÓPICAS 50 TON, CARGUE Y TRANSPORTE DE ESTRUCTURA METÁLICA EN CAMA BAJA.</v>
          </cell>
          <cell r="D2089" t="str">
            <v>UN</v>
          </cell>
          <cell r="E2089">
            <v>5823350</v>
          </cell>
        </row>
        <row r="2090">
          <cell r="B2090">
            <v>6340</v>
          </cell>
          <cell r="C2090" t="str">
            <v>SUELO MECÁNICAMENTE REFORZADO. (Suministro e instalación, incluye geotextil NT 2500, geomalla biaxial BX-60, material seleccionado, transporte y disposición de escombros)</v>
          </cell>
          <cell r="D2090" t="str">
            <v>M3</v>
          </cell>
          <cell r="E2090">
            <v>153325</v>
          </cell>
        </row>
        <row r="2091">
          <cell r="B2091">
            <v>6341</v>
          </cell>
          <cell r="C2091" t="str">
            <v>CAJA DESARENADORA - SUMINISTRO Y CONSTRUCCIÓN SEGÚN DISEÑO. Incluye ladrillo tolete común, mortero 1:3 impermeabilizado, concreto de limpieza 2500 PSI, placa inferior y acero de refuerzo.</v>
          </cell>
          <cell r="D2091" t="str">
            <v>UN</v>
          </cell>
          <cell r="E2091">
            <v>445042</v>
          </cell>
        </row>
        <row r="2092">
          <cell r="B2092">
            <v>6342</v>
          </cell>
          <cell r="C2092" t="str">
            <v>ESTRUCTURA DE DISIPACIÓN COLECTOR DE 1.20 m EN CONCRETO IMPERMEABILIZADO 4000 PSI, SEGÚN DISEÑO. Incluye suministro, construcción, acero de refuerzo y formaleta, encofrado y desencofrado.</v>
          </cell>
          <cell r="D2092" t="str">
            <v>UN</v>
          </cell>
          <cell r="E2092">
            <v>5194498</v>
          </cell>
        </row>
        <row r="2093">
          <cell r="B2093">
            <v>6343</v>
          </cell>
          <cell r="C2093" t="str">
            <v>JUNTA DE DILATACIÓN TRAMOS 1.00 m (MOVIMIENTO +/- 25 mm)</v>
          </cell>
          <cell r="D2093" t="str">
            <v>M</v>
          </cell>
          <cell r="E2093">
            <v>864640</v>
          </cell>
        </row>
        <row r="2094">
          <cell r="B2094">
            <v>6344</v>
          </cell>
          <cell r="C2094" t="str">
            <v>MEZCLA ASFÁLTICA EN FRÍO. (Suministro, Extendido, Nivelación y Compactación con vibrocompactador y compactador de llantas)</v>
          </cell>
          <cell r="D2094" t="str">
            <v>M3</v>
          </cell>
          <cell r="E2094">
            <v>1132696</v>
          </cell>
        </row>
        <row r="2095">
          <cell r="B2095">
            <v>6345</v>
          </cell>
          <cell r="C2095" t="str">
            <v>MEZCLA ASFÁLTICA EN FRÍO. E= 0.05 m - 0.10 m (Suministro, Extendido, Nivelación y Compactación con vibrocompactador y compactador de llantas).</v>
          </cell>
          <cell r="D2095" t="str">
            <v>M2</v>
          </cell>
          <cell r="E2095">
            <v>155654</v>
          </cell>
        </row>
        <row r="2096">
          <cell r="B2096">
            <v>6346</v>
          </cell>
          <cell r="C2096" t="str">
            <v>RETIRO DE TUBERÍA METÁLICA EXISTENTE. Incluye transporte y disposición final.</v>
          </cell>
          <cell r="D2096" t="str">
            <v>M</v>
          </cell>
          <cell r="E2096">
            <v>22401</v>
          </cell>
        </row>
        <row r="2097">
          <cell r="B2097">
            <v>6352</v>
          </cell>
          <cell r="C2097" t="str">
            <v>PINTURA RECUBRIMIENTO ELÁSTICO EN RESINA ACRÍLICA APLICADA SOBRE CONCRETO. DOS (2) MANOS. Incluye suministro y colocación de pintura.</v>
          </cell>
          <cell r="D2097" t="str">
            <v>M2</v>
          </cell>
          <cell r="E2097">
            <v>124517</v>
          </cell>
        </row>
        <row r="2098">
          <cell r="B2098">
            <v>6353</v>
          </cell>
          <cell r="C2098" t="str">
            <v>ANCLAJE EPÓXICO DE VARILLA DE 3/4". ADHESIVO DE ALTO DESEMPEÑO PARA ANCLAJE DE BARRAS AL CONCRETO. SUMINISTRO E INSTALACIÓN. INCLUYE LA DETECCIÓN DE REFUERZO PARA PERFORACIÓN, LA PERFORACIÓN, LIMPIEZA DE LA PERFORACIÓN CON CHORRO DE AIRE, SUMINISTRO DE MATERIALES, BROCAS, EQUIPOS, TRANSPORTES, MANEJO, ALMACENAMIENTO, MANEJO DE DESPERDICIOS, MANO DE OBRA.</v>
          </cell>
          <cell r="D2098" t="str">
            <v>CM.PER</v>
          </cell>
          <cell r="E2098">
            <v>1664</v>
          </cell>
        </row>
        <row r="2099">
          <cell r="B2099">
            <v>6354</v>
          </cell>
          <cell r="C2099" t="str">
            <v>SEÑAL CICLORUTA SIC-02. TABLERO 67,03cm x 28,04cm REFLECTIVO DE ALTA INTENSIDAD, PEDESTAL CIRCULAR GALVANIZADO DE 2" Y 2mm EN PINTURA ELECTROSTÁTICA. INCLUYE SUMINISTRO E INSTALACIÓN</v>
          </cell>
          <cell r="D2099" t="str">
            <v>UN</v>
          </cell>
          <cell r="E2099">
            <v>487900</v>
          </cell>
        </row>
        <row r="2100">
          <cell r="B2100">
            <v>6355</v>
          </cell>
          <cell r="C2100" t="str">
            <v>SEÑAL ELEVADA BS, TABLERO 4,272m x 1,943m REFLECTIVO DIAMANTE, SOPORTE EN TUBO GALVANIZADO DE 12" x 7m CERCHA EN TUBO 4" DE 3mm Y 2" DE 2mm. INCL. SUMINISTRO E INSTALACIÓN</v>
          </cell>
          <cell r="D2100" t="str">
            <v>UN</v>
          </cell>
          <cell r="E2100">
            <v>10412500</v>
          </cell>
        </row>
        <row r="2101">
          <cell r="B2101">
            <v>6356</v>
          </cell>
          <cell r="C2101" t="str">
            <v>SEÑAL ELEVADA BS, TABLERO 4,556m x 1,654m REFLECTIVO DIAMANTE, SOPORTE EN TUBO GALVANIZADO DE 12" x 7m CERCHA EN TUBO 4" DE 3mm Y 2" DE 2mm.  INCL. SUMINISTRO E INSTALACIÓN</v>
          </cell>
          <cell r="D2101" t="str">
            <v>UN</v>
          </cell>
          <cell r="E2101">
            <v>11602500</v>
          </cell>
        </row>
        <row r="2102">
          <cell r="B2102">
            <v>6357</v>
          </cell>
          <cell r="C2102" t="str">
            <v>SEÑAL CICLORUTA SIC-02, TABLERO 64,66cm x 28,04cm REFLECTIVO DE ALTA INTENSIDAD, PEDESTAL CIRCULAR GALVANIZADO DE 2" x 2mm EN PINTURA ELECTROSTÁTICA.  INCLUYE SUMINISTRO E INSTALACIÓN</v>
          </cell>
          <cell r="D2102" t="str">
            <v>UN</v>
          </cell>
          <cell r="E2102">
            <v>386750</v>
          </cell>
        </row>
        <row r="2103">
          <cell r="B2103">
            <v>6358</v>
          </cell>
          <cell r="C2103" t="str">
            <v>SEÑAL CICLORUTA SIC-02, TABLERO 67,32cm x 28,04cm REFLECTIVO DE ALTA INTENSIDAD, PEDESTAL CIRCULAR GALVANIZADO DE 2" x 2mm EN PINTURA ELECTROSTÁTICA.  INCLUYE SUMINISTRO E INSTALACIÓN</v>
          </cell>
          <cell r="D2103" t="str">
            <v>UN</v>
          </cell>
          <cell r="E2103">
            <v>410550</v>
          </cell>
        </row>
        <row r="2104">
          <cell r="B2104">
            <v>6359</v>
          </cell>
          <cell r="C2104" t="str">
            <v>SEÑAL ELEVADA BS, TABLERO 3.533m x 2.228m REFLECTIVO DIAMANTE, SOPORTE EN TUBO GALVANIZADO DE 12" x 7m CERCHA EN TUBO DE 4" EN 3mm Y 2" EN 2mm.   INCLUYE SUMINISTRO E INSTALACIÓN</v>
          </cell>
          <cell r="D2104" t="str">
            <v>UN</v>
          </cell>
          <cell r="E2104">
            <v>11602500</v>
          </cell>
        </row>
        <row r="2105">
          <cell r="B2105">
            <v>6360</v>
          </cell>
          <cell r="C2105" t="str">
            <v>SEÑAL ELEVADA BS, TABLERO 4.007m x 1.032m REFLECTIVO DIAMANTE, SOPORTE EN TUBO GALVANIZADO DE 12" x 7m CERCHA EN TUBO DE 4" EN 3mm Y 2" EN 2mm.   INCLUYE SUMINISTRO E INSTALACIÓN</v>
          </cell>
          <cell r="D2105" t="str">
            <v>UN</v>
          </cell>
          <cell r="E2105">
            <v>11602500</v>
          </cell>
        </row>
        <row r="2106">
          <cell r="B2106">
            <v>6361</v>
          </cell>
          <cell r="C2106" t="str">
            <v>SEÑAL ELEVADA BS, TABLERO 3.561m x 2.228m REFLECTIVO DIAMANTE, SOPORTE EN TUBO GALVANIZADO DE 12" x 7m CERCHA EN TUBO DE 4" EN 3mm Y 2" EN 2mm. INCLUYE SUMINISTRO E INSTALACIÓN</v>
          </cell>
          <cell r="D2106" t="str">
            <v>UN</v>
          </cell>
          <cell r="E2106">
            <v>11602500</v>
          </cell>
        </row>
        <row r="2107">
          <cell r="B2107">
            <v>6362</v>
          </cell>
          <cell r="C2107" t="str">
            <v>SEÑAL ELEVADA BS, TABLERO 2.738m x 1.380m REFLECTIVO DIAMANTE, SOPORTE EN TUBO GALVANIZADO DE 12" x 7m CERCHA EN TUBO DE 4" EN 3mm Y 2" EN 2mm. INCLUYE SUMINISTRO E INSTALACIÓN</v>
          </cell>
          <cell r="D2107" t="str">
            <v>UN</v>
          </cell>
          <cell r="E2107">
            <v>8032500</v>
          </cell>
        </row>
        <row r="2108">
          <cell r="B2108">
            <v>6363</v>
          </cell>
          <cell r="C2108" t="str">
            <v>SEÑAL INFORMATIVA SI-28, TABLERO 85.01cm x 26.00cm REFLECTIVO ALTA INTENSIDAD, PEDESTAL EN ÁNGULO DE 2"x2"x1/4" H= 2.60m EN PINTURA ELECTROSTÁTICA. INCLUYE SUMINISTRO E INSTALACIÓN</v>
          </cell>
          <cell r="D2108" t="str">
            <v>UN</v>
          </cell>
          <cell r="E2108">
            <v>392700</v>
          </cell>
        </row>
        <row r="2109">
          <cell r="B2109">
            <v>6364</v>
          </cell>
          <cell r="C2109" t="str">
            <v>SEÑAL ELEVADA BS, TABLERO 3.097m x 2.228m REFLECTIVO DIAMANTE, SOPORTE EN TUBO GALVANIZADO DE 12" EN 7m. CERCHA EN TUBO DE 4" EN 3mm Y 2" EN 2mm. INCLUYE SUMINISTRO E INSTALACIÓN</v>
          </cell>
          <cell r="D2109" t="str">
            <v>UN</v>
          </cell>
          <cell r="E2109">
            <v>11602500</v>
          </cell>
        </row>
        <row r="2110">
          <cell r="B2110">
            <v>6365</v>
          </cell>
          <cell r="C2110" t="str">
            <v>SEÑAL INFORMATIVA SI-05, TABLERO 1.401m x 0.512m REFLECTIVO ALTA INTENSIDAD, PEDESTAL EN ÁNGULO DE 2"x2"x1/4" H= 2.60m EN PINTURA ELECTROSTÁTICA.  INCLUYE SUMINISTRO E INSTALACIÓN</v>
          </cell>
          <cell r="D2110" t="str">
            <v>UN</v>
          </cell>
          <cell r="E2110">
            <v>404600</v>
          </cell>
        </row>
        <row r="2111">
          <cell r="B2111">
            <v>6366</v>
          </cell>
          <cell r="C2111" t="str">
            <v>SEÑAL INFORMATIVA SI-05, TABLERO 1.167m x 0.512m REFLECTIVO ALTA INTENSIDAD, PEDESTAL EN ÁNGULO DE 2"x2"x1/4" H= 2.60m EN PINTURA ELECTROSTÁTICA.  INCLUYE SUMINISTRO E INSTALACIÓN</v>
          </cell>
          <cell r="D2111" t="str">
            <v>UN</v>
          </cell>
          <cell r="E2111">
            <v>404600</v>
          </cell>
        </row>
        <row r="2112">
          <cell r="B2112">
            <v>6367</v>
          </cell>
          <cell r="C2112" t="str">
            <v>SEÑAL INFORMATIVA SI-05, TABLERO 1.190m x 0.512m REFLECTIVO ALTA INTENSIDAD, PEDESTAL EN ÁNGULO DE 2"x2"x1/4" H= 2.60m EN PINTURA ELECTROSTÁTICA.  INCLUYE SUMINISTRO E INSTALACIÓN</v>
          </cell>
          <cell r="D2112" t="str">
            <v>UN</v>
          </cell>
          <cell r="E2112">
            <v>404600</v>
          </cell>
        </row>
        <row r="2113">
          <cell r="B2113">
            <v>6368</v>
          </cell>
          <cell r="C2113" t="str">
            <v>SEÑAL INFORMATIVA SI-05, TABLERO 85.94cm x 50.95cm REFLECTIVO ALTA INTENSIDAD, PEDESTAL EN ÁNGULO DE 2"x2"x1/4" H= 2.60m EN PINTURA ELECTROSTÁTICA.  INCLUYE SUMINISTRO E INSTALACIÓN</v>
          </cell>
          <cell r="D2113" t="str">
            <v>UN</v>
          </cell>
          <cell r="E2113">
            <v>392700</v>
          </cell>
        </row>
        <row r="2114">
          <cell r="B2114">
            <v>6369</v>
          </cell>
          <cell r="C2114" t="str">
            <v>SEÑAL INFORMATIVA SI-05, TABLERO 88.03cm x 50.95cm REFLECTIVO ALTA INTENSIDAD, PEDESTAL EN ÁNGULO DE 2"x2"x1/4" H= 2.60m EN PINTURA ELECTROSTÁTICA.  INCLUYE SUMINISTRO E INSTALACIÓN</v>
          </cell>
          <cell r="D2114" t="str">
            <v>UN</v>
          </cell>
          <cell r="E2114">
            <v>392700</v>
          </cell>
        </row>
        <row r="2115">
          <cell r="B2115">
            <v>6370</v>
          </cell>
          <cell r="C2115" t="str">
            <v>SEÑAL INFORMATIVA SI-05, TABLERO 1.075m x 0.512m REFLECTIVO ALTA INTENSIDAD, PEDESTAL EN ÁNGULO DE 2"x2"x1/4" H= 2.60m EN PINTURA ELECTROSTÁTICA. INCLUYE SUMINISTRO E INSTALACIÓN</v>
          </cell>
          <cell r="D2115" t="str">
            <v>UN</v>
          </cell>
          <cell r="E2115">
            <v>404600</v>
          </cell>
        </row>
        <row r="2116">
          <cell r="B2116">
            <v>6371</v>
          </cell>
          <cell r="C2116" t="str">
            <v>SEÑAL ELEVADA BS, TABLERO 2.414m x 1.380m REFLECTIVO DIAMANTE, SOPORTE EN TUBO GALVANIZADO DE 12" EN 7m. CERCHA EN TUBO DE 4" EN 3mm Y 2" EN 2mm. INCLUYE SUMINISTRO E INSTALACIÓN</v>
          </cell>
          <cell r="D2116" t="str">
            <v>UN</v>
          </cell>
          <cell r="E2116">
            <v>8032500</v>
          </cell>
        </row>
        <row r="2117">
          <cell r="B2117">
            <v>6372</v>
          </cell>
          <cell r="C2117" t="str">
            <v>SEÑAL ELEVADA BS, TABLERO 3.322m x 2.111m REFLECTIVO DIAMANTE, SOPORTE EN TUBO GALVANIZADO DE 12" EN 7m. CERCHA EN TUBO DE 4" EN 3mm Y 2" EN 2mm. INCLUYE SUMINISTRO E INSTALACIÓN</v>
          </cell>
          <cell r="D2117" t="str">
            <v>UN</v>
          </cell>
          <cell r="E2117">
            <v>11602500</v>
          </cell>
        </row>
        <row r="2118">
          <cell r="B2118">
            <v>6373</v>
          </cell>
          <cell r="C2118" t="str">
            <v>REEMPLAZO DE TABLERO SEÑAL ELEVADA BS, POR TABLERO GALVANIZADO CALIBRE 20 3.914m x 1.972m REFLECTIVO DIAMANTE. INCLUYE SUMINISTRO E INSTALACIÓN</v>
          </cell>
          <cell r="D2118" t="str">
            <v>UN</v>
          </cell>
          <cell r="E2118">
            <v>4581500</v>
          </cell>
        </row>
        <row r="2119">
          <cell r="B2119">
            <v>6374</v>
          </cell>
          <cell r="C2119" t="str">
            <v>SEÑAL INFORMATIVA SI-05C, TABLERO 60.64cm x 82.50cm REFLECTIVO ALTA INTENSIDAD, PEDESTAL EN ÁNGULO DE 2"x2"x1/4" H= 2.60m EN PINTURA ELECTROSTÁTICA. INCLUYE SUMINISTRO E INSTALACIÓN</v>
          </cell>
          <cell r="D2119" t="str">
            <v>UN</v>
          </cell>
          <cell r="E2119">
            <v>190400</v>
          </cell>
        </row>
        <row r="2120">
          <cell r="B2120">
            <v>6375</v>
          </cell>
          <cell r="C2120" t="str">
            <v>SEÑAL INFORMATIVA SI-05C, TABLERO 75.09cm x 82.50cm REFLECTIVO ALTA INTENSIDAD, PEDESTAL EN ÁNGULO DE 2"x2"x1/4" H= 2.60m EN PINTURA ELECTROSTÁTICA. INCLUYE SUMINISTRO E INSTALACIÓN</v>
          </cell>
          <cell r="D2120" t="str">
            <v>UN</v>
          </cell>
          <cell r="E2120">
            <v>232050</v>
          </cell>
        </row>
        <row r="2121">
          <cell r="B2121">
            <v>6376</v>
          </cell>
          <cell r="C2121" t="str">
            <v>SEÑAL INFORMATIVA SI-05C, TABLERO 76.09cm x 97.51cm REFLECTIVO ALTA INTENSIDAD, PEDESTAL EN ÁNGULO DE 2"x2"x1/4" H= 2.60m EN PINTURA ELECTROSTÁTICA. INCLUYE SUMINISTRO E INSTALACIÓN</v>
          </cell>
          <cell r="D2121" t="str">
            <v>UN</v>
          </cell>
          <cell r="E2121">
            <v>458150</v>
          </cell>
        </row>
        <row r="2122">
          <cell r="B2122">
            <v>6377</v>
          </cell>
          <cell r="C2122" t="str">
            <v>SEÑAL INFORMATIVA SI-05C, TABLERO 75.01cm x 82.50cm REFLECTIVO ALTA INTENSIDAD, PEDESTAL EN ÁNGULO DE 2"x2"x1/4" H= 2.60m EN PINTURA ELECTROSTÁTICA. INCLUYE SUMINISTRO E INSTALACIÓN</v>
          </cell>
          <cell r="D2122" t="str">
            <v>UN</v>
          </cell>
          <cell r="E2122">
            <v>232050</v>
          </cell>
        </row>
        <row r="2123">
          <cell r="B2123">
            <v>6378</v>
          </cell>
          <cell r="C2123" t="str">
            <v>SEÑAL INFORMATIVA BS, TABLERO 2.696m x 1.380m REFLECTIVO DIAMANTE, SOPORTE EN TUBO GALVANIZADO DE 12" x 7m. CERCHA EN TUBO DE 4" EN 3mm Y 2" EN 2mm. INCLUYE SUMINISTRO E INSTALACIÓN</v>
          </cell>
          <cell r="D2123" t="str">
            <v>UN</v>
          </cell>
          <cell r="E2123">
            <v>392700</v>
          </cell>
        </row>
        <row r="2124">
          <cell r="B2124">
            <v>6379</v>
          </cell>
          <cell r="C2124" t="str">
            <v>SEÑAL INFORMATIVA SI-05, TABLERO 1.119m x 0.512m REFLECTIVO ALTA INTENSIDAD, PEDESTAL EN ÁNGULO DE 2"x2"x1/4" H= 2.60m EN PINTURA ELECTROSTÁTICA. INCLUYE SUMINISTRO E INSTALACIÓN</v>
          </cell>
          <cell r="D2124" t="str">
            <v>UN</v>
          </cell>
          <cell r="E2124">
            <v>577150</v>
          </cell>
        </row>
        <row r="2125">
          <cell r="B2125">
            <v>6380</v>
          </cell>
          <cell r="C2125" t="str">
            <v>4 DUCTOS D=3" PVC-TDP (No Incluye Rellenos ni excavación). SUMINISTRO E INSTALACIÓN.</v>
          </cell>
          <cell r="D2125" t="str">
            <v>M</v>
          </cell>
          <cell r="E2125">
            <v>47300</v>
          </cell>
        </row>
        <row r="2126">
          <cell r="B2126">
            <v>6381</v>
          </cell>
          <cell r="C2126" t="str">
            <v>9 DUCTOS D=6" + 2 DUCTOS DE 3" - IMC EN CERCHA METÁLICA. SUMINISTRO E INSTALACIÓN. INCLUYE CONECTOR METÁLICO DE PUESTA A TIERRA DE 3" Y 6" EN CADA EXTREMO.</v>
          </cell>
          <cell r="D2126" t="str">
            <v>M</v>
          </cell>
          <cell r="E2126">
            <v>4033893</v>
          </cell>
        </row>
        <row r="2127">
          <cell r="B2127">
            <v>6382</v>
          </cell>
          <cell r="C2127" t="str">
            <v>TUBERIA PVC D=14" TIPO U.M. RDE 21 (Suministro e Instalación)</v>
          </cell>
          <cell r="D2127" t="str">
            <v>M</v>
          </cell>
          <cell r="E2127">
            <v>323667</v>
          </cell>
        </row>
        <row r="2128">
          <cell r="B2128">
            <v>6383</v>
          </cell>
          <cell r="C2128" t="str">
            <v>9 DUCTOS D=6" + 2 DUCTOS DE 3" - PVC-TDP INCLUYE SUMINISTRO E INSTALACIÓN.</v>
          </cell>
          <cell r="D2128" t="str">
            <v>M</v>
          </cell>
          <cell r="E2128">
            <v>303893</v>
          </cell>
        </row>
        <row r="2129">
          <cell r="B2129">
            <v>6385</v>
          </cell>
          <cell r="C2129" t="str">
            <v>CÁRCAMO EN CONCRETO PARA TUBERÍA DE ACERO DE 8" EN CALZADA ASFALTO. INCLUYE SUMINISTRO Y COLOCACIÓN DE MATERIALES Y MANO DE OBRA.</v>
          </cell>
          <cell r="D2129" t="str">
            <v>M</v>
          </cell>
          <cell r="E2129">
            <v>170170</v>
          </cell>
        </row>
        <row r="2130">
          <cell r="B2130">
            <v>6386</v>
          </cell>
          <cell r="C2130" t="str">
            <v>CÁRCAMO EN CONCRETO PARA TUBERÍA DE POLIETILENO DE 3", 4" Y 6" EN CALZADA ASFALTO.INCLUYE SUMINISTRO Y COLOCACIÓN DE MATERIALES Y MANO DE OBRA.</v>
          </cell>
          <cell r="D2130" t="str">
            <v>M</v>
          </cell>
          <cell r="E2130">
            <v>160650</v>
          </cell>
        </row>
        <row r="2131">
          <cell r="B2131">
            <v>6387</v>
          </cell>
          <cell r="C2131" t="str">
            <v>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v>
          </cell>
          <cell r="D2131" t="str">
            <v>UN</v>
          </cell>
          <cell r="E2131">
            <v>11560831</v>
          </cell>
        </row>
        <row r="2132">
          <cell r="B2132">
            <v>6388</v>
          </cell>
          <cell r="C2132" t="str">
            <v>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v>
          </cell>
          <cell r="D2132" t="str">
            <v>UN</v>
          </cell>
          <cell r="E2132">
            <v>14706148</v>
          </cell>
        </row>
        <row r="2133">
          <cell r="B2133">
            <v>6389</v>
          </cell>
          <cell r="C2133" t="str">
            <v>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v>
          </cell>
          <cell r="D2133" t="str">
            <v>UN</v>
          </cell>
          <cell r="E2133">
            <v>15712321</v>
          </cell>
        </row>
        <row r="2134">
          <cell r="B2134">
            <v>6392</v>
          </cell>
          <cell r="C2134" t="str">
            <v>PILOTE PREEXCAVADO DE DIÁMETRO 30 cm CONCRETO TREMIE DE 4000 PSI (280 Kg/Cm2) ACELERADO A 2 DÍAS. INCLUYE ACELERANTE, ALQUILER DE EQUIPO DE PERFORACIÓN CON OPERARIO, MOTOBOMBA, BENTONITA, MANO DE OBRA, TRANSPORTE Y DISPOSICIÓN FINAL DE ESCOMBROS EN SITIO AUTORIZADO. DISTANCIA DE TRANSPORTE 21 Km.</v>
          </cell>
          <cell r="D2134" t="str">
            <v>M3</v>
          </cell>
          <cell r="E2134">
            <v>1507488</v>
          </cell>
        </row>
        <row r="2135">
          <cell r="B2135">
            <v>6393</v>
          </cell>
          <cell r="C2135" t="str">
            <v>PILOTE PREEXCAVADO DE DIÁMETRO 45 cm Concreto TREMIE 4000 PSI. ACELERADO A 2 DIAS. INCL. ACERO DE 60000 PSI 103.50 Kg/M3, TRANSPORTE Y DISPOSICIÓN FINAL DE ESCOMBROS EN SITIO AUTORIZADO. DISTANCIA DE TRANSPORTE 21 KM. MOVILIZACIÓN, MONTAJE Y DESMONTAJE DE EQUIPOS.</v>
          </cell>
          <cell r="D2135" t="str">
            <v>M3</v>
          </cell>
          <cell r="E2135">
            <v>1791702</v>
          </cell>
        </row>
        <row r="2136">
          <cell r="B2136">
            <v>6394</v>
          </cell>
          <cell r="C2136" t="str">
            <v>TORONES POSTENSADOS PARA REFORZAMIENTO EXTERNO DE 5/8" TENSIONADO 16,9 TON. SUMINISTRO E INSTALACIÓN, TENSIONAMIENTO, MANO DE OBRA, EQUIPOS EN GENERAL.</v>
          </cell>
          <cell r="D2136" t="str">
            <v>M</v>
          </cell>
          <cell r="E2136">
            <v>19706</v>
          </cell>
        </row>
        <row r="2137">
          <cell r="B2137">
            <v>6395</v>
          </cell>
          <cell r="C2137" t="str">
            <v>PILOTE PREEXCAVADO DE DIÁMETRO 45 cm Concreto TREMIE 4000 PSI. ACELERADO A 2 DIAS. INCL. ACERO DE 60000 PSI 257 Kg/M3, TRANSPORTE Y DISPOSICIÓN FINAL DE ESCOMBROS EN SITIO AUTORIZADO. DISTANCIA DE TRANSPORTE 21 KM. MOVILIZACIÓN, MONTAJE Y DESMONTAJE DE EQUIPOS.</v>
          </cell>
          <cell r="D2137" t="str">
            <v>M3</v>
          </cell>
          <cell r="E2137">
            <v>2234865</v>
          </cell>
        </row>
        <row r="2138">
          <cell r="B2138">
            <v>6396</v>
          </cell>
          <cell r="C2138" t="str">
            <v>APOYO ELASTOMERICO DE 30CM x 30CM x 5CM. DUREZA 60 CON REFUERZOS 1/8" INCLUYE SUMINISTRO E INSTALACIÓN</v>
          </cell>
          <cell r="D2138" t="str">
            <v>UN</v>
          </cell>
          <cell r="E2138">
            <v>281160</v>
          </cell>
        </row>
        <row r="2139">
          <cell r="B2139">
            <v>6397</v>
          </cell>
          <cell r="C2139" t="str">
            <v>APOYO ELASTOMERICO DE 20CM x 20CM x 5CM. DUREZA 60 CON REFUERZOS 1/8" INCLUYE SUMINISTRO E INSTALACIÓN</v>
          </cell>
          <cell r="D2139" t="str">
            <v>UN</v>
          </cell>
          <cell r="E2139">
            <v>166188</v>
          </cell>
        </row>
        <row r="2140">
          <cell r="B2140">
            <v>6399</v>
          </cell>
          <cell r="C2140" t="str">
            <v>SUMINISTRO E INSTALACION DE COLUMNAS DE ACCIONAMIENTO ELECTRICO PARA BARRERAS DE ALUMINIO DE DOS Y HASTA DIEZ METROS DE LONGITUD, CUYO DISEÑO GARANTIZA OPERACIÓN PERMANENTE, MOTOR DE 1/2 Y/O 34/4 A 1 Hp 110 Vol AC. MOTO REDUCTOR Y TRANSMISION REDUCTORA DE VELOCIDAD, CON EMBRAGUE MECANICO PARA PERMITIR LA OPERACION MANUAL, LIMITADORES ELECTRO MECANICOS PARA DETENER LA BARRERA DE MANERA SEMIAUTOMATICA, Y CONTRA PESOS DE ACUERDO AL VOLUMEN DE LA BARRERA.</v>
          </cell>
          <cell r="D2140" t="str">
            <v>UN</v>
          </cell>
          <cell r="E2140">
            <v>9758000</v>
          </cell>
        </row>
        <row r="2141">
          <cell r="B2141">
            <v>6400</v>
          </cell>
          <cell r="C2141" t="str">
            <v>EXCAVACIÓN PARA CAISSON D=1.50M (incl. excavación, cargue y retiro de sobrantes)</v>
          </cell>
          <cell r="D2141" t="str">
            <v>M</v>
          </cell>
          <cell r="E2141">
            <v>510984</v>
          </cell>
        </row>
        <row r="2142">
          <cell r="B2142">
            <v>6401</v>
          </cell>
          <cell r="C2142" t="str">
            <v>TOTEM H=12m, DESMONTE.INCLUYE TRASLADO Y MONTAJE EN SITIO SELECCIONADO   TRANSPORTE  DE ESTRUCTURA DE TOTEM SEGUN PLANOS DE DISEÑO, INCLUYE TODOS LOS ACABADOS, LOGOS Y MAPA, SIN RELOJ PARA EXTERIORES DE DOBLE CARA.</v>
          </cell>
          <cell r="D2142" t="str">
            <v>UN</v>
          </cell>
          <cell r="E2142">
            <v>13500000</v>
          </cell>
        </row>
        <row r="2143">
          <cell r="B2143">
            <v>6402</v>
          </cell>
          <cell r="C2143" t="str">
            <v>DESMONTE Y TRASLADO CABINA PARA PAGO. INCLUYE VENTANAS PUNTO DE PAGO. SUMINISTRO E INSTALACION. (VENTANA FIJA MONTANTE Y VIDRIO TEMPLADO DE 6mm V-2 CUERPO DE 1.0mx0.36m); MESON EN ACERO DE 0.43mx2.56m, CAL. 18 4"x8" SATINADO. SOLDADURA PARA ACERO INOXIDABLE Y REFUERZOS EN ACERO INOXIDABLES CAL. 18; PANEL EN LAMINA DE ACERO INOXIDABLE CAL. 18 MURO ANCHO. INCLUYE LAMINA DE 4"x8" PARA PANELES ENTAMBORADOS Y REFUERZOS INTERNOS, PLATINAS DE ANCLAJE, PASAVIDRIOS EN LAMINA CR CAL 18, TORNILLO, PINTURA ELECTROSTATICA Y LIMPIEZA QUIMICA; PUERTA METALICA ENTAMBORADA CAL. 18 DE 4"x8", PINTURA ELECTROSTATICA COLOR GRIS 7014, A= 83m. INCLUYE MARCO EN LAMINA CAL. 18 DESARROLLO 0.20m, VISAGFRAS REDONDAS 3/4", CERRADURA PICO DE LORO, ANCLAJE Y PINTURA ELECTROSTATICA; CAJONES PARA CAMBIOS, MONEDEROS EN ACERO INOXIDABLE 0.20m x 0.20m. EN LAMINA DE ACERO INOXIDABLE CAL. 18 4" x 8" SATINADO Y SOLDADURA PARA ACERO INOXIDABLE.</v>
          </cell>
          <cell r="D2143" t="str">
            <v>UN</v>
          </cell>
          <cell r="E2143">
            <v>4053200</v>
          </cell>
        </row>
        <row r="2144">
          <cell r="B2144">
            <v>6403</v>
          </cell>
          <cell r="C2144" t="str">
            <v>DESMONTE DE TORNIQUETES EN ÁREA DE ACCESO A ESTACIONES DE TRANSMILENIO</v>
          </cell>
          <cell r="D2144" t="str">
            <v>UN</v>
          </cell>
          <cell r="E2144">
            <v>405320</v>
          </cell>
        </row>
        <row r="2145">
          <cell r="B2145">
            <v>6404</v>
          </cell>
          <cell r="C2145" t="str">
            <v>PUERTA METÁLICA ENTAMBORADA CAL 18 DE 4" INCLUYE PINTURA ELECTROSTÁTICA COLOR GRIS 7014 INCLUYE MARCO BISAGRAS REDONDAS Y CERRADURA. SUMINISTRO E INSTALACIÓN.</v>
          </cell>
          <cell r="D2145" t="str">
            <v>UN</v>
          </cell>
          <cell r="E2145">
            <v>737065</v>
          </cell>
        </row>
        <row r="2146">
          <cell r="B2146">
            <v>6405</v>
          </cell>
          <cell r="C2146" t="str">
            <v>PANEL EN LAMINA DE ACERO INOXIDABLE CAL 18 MURO ANCHO INCLUYE LAMINA 4" x 8" PARA PANELES ENTAMBORADOS Y  REFUERZOS INTERNOS PLATINAS DE ANCLAJE PASAVIDRIOS EN LAMINA COLD ROLL 18 TORNILLOS PINTURA ELECTROESTATICA  Y LIMPIEZA QUÍMICA. SUMINISTRO E INSTALACIÓN.</v>
          </cell>
          <cell r="D2146" t="str">
            <v>M2</v>
          </cell>
          <cell r="E2146">
            <v>778906</v>
          </cell>
        </row>
        <row r="2147">
          <cell r="B2147">
            <v>6406</v>
          </cell>
          <cell r="C2147" t="str">
            <v>FLANCHE LATERAL REMATE DE CUBIERTA EN LAMINA GALVANIZADA Y PINTADA DESARROLLO DE 20 CM. SUMINISTRO E INSTALACIÓN.</v>
          </cell>
          <cell r="D2147" t="str">
            <v>M</v>
          </cell>
          <cell r="E2147">
            <v>36662</v>
          </cell>
        </row>
        <row r="2148">
          <cell r="B2148">
            <v>6407</v>
          </cell>
          <cell r="C2148" t="str">
            <v>CIELO RASO EN BANDEJA TILE DE 610 mm x 610mm EN ALUZINC PERFORADO PERFIL CLP INCLUYE PERFILES DE FIJACIÓN SISTEMA DE SUSPENSIÓN Y ESPACIO PARA LAMPARAS. SUMINISTRO E INSTALACIÓN.</v>
          </cell>
          <cell r="D2148" t="str">
            <v>M2</v>
          </cell>
          <cell r="E2148">
            <v>204125</v>
          </cell>
        </row>
        <row r="2149">
          <cell r="B2149">
            <v>6408</v>
          </cell>
          <cell r="C2149" t="str">
            <v>BARANDAS EN ACERO INOXIDABLE VAGON (BARANDAS INTERNAS EN ACERO INOXIDABLE ALTURA DE 0,80m LONGITUD 0,67m. SUMINISTRO E INSTALACIÓN.</v>
          </cell>
          <cell r="D2149" t="str">
            <v>UN</v>
          </cell>
          <cell r="E2149">
            <v>234032</v>
          </cell>
        </row>
        <row r="2150">
          <cell r="B2150">
            <v>6409</v>
          </cell>
          <cell r="C2150" t="str">
            <v>BARANDAS EN ACERO INOXIDABLE PARA VAGÓN (BARANDAS INTERNAS. TUBERIA ACERO INOX. D=2" CAL 16. 1 DIVISORIO HORIZONTAL. H= 0,80m L= 2,00m). SUMINISTRO E INSTALACIÓN.</v>
          </cell>
          <cell r="D2150" t="str">
            <v>UN</v>
          </cell>
          <cell r="E2150">
            <v>444125</v>
          </cell>
        </row>
        <row r="2151">
          <cell r="B2151">
            <v>6410</v>
          </cell>
          <cell r="C2151" t="str">
            <v>LUCERNARIO EN POLICARBONATO MACIZO DE 3 MM DE ESPESOR COLOR CRISTAL CON SOPORTES EN PERFIL TUBULAR DE 0,25m x 0,25m CADA 1,20m POR ENCIMA Y POR DEBAJO  Y CON CONECTOR TIPO OMEGA O EQUIVALENTE CADA 2,05m  INCLUYE FLANCHES LATERALES INTERNOS DE POLICARBONATO. SUMINISTRO E INSTALACIÓN.</v>
          </cell>
          <cell r="D2151" t="str">
            <v>M2</v>
          </cell>
          <cell r="E2151">
            <v>448492</v>
          </cell>
        </row>
        <row r="2152">
          <cell r="B2152">
            <v>6411</v>
          </cell>
          <cell r="C2152" t="str">
            <v>VENTANAS EN ALUMINIO TIPO LENHER DE 1,20m x 0,30m CON ALFAJÍA EN ALUMINIO Y VIDRIO LAMINADO DE 3+3 (6 mm). SUMINISTRO E INSTALACIÓN.</v>
          </cell>
          <cell r="D2152" t="str">
            <v>UN</v>
          </cell>
          <cell r="E2152">
            <v>271589</v>
          </cell>
        </row>
        <row r="2153">
          <cell r="B2153">
            <v>6412</v>
          </cell>
          <cell r="C2153" t="str">
            <v>VINILO ADHESIVO FABRICADA EN LÁMINA DE ALUMINIO ANODIZADO 1.5mm PARA RUTEROS VALLA "SALIDA GRACIAS OTROS DESTINOS"(185cm x 31,6cm) SEGÚN MANUAL DE IMAGEN DE TRANSMILENIO. SUMINISTRO E INSTALACIÓN.</v>
          </cell>
          <cell r="D2153" t="str">
            <v>UN</v>
          </cell>
          <cell r="E2153">
            <v>888000</v>
          </cell>
        </row>
        <row r="2154">
          <cell r="B2154">
            <v>6413</v>
          </cell>
          <cell r="C2154" t="str">
            <v>VINILO ADHESIVO FABRICADA EN LAMINA DE ALUMINIO PARA SALIDAS LATERALES (275cm x 31,6cm) SEGÚN MANUAL DE IMAGEN DE TRANSMILENIO. SUMINISTRO E INSTALACIÓN.</v>
          </cell>
          <cell r="D2154" t="str">
            <v>UN</v>
          </cell>
          <cell r="E2154">
            <v>1320000</v>
          </cell>
        </row>
        <row r="2155">
          <cell r="B2155">
            <v>6414</v>
          </cell>
          <cell r="C2155" t="str">
            <v>VINILO ADHESIVO FABRICADA EN LAMINA DE ALUMINIO PARA ENTRADA PRINCIPAL DE VAGÓN SALIDA DE VAGÓN  (4,05m x 0,316m) SEGÚN MANUAL DE IMAGEN DE TRANSMILENIO. SUMINISTRO E INSTALACIÓN.</v>
          </cell>
          <cell r="D2155" t="str">
            <v>UN</v>
          </cell>
          <cell r="E2155">
            <v>1944000</v>
          </cell>
        </row>
        <row r="2156">
          <cell r="B2156">
            <v>6415</v>
          </cell>
          <cell r="C2156" t="str">
            <v>VINILO ADHESIVO VINILICO ESMERILADO EFECTO SANDBLASTING  FROSTED CRYSTAL GARANTÍA DE 5 AÑOS EN EXTERIORES SEGÚN MANUAL DE IMAGEN DE TRANSMILENIO. SUMINISTRO E INSTALACIÓN.</v>
          </cell>
          <cell r="D2156" t="str">
            <v>UN</v>
          </cell>
          <cell r="E2156">
            <v>64234</v>
          </cell>
        </row>
        <row r="2157">
          <cell r="B2157">
            <v>6416</v>
          </cell>
          <cell r="C2157" t="str">
            <v>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v>
          </cell>
          <cell r="D2157" t="str">
            <v>M2</v>
          </cell>
          <cell r="E2157">
            <v>58320</v>
          </cell>
        </row>
        <row r="2158">
          <cell r="B2158">
            <v>6417</v>
          </cell>
          <cell r="C2158" t="str">
            <v>PUERTA PREFERENCIAL TRANSMILENIO. SUMINISTRO E INSTALACIÓN CON TODOS SUS COMPONENTES Y ACCESORIOS. INCLUYE MARCOS PERIMETRALES DE 0.965m x 2.065m EN TUBULAR CUADRADO COLD ROLLED SECCIÓN 5cm Cal.16 GALVANIZADO Y ACABADO EN PINTURA ELECTROSTÁTICA: PISAVIDRIO EN PERFILERÍA DE ALUMINIO, PARA VIDRIOS EXISTENTES DE PUERTAS AUTOMÁTICAS DE 0.85m x 1.94m. INCLUYE TAMBIÉN SISTEMA ANTIVANDALISMO DE APERTURA.</v>
          </cell>
          <cell r="D2158" t="str">
            <v>UN</v>
          </cell>
          <cell r="E2158">
            <v>32606000</v>
          </cell>
        </row>
        <row r="2159">
          <cell r="B2159">
            <v>6418</v>
          </cell>
          <cell r="C2159" t="str">
            <v>PUERTA PREFERENCIAL TRANSMILENIO. SUMINISTRO E INSTALACIÓN CON TODOS SUS COMPONENTES Y ACCESORIOS. INCLUYE MARCOS PERIMETRALES DE 0.965m x 2.065m EN TUBULAR CUADRADO COLD ROLLED SECCIÓN 5cm Cal.16 GALVANIZADO Y ACABADO EN PINTURA ELECTROSTÁTICA: PISAVIDRIO EN PERFILES DE ALUMINIO, PARA VIDRIOS EXISTENTES DE PUERTAS AUTOMÁTICAS DE 0.85m x 1.94m. NO SISTEMA ANTIVANDÁLICO.</v>
          </cell>
          <cell r="D2159" t="str">
            <v>UN</v>
          </cell>
          <cell r="E2159">
            <v>32606000</v>
          </cell>
        </row>
        <row r="2160">
          <cell r="B2160">
            <v>6419</v>
          </cell>
          <cell r="C2160" t="str">
            <v>PUERTA SENCILLA TRANSMILENIO. SUMINISTRO E INSTALACIÓN CON TODOS SUS COMPONENTES Y ACCESORIOS. INCLUYE MARCOS PERIMETRALES DE 0.965m x 2.065m EN TUBULAR CUADRADO COLD ROLLED SECCIÓN 5cm Cal.16 GALVANIZADO Y ACABADO EN PINTURA ELECTROSTÁTICA: PISAVIDRIO EN PERFILES DE ALUMINIO, PARA VIDRIOS EXISTENTES DE PUERTAS AUTOMÁTICAS DE 0.85m x 1.94m. NO SISTEMA ANTIVANDÁLICO.</v>
          </cell>
          <cell r="D2160" t="str">
            <v>UN</v>
          </cell>
          <cell r="E2160">
            <v>18802000</v>
          </cell>
        </row>
        <row r="2161">
          <cell r="B2161">
            <v>6420</v>
          </cell>
          <cell r="C2161" t="str">
            <v>PUERTA SENCILLA TRANSMILENIO. SUMINISTRO E INSTALACIÓN CON TODOS SUS COMPONENTES Y ACCESORIOS. INCLUYE MARCOS PERIMETRALES DE 0.965m x 2.065m EN TUBULAR CUADRADO COLD ROLLED SECCIÓN 5cm Cal.16 GALVANIZADO Y ACABADO EN PINTURA ELECTROSTÁTICA: PISAVIDRIO EN PERFILES DE ALUMINIO, PARA VIDRIOS EXISTENTES DE PUERTAS AUTOMÁTICAS DE 0.85m x 1.94m. INCLUYE TAMBIÉN SISTEMA ANTIVANDÁLICO DE APERTURA.</v>
          </cell>
          <cell r="D2161" t="str">
            <v>UN</v>
          </cell>
          <cell r="E2161">
            <v>18802000</v>
          </cell>
        </row>
        <row r="2162">
          <cell r="B2162">
            <v>6421</v>
          </cell>
          <cell r="C2162" t="str">
            <v>CONSTRUCCIÓN PIEZA FUNDIDA EN SITIO SIMILAR A SARDINEL BAJO RAMPA. (Incluye suministro y colocación de concreto de 3000 PSI grava común, formaleta y mano de obra)</v>
          </cell>
          <cell r="D2162" t="str">
            <v>M</v>
          </cell>
          <cell r="E2162">
            <v>32793</v>
          </cell>
        </row>
        <row r="2163">
          <cell r="B2163">
            <v>6422</v>
          </cell>
          <cell r="C2163" t="str">
            <v>REJILLA PREFABRICADA EN CONCRETO 0,4m x 0,4m. (Incluye suministro y colocación, mortero de 2000 PSI y mano de obra)</v>
          </cell>
          <cell r="D2163" t="str">
            <v>UN</v>
          </cell>
          <cell r="E2163">
            <v>36860</v>
          </cell>
        </row>
        <row r="2164">
          <cell r="B2164">
            <v>6423</v>
          </cell>
          <cell r="C2164" t="str">
            <v>NIVELACIÓN DE CAJA DE INSPECCIÓN TIPO VEHICULAR NORMA CODENSA CS 280 H=0,5m   (INCLUYE CONCRETO 3000 PSI PREMEZCLADO, LADRILLO TOLETE RECOCIDO 24x12x6. MORTERO 1:4 IMPERMEABILIZADO HECHO EN OBRA. INCL. REPOSICIÓN DE MARCO Y TAPA PREFABRICADA)</v>
          </cell>
          <cell r="D2164" t="str">
            <v>UN</v>
          </cell>
          <cell r="E2164">
            <v>1662795</v>
          </cell>
        </row>
        <row r="2165">
          <cell r="B2165">
            <v>6424</v>
          </cell>
          <cell r="C2165" t="str">
            <v>SUBBASE GRANULAR CLASE C - CAPA GRANULAR - LECHO FILTRANTE e=150 mm (Incluye transporte y suministro, extendido, nivelación, humedecimiento y compactación)</v>
          </cell>
          <cell r="D2165" t="str">
            <v>M3</v>
          </cell>
          <cell r="E2165">
            <v>108689</v>
          </cell>
        </row>
        <row r="2166">
          <cell r="B2166">
            <v>6425</v>
          </cell>
          <cell r="C2166" t="str">
            <v>GEODRÉN VIAL H= 1.0m o DRENAFLEX PLANAR H= 1.0m, TUBERÍA DE 100mm (Incluye colocación base granular clase C, suministro y colocación geodren)</v>
          </cell>
          <cell r="D2166" t="str">
            <v>M</v>
          </cell>
          <cell r="E2166">
            <v>71109</v>
          </cell>
        </row>
        <row r="2167">
          <cell r="B2167">
            <v>6426</v>
          </cell>
          <cell r="C2167" t="str">
            <v>CONTENEDOR DE RAICES DE 2,80m x 1,20m H=1,00 m. (Incluye construcción de muros en ladrillo tolete, colocación de filtro en gravilla. Incluye tierra negra)</v>
          </cell>
          <cell r="D2167" t="str">
            <v>UN</v>
          </cell>
          <cell r="E2167">
            <v>753655</v>
          </cell>
        </row>
        <row r="2168">
          <cell r="B2168">
            <v>6427</v>
          </cell>
          <cell r="C2168" t="str">
            <v>BORDE CONTENEDOR DE RAÍCES A-75 (INCLUYE SUMINISTRO E INSTALACIÓN, INCLUYE BASE DE 3cm EN MORTERO 1:3 HECHO EN OBRA)</v>
          </cell>
          <cell r="D2168" t="str">
            <v>M</v>
          </cell>
          <cell r="E2168">
            <v>17266</v>
          </cell>
        </row>
        <row r="2169">
          <cell r="B2169">
            <v>6428</v>
          </cell>
          <cell r="C2169" t="str">
            <v>CONCRETO 3000 PSI PARA MURO DE CONTENCIÓN CON ADICIÓN DE MICROFIBRA DE POLIPROPILENO (PREMEZCLADO. INC SUMINISTRO, FORMALETEO Y COLOCACIÓN. NO INCLUYE REFUERZO, CURADO)</v>
          </cell>
          <cell r="D2169" t="str">
            <v>M3</v>
          </cell>
          <cell r="E2169">
            <v>647146</v>
          </cell>
        </row>
        <row r="2170">
          <cell r="B2170">
            <v>6429</v>
          </cell>
          <cell r="C2170" t="str">
            <v>DENSIFICACIÓN DE TERRENO CON PILOTES EN MADERA INMUNIZADA DIÁMETRO DE 12 Cm  (Incluye transporte)</v>
          </cell>
          <cell r="D2170" t="str">
            <v>M</v>
          </cell>
          <cell r="E2170">
            <v>46185</v>
          </cell>
        </row>
        <row r="2171">
          <cell r="B2171">
            <v>6430</v>
          </cell>
          <cell r="C2171" t="str">
            <v>PILOTES DE CONCRETO (PREBARRENADOS) CON DIÁMETRO 0.30M 3000 PSI (Incluye: Excavación, Fundida, Localización, Prehuecos, Agua de Carrotanques, Retiro de lodos y Descabece de pilotes)</v>
          </cell>
          <cell r="D2171" t="str">
            <v>M</v>
          </cell>
          <cell r="E2171">
            <v>212955</v>
          </cell>
        </row>
        <row r="2172">
          <cell r="B2172">
            <v>6431</v>
          </cell>
          <cell r="C2172" t="str">
            <v>MEZCLA ASFÁLTICA ALTO MÓDULO MAM-20 (SUMINISTRO, EXTENDIDO, NIVELACIÓN Y COMPACTACIÓN. INCLUYE EMULSIÓN ASFÁLTICA CRL-1 - CRR-1)</v>
          </cell>
          <cell r="D2172" t="str">
            <v>M3</v>
          </cell>
          <cell r="E2172">
            <v>619041</v>
          </cell>
        </row>
        <row r="2173">
          <cell r="B2173">
            <v>6433</v>
          </cell>
          <cell r="C2173" t="str">
            <v>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v>
          </cell>
          <cell r="D2173" t="str">
            <v>KG</v>
          </cell>
          <cell r="E2173">
            <v>13713</v>
          </cell>
        </row>
        <row r="2174">
          <cell r="B2174">
            <v>6434</v>
          </cell>
          <cell r="C2174" t="str">
            <v>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v>
          </cell>
          <cell r="D2174" t="str">
            <v>KG</v>
          </cell>
          <cell r="E2174">
            <v>12630</v>
          </cell>
        </row>
        <row r="2175">
          <cell r="B2175">
            <v>6435</v>
          </cell>
          <cell r="C2175" t="str">
            <v>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v>
          </cell>
          <cell r="D2175" t="str">
            <v>KG</v>
          </cell>
          <cell r="E2175">
            <v>12171</v>
          </cell>
        </row>
        <row r="2176">
          <cell r="B2176">
            <v>6436</v>
          </cell>
          <cell r="C2176" t="str">
            <v>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v>
          </cell>
          <cell r="D2176" t="str">
            <v>KG</v>
          </cell>
          <cell r="E2176">
            <v>11137</v>
          </cell>
        </row>
        <row r="2177">
          <cell r="B2177">
            <v>6437</v>
          </cell>
          <cell r="C2177" t="str">
            <v>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v>
          </cell>
          <cell r="D2177" t="str">
            <v>KG</v>
          </cell>
          <cell r="E2177">
            <v>10746</v>
          </cell>
        </row>
        <row r="2178">
          <cell r="B2178">
            <v>6438</v>
          </cell>
          <cell r="C2178" t="str">
            <v>LAVADO Y SONDEO DE REDES DE ALCANTARILLADO ENTRE 6" Y 18" DE DIÁMETRO Y CON GRADO DE COLMATACIÓN MENOR DEL 30%. INCL MANO DE OBRA IDÓNEA, SEÑALIZACIÓN BÁSICA, SUMIN DE COMBUSTIBLE Y AGUA. INCL. IVA</v>
          </cell>
          <cell r="D2178" t="str">
            <v>M</v>
          </cell>
          <cell r="E2178">
            <v>13685</v>
          </cell>
        </row>
        <row r="2179">
          <cell r="B2179">
            <v>6439</v>
          </cell>
          <cell r="C2179" t="str">
            <v>LAVADO Y SONDEO DE REDES DE ALCANTARILLADO ENTRE 16" Y 36" DE DIÁMETRO Y CON GRADO DE COLMATACIÓN MENOR DEL 30%. INCLUYE MANO DE OBRA IDÓNEA, SEÑALIZACIÓN BÁSICA, SUMIN DE COMBUSTIBLE Y AGUA. INCL IVA</v>
          </cell>
          <cell r="D2179" t="str">
            <v>M</v>
          </cell>
          <cell r="E2179">
            <v>14875</v>
          </cell>
        </row>
        <row r="2180">
          <cell r="B2180">
            <v>6440</v>
          </cell>
          <cell r="C2180" t="str">
            <v>LIMPIEZA GRADO DE LIMPIEZA SEGÚN NORMA SSPC-SP1 - LIMPIEZA CON SOLVENTES PARA ESTRUCTURA PESADA</v>
          </cell>
          <cell r="D2180" t="str">
            <v>KG</v>
          </cell>
          <cell r="E2180">
            <v>147</v>
          </cell>
        </row>
        <row r="2181">
          <cell r="B2181">
            <v>6441</v>
          </cell>
          <cell r="C2181" t="str">
            <v>LIMPIEZA GRADO DE LIMPIEZA SEGÚN NORMA SSPC-SP2 - LIMPIEZA MANUAL PARA ESTRUCTURA PESADA</v>
          </cell>
          <cell r="D2181" t="str">
            <v>KG</v>
          </cell>
          <cell r="E2181">
            <v>147</v>
          </cell>
        </row>
        <row r="2182">
          <cell r="B2182">
            <v>6442</v>
          </cell>
          <cell r="C2182" t="str">
            <v>LIMPIEZA GRADO DE LIMPIEZA SEGÚN NORMA SSPC-SP3 - LIMPIEZA CON HERRAMIENTAS ELÉCTRICAS PARA ESTRUCTURA PESADA</v>
          </cell>
          <cell r="D2182" t="str">
            <v>KG</v>
          </cell>
          <cell r="E2182">
            <v>149</v>
          </cell>
        </row>
        <row r="2183">
          <cell r="B2183">
            <v>6443</v>
          </cell>
          <cell r="C2183" t="str">
            <v>LIMPIEZA GRADO DE LIMPIEZA SEGÚN NORMA SSPC-SP5 - LIMPIEZA CON ABRASIVO METAL BLANCO PARA ESTRUCTURA PESADA.</v>
          </cell>
          <cell r="D2183" t="str">
            <v>KG</v>
          </cell>
          <cell r="E2183">
            <v>160</v>
          </cell>
        </row>
        <row r="2184">
          <cell r="B2184">
            <v>6444</v>
          </cell>
          <cell r="C2184" t="str">
            <v>LIMPIEZA GRADO DE LIMPIEZA SEGÚN NORMA SSPC-SP7 - LIMPIEZA CON CHORRO ABRASIVO BRUSH-OFF PARA ESTRUCTURA PESADA.</v>
          </cell>
          <cell r="D2184" t="str">
            <v>KG</v>
          </cell>
          <cell r="E2184">
            <v>175</v>
          </cell>
        </row>
        <row r="2185">
          <cell r="B2185">
            <v>6445</v>
          </cell>
          <cell r="C2185" t="str">
            <v>LIMPIEZA GRADO DE LIMPIEZA SEGÚN NORMA SSPC-SP6 - LIMPIEZA CON CHORRO ABRASIVO COMERCIAL PARA ESTRUCTURA PESADA.</v>
          </cell>
          <cell r="D2185" t="str">
            <v>KG</v>
          </cell>
          <cell r="E2185">
            <v>165</v>
          </cell>
        </row>
        <row r="2186">
          <cell r="B2186">
            <v>6446</v>
          </cell>
          <cell r="C2186" t="str">
            <v>LIMPIEZA GRADO DE LIMPIEZA SEGÚN NORMA SSPC-SP10 - LIMPIEZA CON CHORRO ABRASIVO METAL CASI BLANCO PARA ESTRUCTURA PESADA.</v>
          </cell>
          <cell r="D2186" t="str">
            <v>KG</v>
          </cell>
          <cell r="E2186">
            <v>170</v>
          </cell>
        </row>
        <row r="2187">
          <cell r="B2187">
            <v>6448</v>
          </cell>
          <cell r="C2187" t="str">
            <v>EMPATES DE TUBERÍA EN PVC A PVC 10" LINEAL SEGÚN NORMA NS-023 (INCLUYE ACCESORIOS). SUMINISTRO E INSTALACIÓN.</v>
          </cell>
          <cell r="D2187" t="str">
            <v>UN</v>
          </cell>
          <cell r="E2187">
            <v>984392</v>
          </cell>
        </row>
        <row r="2188">
          <cell r="B2188">
            <v>6449</v>
          </cell>
          <cell r="C2188" t="str">
            <v>MARCO Y TAPA PARA SUMIDERO 0.52m x 0.90m EAAB NP-023. SUMINISTRO E INSTALACIÓN</v>
          </cell>
          <cell r="D2188" t="str">
            <v>UN</v>
          </cell>
          <cell r="E2188">
            <v>234622</v>
          </cell>
        </row>
        <row r="2189">
          <cell r="B2189">
            <v>6450</v>
          </cell>
          <cell r="C2189" t="str">
            <v>LAVADO DE ANDENES. INCLUYE ALQUILER DE HIDROLAVADORA 1300W. INCLUYE IMPLEMENTOS DE ASEO (DETERGENTE INDUSTRIAL), TRANSPORTE, AGUA, COMBUSTIBLE Y MANO DE OBRA.</v>
          </cell>
          <cell r="D2189" t="str">
            <v>M2</v>
          </cell>
          <cell r="E2189">
            <v>4348</v>
          </cell>
        </row>
        <row r="2190">
          <cell r="B2190">
            <v>6451</v>
          </cell>
          <cell r="C2190" t="str">
            <v>LIMPIEZA DE CÁRCAMOS (Incluye Cargue, Retiro y Disposición Final de Sobrantes, con el 60% de colmatación)</v>
          </cell>
          <cell r="D2190" t="str">
            <v>M</v>
          </cell>
          <cell r="E2190">
            <v>9301</v>
          </cell>
        </row>
        <row r="2191">
          <cell r="B2191">
            <v>6452</v>
          </cell>
          <cell r="C2191" t="str">
            <v>MANTENIMIENTO RUTINARIO PARA CICLORUTAS INCLUYE, BARRIDO, RETIRO MANUAL DE CAPA VEGETAL. RETIRO Y TRANSPORTE Y DISPOSICIÓN FINAL DE ESCOMBROS A 21 KM.</v>
          </cell>
          <cell r="D2191" t="str">
            <v>M2</v>
          </cell>
          <cell r="E2191">
            <v>2640</v>
          </cell>
        </row>
        <row r="2192">
          <cell r="B2192">
            <v>6453</v>
          </cell>
          <cell r="C2192" t="str">
            <v>CELDA DE DISTRIBUCIÓN CON TRANSFORMADOR SECO TRIFÁSICO DE 30 KVA, 440V -208/120 V. EQUIPADA CON INTERRUPTORES Y CABLEADO INTERNO (Incluye suministro e instalación) La toma principal del cambiador de derivaciones será de 11400 o 13200 V. La tensión nominal secundaria a plena carga, con un factor de potencia de 0,9 en atraso serán las siguientes: 208/120 V, 480 / 277 V, según requerimiento.</v>
          </cell>
          <cell r="D2192" t="str">
            <v>UN</v>
          </cell>
          <cell r="E2192">
            <v>4176900</v>
          </cell>
        </row>
        <row r="2193">
          <cell r="B2193">
            <v>6456</v>
          </cell>
          <cell r="C2193" t="str">
            <v>ATENCIÓN DE EMERGENCIAS CON MEZCLA ASFÁLTICA EN CALIENTE TIPO DENSO MD12 ASFALTO CONVENCIONAL 80-100  (cemento asfáltico 80-100) (Suministro, Extendido, Nivelación y Compactación con Vibrocompactador y compactador de llantas) Jornada NOCTURNA para actividades inmediatas de jornada tapahuecos.</v>
          </cell>
          <cell r="D2193" t="str">
            <v>M3</v>
          </cell>
          <cell r="E2193">
            <v>665214</v>
          </cell>
        </row>
        <row r="2194">
          <cell r="B2194">
            <v>6457</v>
          </cell>
          <cell r="C2194" t="str">
            <v>CUADRILLA (OFICIAL + 6 AYUDANTES) HORARIO NOCTURNO INCLUYE PRESTACIONES</v>
          </cell>
          <cell r="D2194" t="str">
            <v>HR</v>
          </cell>
          <cell r="E2194">
            <v>57044</v>
          </cell>
        </row>
        <row r="2195">
          <cell r="B2195">
            <v>6458</v>
          </cell>
          <cell r="C2195" t="str">
            <v>PINTURA EN PLASTICO EN FRIO METILMETACRILATO DE a=10 cm PARA LÍNEAS DE DEMARCACIÓN, CON MICROESFERAS Y ESPESOR SECO SEGÚN NORMA NTC 4744.  SUMINISTRO Y APLICACIÓN.</v>
          </cell>
          <cell r="D2195" t="str">
            <v>M</v>
          </cell>
          <cell r="E2195">
            <v>7097</v>
          </cell>
        </row>
        <row r="2196">
          <cell r="B2196">
            <v>6459</v>
          </cell>
          <cell r="C2196" t="str">
            <v>INSTALACIÓN ADOQUÍN DE ARCILLA TR. LIVIANO 20x10x6cm (Incluye Base 4cm mortero 2000 y Arena de Sello)</v>
          </cell>
          <cell r="D2196" t="str">
            <v>M2</v>
          </cell>
          <cell r="E2196">
            <v>32219</v>
          </cell>
        </row>
        <row r="2197">
          <cell r="B2197">
            <v>6460</v>
          </cell>
          <cell r="C2197" t="str">
            <v>MANTENIMIENTO CORRECTIVO ESPACIO PÚBLICO EN ADOQUÍN DE ARCILLA LIVIANO SOBRE MORTERO. INCL. RETIRO Y LIMPIEZA ADOQUÍN E INSTALAR EL MISMO. NO INCLUYE REDES.</v>
          </cell>
          <cell r="D2197" t="str">
            <v>M2</v>
          </cell>
          <cell r="E2197">
            <v>38257</v>
          </cell>
        </row>
        <row r="2198">
          <cell r="B2198">
            <v>6461</v>
          </cell>
          <cell r="C2198" t="str">
            <v>CANALIZACIÓN DE TRÁFICO CON SEÑALIZADORES TUBULARES COLOMBINA PLÁSTICA Y TRIPLE CINTA DE SEÑALIZACIÓN (INCLUYE ALQUILER DE SEÑALIZADORES TUBULARES). (NO INCLUYE INSTALACIÓN, MANTENIMIENTO Y DESINSTALACIÓN)</v>
          </cell>
          <cell r="D2198" t="str">
            <v>UN/MES</v>
          </cell>
          <cell r="E2198">
            <v>4273</v>
          </cell>
        </row>
        <row r="2199">
          <cell r="B2199">
            <v>6462</v>
          </cell>
          <cell r="C2199" t="str">
            <v>TRANSPORTE DE ESCOMBROS EN SITIO AUTORIZADO (distancia de transporte 1 Km). A distancia mayor del acarreo libre (90 m) en sitio autorizado por la entidad Ambiental competente.</v>
          </cell>
          <cell r="D2199" t="str">
            <v>M3-KM</v>
          </cell>
          <cell r="E2199">
            <v>950</v>
          </cell>
        </row>
        <row r="2200">
          <cell r="B2200">
            <v>6463</v>
          </cell>
          <cell r="C2200" t="str">
            <v>DERECHO DE BOTADERO DE ESCOMBROS EN SITIO AUTORIZADO POR M3 en sitio autorizado por la entidad Ambiental competente.</v>
          </cell>
          <cell r="D2200" t="str">
            <v>M3-KM</v>
          </cell>
          <cell r="E2200">
            <v>4133</v>
          </cell>
        </row>
        <row r="2201">
          <cell r="B2201">
            <v>6464</v>
          </cell>
          <cell r="C2201" t="str">
            <v>RIEGO DE LIGA CON EMULSIÓN ASFALTICA CRR-1 (Suministro, Barrido Superficie y Riego) HORARIO NOCTURNO</v>
          </cell>
          <cell r="D2201" t="str">
            <v>M2</v>
          </cell>
          <cell r="E2201">
            <v>1415</v>
          </cell>
        </row>
        <row r="2202">
          <cell r="B2202">
            <v>6465</v>
          </cell>
          <cell r="C2202" t="str">
            <v>CUADRILLA (2 AYUDANTES) HORARIO NOCTURNO</v>
          </cell>
          <cell r="D2202" t="str">
            <v>HR</v>
          </cell>
          <cell r="E2202">
            <v>15335</v>
          </cell>
        </row>
        <row r="2203">
          <cell r="B2203">
            <v>6466</v>
          </cell>
          <cell r="C2203" t="str">
            <v>ATENCIÓN DE EMERGENCIAS CON MEZCLA ASFÁLTICA EN CALIENTE TIPO DENSO MD12 ASFALTO CONVENCIONAL 80-100 CON EMULSIÓN CRR-1 (cemento asfáltico 80-100) (Suministro, Extendido, Nivelación y Compactación con Vibrocompactador y compactador de llantas) Jornada NOCTURNA Incluye cargue y disposición de escombros.</v>
          </cell>
          <cell r="D2203" t="str">
            <v>M3</v>
          </cell>
          <cell r="E2203">
            <v>666449</v>
          </cell>
        </row>
        <row r="2204">
          <cell r="B2204">
            <v>6467</v>
          </cell>
          <cell r="C2204" t="str">
            <v>PINTURA EN PLASTICO EN FRIO METILMETACRILATO DE a=10 cm PARA LÍNEAS DE DEMARCACIÓN, SIN MICROESFERAS Y ESPESOR SECO SEGÚN NORMA NTC 4744.  SUMINISTRO Y APLICACIÓN.</v>
          </cell>
          <cell r="D2204" t="str">
            <v>M</v>
          </cell>
          <cell r="E2204">
            <v>6930</v>
          </cell>
        </row>
        <row r="2205">
          <cell r="B2205">
            <v>6468</v>
          </cell>
          <cell r="C2205" t="str">
            <v>NEOPRENO PARA PLATAFORMA DE DESCENSO PASAJEROS EN VAGONES. SUMINISTRO E INSTALACIÓN. INCLUYE EQUIPO MENOR, TALADRO, PULIDORA, PLANTA ELÉCTRICA, PEGANTE PEGACAUCHO, TORNILLOS AUTOPERFORANTES</v>
          </cell>
          <cell r="D2205" t="str">
            <v>M</v>
          </cell>
          <cell r="E2205">
            <v>96078</v>
          </cell>
        </row>
        <row r="2206">
          <cell r="B2206">
            <v>6469</v>
          </cell>
          <cell r="C2206" t="str">
            <v>CUBIERTA LISA TIPO SÁNDWICH DECK, SUM E INST, EN ALUZINC CAL 26 PINTADA AL HORNO POR LAS DOS CARAS COLOR A ELEGIR CON AISLAMIENTO ACÚSTICO EN FIBRA DE VIDRIO DE 30 mm. CON SUS CLIPS DE FIJACIÓN INCL REMATES DE CUBIERTA</v>
          </cell>
          <cell r="D2206" t="str">
            <v>M2</v>
          </cell>
          <cell r="E2206">
            <v>114802</v>
          </cell>
        </row>
        <row r="2207">
          <cell r="B2207">
            <v>6470</v>
          </cell>
          <cell r="C2207" t="str">
            <v>CERRAMIENTO PARA ESTACIONES DE TRANSMILENIO. Incluye viga en concreto premezclado 3000 psi, sección de 0.25 m x 0.25 m, formaleta, acero de refuerzo, tubería en acero galvanizado y pintado, transporte y mano de obra.</v>
          </cell>
          <cell r="D2207" t="str">
            <v>M</v>
          </cell>
          <cell r="E2207">
            <v>704944</v>
          </cell>
        </row>
        <row r="2208">
          <cell r="B2208">
            <v>6471</v>
          </cell>
          <cell r="C2208" t="str">
            <v>SUBBASE GRANULAR PEATONAL SBG_PEA. Suministro, extendido manual, nivelación, humedecimiento y compactación con vibrocompactador benitín de 1 tonelada incluye operario y combustible.</v>
          </cell>
          <cell r="D2208" t="str">
            <v>M3</v>
          </cell>
          <cell r="E2208">
            <v>115856</v>
          </cell>
        </row>
        <row r="2209">
          <cell r="B2209">
            <v>6472</v>
          </cell>
          <cell r="C2209" t="str">
            <v>MEZCLA ASFÁLTICA EN CALIENTE TIPO DENSO MD20 ASFALTO CONVENCIONAL 80-100 (Suministro, Extendido y Nivelación Manual y Compactación con vibrocompactador benitín de 1 tonelada y compactador de llantas incluyen operario y combustible.</v>
          </cell>
          <cell r="D2209" t="str">
            <v>M3</v>
          </cell>
          <cell r="E2209">
            <v>727328</v>
          </cell>
        </row>
        <row r="2210">
          <cell r="B2210">
            <v>6473</v>
          </cell>
          <cell r="C2210" t="str">
            <v>ESTABILIZACIÓN DE SUBRASANTE CON RAJÓN, INCLUYE EQUIPO DE COMPACTACIÓN (Suministro, extendido a mano, nivelación y compactación con retroexcavadora sobre oruga y benitín de 1 tonelada incluyen operario y combustible.</v>
          </cell>
          <cell r="D2210" t="str">
            <v>M3</v>
          </cell>
          <cell r="E2210">
            <v>89244</v>
          </cell>
        </row>
        <row r="2211">
          <cell r="B2211">
            <v>6474</v>
          </cell>
          <cell r="C2211" t="str">
            <v>SUBBASE GRANULAR CLASE C (SBG_C) (Suministro, Extendido Manual, Nivelación, Humedecimiento y Compactación con vibrocompactador benitín de 1 tonelada).</v>
          </cell>
          <cell r="D2211" t="str">
            <v>M3</v>
          </cell>
          <cell r="E2211">
            <v>119232</v>
          </cell>
        </row>
        <row r="2212">
          <cell r="B2212">
            <v>6475</v>
          </cell>
          <cell r="C2212" t="str">
            <v>BORDILLO PREFABRICADO A80 (Suministro e Instalación. Incluye 3cm Mortero de pega 2000 PSI y Nivelación del terreno con relleno en material seleccionado proveniente de excavación).</v>
          </cell>
          <cell r="D2212" t="str">
            <v>M</v>
          </cell>
          <cell r="E2212">
            <v>46002</v>
          </cell>
        </row>
        <row r="2213">
          <cell r="B2213">
            <v>6476</v>
          </cell>
          <cell r="C2213" t="str">
            <v>FRESADO Y REPOSICIÓN DE PAVIMENTO FLEXIBLE e=0.18 m (Incluye cargue)</v>
          </cell>
          <cell r="D2213" t="str">
            <v>M2</v>
          </cell>
          <cell r="E2213">
            <v>108054</v>
          </cell>
        </row>
        <row r="2214">
          <cell r="B2214">
            <v>6477</v>
          </cell>
          <cell r="C2214" t="str">
            <v>MURO DE CONTENCIÓN EN CONCRETO 4000 PSI (Premezclado. Incluye suministro, formaleteo y colocación. No incluye refuerzo, curado, andamio, cerchas, parales).</v>
          </cell>
          <cell r="D2214" t="str">
            <v>M3</v>
          </cell>
          <cell r="E2214">
            <v>758401</v>
          </cell>
        </row>
        <row r="2215">
          <cell r="B2215">
            <v>6478</v>
          </cell>
          <cell r="C2215" t="str">
            <v>BARANDAS EN ACERO INOXIDABLE VAGÓN. SUMINISTRO E INSTALACIÓN. (BARANDAS INTERNAS EN ACERO INOXIDABLE H= 0.80m L= 4.0 m).</v>
          </cell>
          <cell r="D2215" t="str">
            <v>M</v>
          </cell>
          <cell r="E2215">
            <v>507015</v>
          </cell>
        </row>
        <row r="2216">
          <cell r="B2216">
            <v>6480</v>
          </cell>
          <cell r="C2216" t="str">
            <v>ESTABILIZACIÓN DE SUBRASANTE CON RECICLADO DE CONCRETO (Incluye demolición, extendido, nivelación y compactación con retroexcavadora sobre oruga y compactador)</v>
          </cell>
          <cell r="D2216" t="str">
            <v>M3</v>
          </cell>
          <cell r="E2216">
            <v>15258</v>
          </cell>
        </row>
        <row r="2217">
          <cell r="B2217">
            <v>6481</v>
          </cell>
          <cell r="C2217" t="str">
            <v>ESTABILIZACIÓN DE SUBRASANTE A MANO CON MATERIAL DE CONCRETO HIDRÁULICO RECICLADO</v>
          </cell>
          <cell r="D2217" t="str">
            <v>M3</v>
          </cell>
          <cell r="E2217">
            <v>30826</v>
          </cell>
        </row>
        <row r="2218">
          <cell r="B2218">
            <v>6482</v>
          </cell>
          <cell r="C2218" t="str">
            <v>TARIFA HORA DE RECOLECCIÓN DE MATERIAL DE MUESTREO EN PLANTA U OBRA. (Incluye transporte, laboratorista, inspector, 2 ayudantes, herramienta menor y lonas).</v>
          </cell>
          <cell r="D2218" t="str">
            <v>HR</v>
          </cell>
          <cell r="E2218">
            <v>67037</v>
          </cell>
        </row>
        <row r="2219">
          <cell r="B2219">
            <v>6483</v>
          </cell>
          <cell r="C2219" t="str">
            <v>ALQUILER SEÑAL TEMPORAL MÓVIL ECONÓMICA CON TRÍPODE TIPO SIO - SP - SI - SR DE (100 x 50 cm - 75 x 75 cm - 80 x 50 cm) LÁMINA GALVANIZADA CAL. 20 Y ÁNGULOS DE 1" x 1/2" x 1/8"</v>
          </cell>
          <cell r="D2219" t="str">
            <v>UN/MES</v>
          </cell>
          <cell r="E2219">
            <v>20746</v>
          </cell>
        </row>
        <row r="2220">
          <cell r="B2220">
            <v>6484</v>
          </cell>
          <cell r="C2220" t="str">
            <v>ALQUILER DE BARRICADA METÁLICA CON SEÑAL DE DESVÍO O VÍA CERRADA DE 2.40 m CINTA GRADO INGENIERÍA SHEETING</v>
          </cell>
          <cell r="D2220" t="str">
            <v>UN/MES</v>
          </cell>
          <cell r="E2220">
            <v>92682</v>
          </cell>
        </row>
        <row r="2221">
          <cell r="B2221">
            <v>6485</v>
          </cell>
          <cell r="C2221" t="str">
            <v>UNIÓN DE REPARACIÓN EXOTÉRMICA PARA UNIÓN DE CONDUCTORES. CAPACIDAD DE 90 Gr. Incluye molde, carga, chispero, pinzas y demás accesorios de instalación. SUMINISTRO E INSTALACIÓN.</v>
          </cell>
          <cell r="D2221" t="str">
            <v>UN</v>
          </cell>
          <cell r="E2221">
            <v>46629</v>
          </cell>
        </row>
        <row r="2222">
          <cell r="B2222">
            <v>6486</v>
          </cell>
          <cell r="C2222" t="str">
            <v>ESTABILIZACIÓN CON RCD. Incluye trasiego interno, nivelación y compactación.</v>
          </cell>
          <cell r="D2222" t="str">
            <v>M3</v>
          </cell>
          <cell r="E2222">
            <v>37645</v>
          </cell>
        </row>
        <row r="2223">
          <cell r="B2223">
            <v>6487</v>
          </cell>
          <cell r="C2223" t="str">
            <v>LUMINARIA DE EMERGENCIA LED R2 2.4 W  UNV P24255, 120 V c.a. 180 Lm. Incluye accesorios de fijación e instalación. No incluye tubería ni cableado.</v>
          </cell>
          <cell r="D2223" t="str">
            <v>UN</v>
          </cell>
          <cell r="E2223">
            <v>66551</v>
          </cell>
        </row>
        <row r="2224">
          <cell r="B2224">
            <v>6488</v>
          </cell>
          <cell r="C2224" t="str">
            <v>CABLE DE COBRE DESNUDO CALIBRE No.2/0 AWG. ENTERRADO EN TERRENO NATURAL. Incluye excavación, rellenos y compactación del piso. SUMINISTRO E INSTALACIÓN. Distancia de transporte 28 Km.</v>
          </cell>
          <cell r="D2224" t="str">
            <v>M</v>
          </cell>
          <cell r="E2224">
            <v>146699</v>
          </cell>
        </row>
        <row r="2225">
          <cell r="B2225">
            <v>6489</v>
          </cell>
          <cell r="C2225" t="str">
            <v>CANALIZACIÓN SUBTERRÁNEA CON 2 DUCTOS DE 2" PVC DB, ACCESORIOS, EXCAVACIÓN, RELLENOS Y ACABADO  (Incluye suministro e instalación)</v>
          </cell>
          <cell r="D2225" t="str">
            <v>M</v>
          </cell>
          <cell r="E2225">
            <v>60056</v>
          </cell>
        </row>
        <row r="2226">
          <cell r="B2226">
            <v>6490</v>
          </cell>
          <cell r="C2226" t="str">
            <v>TABLERO TRANSFERENCIA AUTOMÁTICA 400A, CON DOBLE TIRO DE 400AC1/400AC3 PARA 152KVA/122KW A 220 VAC 3F. Incluye control de transferencia, llaves de control automático-manual. Incluye suministro e instalación</v>
          </cell>
          <cell r="D2226" t="str">
            <v>UN</v>
          </cell>
          <cell r="E2226">
            <v>5399774</v>
          </cell>
        </row>
        <row r="2227">
          <cell r="B2227">
            <v>6491</v>
          </cell>
          <cell r="C2227" t="str">
            <v>LUMINARIA LED EATON, SERIE FMLED 11WR40R 14W, 120 V c.a. TEMP COLOR 4000 K, FLUJO LUMINOSO, ACCESORIOS DE FIJACIÓN E INSTALACIÓN. No incluye tubería ni cableado.</v>
          </cell>
          <cell r="D2227" t="str">
            <v>UN</v>
          </cell>
          <cell r="E2227">
            <v>108528</v>
          </cell>
        </row>
        <row r="2228">
          <cell r="B2228">
            <v>6492</v>
          </cell>
          <cell r="C2228" t="str">
            <v xml:space="preserve">LUMINARIA LED EATON VENTUS E04 LED 97W, 120-240 V c.a., FLUJO LUMINOSO 12348 Lm, IP 66. INCLUYE ACCESORIOS DE FIJACIÓN E INSTALACIÓN. No incluye tubería ni cableado. </v>
          </cell>
          <cell r="D2228" t="str">
            <v>UN</v>
          </cell>
          <cell r="E2228">
            <v>3101976</v>
          </cell>
        </row>
        <row r="2229">
          <cell r="B2229">
            <v>6493</v>
          </cell>
          <cell r="C2229" t="str">
            <v>LUMINARIA LED EATON, 62W, SKU 4WSI-ID2-65-SPS-UNV-L840-CD1-U, 120 V c.a., TEMP COLOR 4000 K, FLUJO LUMINOSO DE 6591 Lm, IP 66. No incluye tubería ni cableado.</v>
          </cell>
          <cell r="D2229" t="str">
            <v>UN</v>
          </cell>
          <cell r="E2229">
            <v>716565</v>
          </cell>
        </row>
        <row r="2230">
          <cell r="B2230">
            <v>6494</v>
          </cell>
          <cell r="C2230" t="str">
            <v>ACOMETIDA DE TRANSFORMADOR A TABLERO DE MEDIA EN CONDUCTORES DE ALUMINIO, 4 CABLES No. 4/0 AWG, AISLADOS HFFR PARA 600 V c.a.. Incluye conductores, conexiones, accesorios de montaje, elementos de conexión y de marcación. INCLUYE SUMINISTRO E INSTALACIÓN.</v>
          </cell>
          <cell r="D2230" t="str">
            <v>M</v>
          </cell>
          <cell r="E2230">
            <v>141461</v>
          </cell>
        </row>
        <row r="2231">
          <cell r="B2231">
            <v>6495</v>
          </cell>
          <cell r="C2231" t="str">
            <v>ACOMETIDA DE GENERADOR DE EMERGENCIA A TRANSFERENCIA EN CONDUCTORES DE ALUMINIO, 4 CABLES No. 4/0 AWG, AISLADOS HFFR PARA 600 V c.a. Incluye conductores, conexiones, accesorios de montaje, elementos de conexión y de marcación. INCLUYE SUMINISTRO E INSTALACIÓN.</v>
          </cell>
          <cell r="D2231" t="str">
            <v>M</v>
          </cell>
          <cell r="E2231">
            <v>141461</v>
          </cell>
        </row>
        <row r="2232">
          <cell r="B2232">
            <v>6496</v>
          </cell>
          <cell r="C2232" t="str">
            <v>PLANTA ELÉCTRICA DIÉSEL 120 KW a 2600 m.s.n.m.</v>
          </cell>
          <cell r="D2232" t="str">
            <v>UN</v>
          </cell>
          <cell r="E2232">
            <v>51815820</v>
          </cell>
        </row>
        <row r="2233">
          <cell r="B2233">
            <v>6497</v>
          </cell>
          <cell r="C2233" t="str">
            <v>COSTO CERTIFICADO RETIE</v>
          </cell>
          <cell r="D2233" t="str">
            <v>GLB</v>
          </cell>
          <cell r="E2233">
            <v>3695055</v>
          </cell>
        </row>
        <row r="2234">
          <cell r="B2234">
            <v>6498</v>
          </cell>
          <cell r="C2234" t="str">
            <v>INTERRUPTOR SENCILLO PARA CONTROL DE ALUMBRADO INTERIOR. Incluye accesorios de instalación.</v>
          </cell>
          <cell r="D2234" t="str">
            <v>UN</v>
          </cell>
          <cell r="E2234">
            <v>8190</v>
          </cell>
        </row>
        <row r="2235">
          <cell r="B2235">
            <v>6499</v>
          </cell>
          <cell r="C2235" t="str">
            <v xml:space="preserve">CABLE HFFR No.10 EN COBRE. SUMINISTRO E INSTALACIÓN. Incluye accesorios de instalación. </v>
          </cell>
          <cell r="D2235" t="str">
            <v>M</v>
          </cell>
          <cell r="E2235">
            <v>8989</v>
          </cell>
        </row>
        <row r="2236">
          <cell r="B2236">
            <v>6500</v>
          </cell>
          <cell r="C2236" t="str">
            <v>SALIDA PARA SONIDO EMT 3/4" (POR EL TECHO DE LA PLATAFORMA). Incluye suministro e instalación</v>
          </cell>
          <cell r="D2236" t="str">
            <v>UN</v>
          </cell>
          <cell r="E2236">
            <v>112236</v>
          </cell>
        </row>
        <row r="2237">
          <cell r="B2237">
            <v>6501</v>
          </cell>
          <cell r="C2237" t="str">
            <v>SALIDA EMT 3/4" PARA CCTV POR EL TECHO EN TAQUILLA. Incluye suministro e instalación</v>
          </cell>
          <cell r="D2237" t="str">
            <v>UN</v>
          </cell>
          <cell r="E2237">
            <v>151266</v>
          </cell>
        </row>
        <row r="2238">
          <cell r="B2238">
            <v>6505</v>
          </cell>
          <cell r="C2238" t="str">
            <v>ROCERÍA EN LOTE PORTAL</v>
          </cell>
          <cell r="D2238" t="str">
            <v>M2</v>
          </cell>
          <cell r="E2238">
            <v>1346</v>
          </cell>
        </row>
        <row r="2239">
          <cell r="B2239">
            <v>6506</v>
          </cell>
          <cell r="C2239" t="str">
            <v xml:space="preserve">BAJANTE EN LÁMINA GALVANIZADA CAL. 22 INSPECCIONABLE, INCLUYE PINTURA EPÓXICA GRIS HUMO PARA RECUBRIMIENTO. </v>
          </cell>
          <cell r="D2239" t="str">
            <v>M</v>
          </cell>
          <cell r="E2239">
            <v>116828</v>
          </cell>
        </row>
        <row r="2240">
          <cell r="B2240">
            <v>6507</v>
          </cell>
          <cell r="C2240" t="str">
            <v>VIDRIO TEMPLADO DE 10 mm CON PERFORACIONES DE 1" PARA PERMITIR INTERLOCUCIÓN</v>
          </cell>
          <cell r="D2240" t="str">
            <v>M2</v>
          </cell>
          <cell r="E2240">
            <v>166301</v>
          </cell>
        </row>
        <row r="2241">
          <cell r="B2241">
            <v>6508</v>
          </cell>
          <cell r="C2241" t="str">
            <v>ACERO ESTRUCTURAL A572 GRADO 50 INCLUYE TRANSPORTE Y MONTAJE CON ANTICORROSIVO Y PINTURA EPOXICA. (Incluye materiales, insumos, herramientas y equipos, andamios, mano de obra calificada y todo lo necesario para desarrollar la obra.</v>
          </cell>
          <cell r="D2241" t="str">
            <v>KG</v>
          </cell>
          <cell r="E2241">
            <v>8505</v>
          </cell>
        </row>
        <row r="2242">
          <cell r="B2242">
            <v>6509</v>
          </cell>
          <cell r="C2242" t="str">
            <v>LOSA DE CONCRETO MR45 (Suministro, Formaleteado, Colocación, Curado, Juntas y Acabado. Incluye Canastilla Pasa Junta.</v>
          </cell>
          <cell r="D2242" t="str">
            <v>M3</v>
          </cell>
          <cell r="E2242">
            <v>631347</v>
          </cell>
        </row>
        <row r="2243">
          <cell r="B2243">
            <v>6510</v>
          </cell>
          <cell r="C2243" t="str">
            <v>CONSTRUCCIÓN DE BORDILLO EN CONCRETO FUNDIDO IN SITU. Incluye la preparación de la superficie de apoyo</v>
          </cell>
          <cell r="D2243" t="str">
            <v>M</v>
          </cell>
          <cell r="E2243">
            <v>35980</v>
          </cell>
        </row>
        <row r="2244">
          <cell r="B2244">
            <v>6511</v>
          </cell>
          <cell r="C2244" t="str">
            <v>PISO EN MÁRMOL ROYAL VETA.  Espesor mínimo de 15 mm</v>
          </cell>
          <cell r="D2244" t="str">
            <v>M2</v>
          </cell>
          <cell r="E2244">
            <v>266064</v>
          </cell>
        </row>
        <row r="2245">
          <cell r="B2245">
            <v>6512</v>
          </cell>
          <cell r="C2245" t="str">
            <v>CONCRETO 3000 PSI PARA ANCLAJE TUBERÍA (Premezclado. Incluye Suministro, Formaleteo y Colocación)</v>
          </cell>
          <cell r="D2245" t="str">
            <v>M3</v>
          </cell>
          <cell r="E2245">
            <v>410380</v>
          </cell>
        </row>
        <row r="2246">
          <cell r="B2246">
            <v>6513</v>
          </cell>
          <cell r="C2246" t="str">
            <v>PARALES EN TUBO EN ACERO INOXIDABLE DE 2 1/2" CALIBRE 16 CON HERRAJES PARA SOPORTE DE VIDRIO TEMPLADO</v>
          </cell>
          <cell r="D2246" t="str">
            <v>M</v>
          </cell>
          <cell r="E2246">
            <v>112915</v>
          </cell>
        </row>
        <row r="2247">
          <cell r="B2247">
            <v>6514</v>
          </cell>
          <cell r="C2247" t="str">
            <v>TEE PVC SOLDAR DE 1/2". Suministro en instalación</v>
          </cell>
          <cell r="D2247" t="str">
            <v>UN</v>
          </cell>
          <cell r="E2247">
            <v>3094</v>
          </cell>
        </row>
        <row r="2248">
          <cell r="B2248">
            <v>6515</v>
          </cell>
          <cell r="C2248" t="str">
            <v>TUBERÍA CONDUIT PVC D=3/4" (Incluye Suministro e Instalación)</v>
          </cell>
          <cell r="D2248" t="str">
            <v>M</v>
          </cell>
          <cell r="E2248">
            <v>5757</v>
          </cell>
        </row>
        <row r="2249">
          <cell r="B2249">
            <v>6516</v>
          </cell>
          <cell r="C2249" t="str">
            <v>PERNOS DE ANCLAJE F1554, GRADO 55. Incluye materiales, insumos, herramientas y equipos, andamios, mano de obra calificada y todo lo necesario para desarrollar la obra.</v>
          </cell>
          <cell r="D2249" t="str">
            <v>KG</v>
          </cell>
          <cell r="E2249">
            <v>12543</v>
          </cell>
        </row>
        <row r="2250">
          <cell r="B2250">
            <v>6517</v>
          </cell>
          <cell r="C2250" t="str">
            <v>TORNILLOS A 325. Incluye materiales, insumos, herramientas y equipos, andamios, mano de obra calificada y todo lo necesario para desarrollar la obra.</v>
          </cell>
          <cell r="D2250" t="str">
            <v>KG</v>
          </cell>
          <cell r="E2250">
            <v>10612</v>
          </cell>
        </row>
        <row r="2251">
          <cell r="B2251">
            <v>6518</v>
          </cell>
          <cell r="C2251" t="str">
            <v xml:space="preserve">CODO 90° CXE PVC SANITARIA D=6" (Incluye suministro e instalación). </v>
          </cell>
          <cell r="D2251" t="str">
            <v>UN</v>
          </cell>
          <cell r="E2251">
            <v>88801</v>
          </cell>
        </row>
        <row r="2252">
          <cell r="B2252">
            <v>6519</v>
          </cell>
          <cell r="C2252" t="str">
            <v>TRAGANTE CÚPULA DE 6" x 4" EN ALUMINIO. Incluye suministro e instalación</v>
          </cell>
          <cell r="D2252" t="str">
            <v>UN</v>
          </cell>
          <cell r="E2252">
            <v>27798</v>
          </cell>
        </row>
        <row r="2253">
          <cell r="B2253">
            <v>6520</v>
          </cell>
          <cell r="C2253" t="str">
            <v>TRAGANTE CÚPULA DE 5" x 4" PLÁSTICA. Incluye suministro e instalación</v>
          </cell>
          <cell r="D2253" t="str">
            <v>UN</v>
          </cell>
          <cell r="E2253">
            <v>6610</v>
          </cell>
        </row>
        <row r="2254">
          <cell r="B2254">
            <v>6521</v>
          </cell>
          <cell r="C2254" t="str">
            <v>TEE REDUCIDA PVC SOLDAR DE 1" x 1/2". Suministro e instalación</v>
          </cell>
          <cell r="D2254" t="str">
            <v>UN</v>
          </cell>
          <cell r="E2254">
            <v>4606</v>
          </cell>
        </row>
        <row r="2255">
          <cell r="B2255">
            <v>6522</v>
          </cell>
          <cell r="C2255" t="str">
            <v>MEDIDOR DE ACUEDUCTO D= 3/4" NPT, 20mm DN</v>
          </cell>
          <cell r="D2255" t="str">
            <v>UN</v>
          </cell>
          <cell r="E2255">
            <v>196182</v>
          </cell>
        </row>
        <row r="2256">
          <cell r="B2256">
            <v>6523</v>
          </cell>
          <cell r="C2256" t="str">
            <v>UNIÓN UNIVERSAL D=1" (Suministro e Instalación)</v>
          </cell>
          <cell r="D2256" t="str">
            <v>UN</v>
          </cell>
          <cell r="E2256">
            <v>8701</v>
          </cell>
        </row>
        <row r="2257">
          <cell r="B2257">
            <v>6524</v>
          </cell>
          <cell r="C2257" t="str">
            <v>VÁLVULA CHEQUE 1" (Incluye suministro e instalación)</v>
          </cell>
          <cell r="D2257" t="str">
            <v>UN</v>
          </cell>
          <cell r="E2257">
            <v>67299</v>
          </cell>
        </row>
        <row r="2258">
          <cell r="B2258">
            <v>6525</v>
          </cell>
          <cell r="C2258" t="str">
            <v>FLOTADOR MECÁNICO 1" (Incluye suministro e instalación)</v>
          </cell>
          <cell r="D2258" t="str">
            <v>UN</v>
          </cell>
          <cell r="E2258">
            <v>91454</v>
          </cell>
        </row>
        <row r="2259">
          <cell r="B2259">
            <v>6526</v>
          </cell>
          <cell r="C2259" t="str">
            <v>CELDA TRIPLEX CON FUSIBLES 17.5 kV AISLADA EN AIRE. Incluye suministro e instalación</v>
          </cell>
          <cell r="D2259" t="str">
            <v>UN</v>
          </cell>
          <cell r="E2259">
            <v>31655966</v>
          </cell>
        </row>
        <row r="2260">
          <cell r="B2260">
            <v>6527</v>
          </cell>
          <cell r="C2260" t="str">
            <v>CAJA PARA 2 MEDIDORES DE ENERGÍA TRIFÁSICO 5 AMP. 208 V / 120 V, PARA OPERACIÓN CON CT Y PARA LA CUENTA DE LA ESTACIÓN. SUMINISTRO E INSTALACIÓN. Incluye medidor de energía trifásico 20-80 AMP, caja contador trifásico para 2 medidores</v>
          </cell>
          <cell r="D2260" t="str">
            <v>UN</v>
          </cell>
          <cell r="E2260">
            <v>390988</v>
          </cell>
        </row>
        <row r="2261">
          <cell r="B2261">
            <v>6528</v>
          </cell>
          <cell r="C2261" t="str">
            <v>ACOMETIDA DESDE TABLERO DE MEDIA A TABLERO DE TRANSFERENCIA EN CONDUCTORES DE ALUMINIO, 4 CABLES No. 4/0 AWG, AISLADOS HFFR PARA 600 V c.a. Incluye conductores, conexiones, accesorios de montaje, elementos de conexión y de marcación. INCLUYE SUMINISTRO E INSTALACIÓN.</v>
          </cell>
          <cell r="D2261" t="str">
            <v>M</v>
          </cell>
          <cell r="E2261">
            <v>142669</v>
          </cell>
        </row>
        <row r="2262">
          <cell r="B2262">
            <v>6529</v>
          </cell>
          <cell r="C2262" t="str">
            <v>ACOMETIDA DE TABLERO DE TRANSFERENCIA A TDP EN CONDUCTORES DE ALUMINIO, 4 CABLES No. 4/0 AWG, AISLADOS HFFR PARA 600 V c.a. Incluye conductores, conexiones, accesorios de montaje, elementos de conexión y de marcación. INCLUYE SUMINISTRO E INSTALACIÓN.</v>
          </cell>
          <cell r="D2262" t="str">
            <v>M</v>
          </cell>
          <cell r="E2262">
            <v>145237</v>
          </cell>
        </row>
        <row r="2263">
          <cell r="B2263">
            <v>6530</v>
          </cell>
          <cell r="C2263" t="str">
            <v>UPS 10 KV 208 / 120 V CON BATERÍAS. UPS TRIFÁSICA VT 10 kVA. Alto factor de potencia:1, Tecnología digital de control de corriente,aumentando la factibilidad en paralelo,pantalla LCD,sistema trifásico en entrada y salida,doble conversión en línea, control digital total con tres DSPs en rectificador IGBT, inversor, cargador. Incluye suministro e instalación</v>
          </cell>
          <cell r="D2263" t="str">
            <v>UN</v>
          </cell>
          <cell r="E2263">
            <v>15349321</v>
          </cell>
        </row>
        <row r="2264">
          <cell r="B2264">
            <v>6532</v>
          </cell>
          <cell r="C2264" t="str">
            <v>SALIDA PARA DATOS PCV 3/4" DESDE TORNIQUETE HASTA CAJA DE HALADO. Incluye Suministro e Instalación</v>
          </cell>
          <cell r="D2264" t="str">
            <v>UN</v>
          </cell>
          <cell r="E2264">
            <v>35858</v>
          </cell>
        </row>
        <row r="2265">
          <cell r="B2265">
            <v>6533</v>
          </cell>
          <cell r="C2265" t="str">
            <v>DEMARCACIÓN LÍNEA DE INICIO O FIN CARRIL, A= 0.20m l= 1.0m SEPARACIÓN= 1.0m E= 2.3mm EN PINTURA TERMOPLÁSTICA. Incluye suministro y aplicación con equipo. INCLUYE MICROESFERAS.</v>
          </cell>
          <cell r="D2265" t="str">
            <v>M2</v>
          </cell>
          <cell r="E2265">
            <v>21996</v>
          </cell>
        </row>
        <row r="2266">
          <cell r="B2266">
            <v>6534</v>
          </cell>
          <cell r="C2266" t="str">
            <v>ENCHAPE DE PISO PIZARRA MULTICOLOR DE 30cm x 60cm ESPESOR 7mm O MAYOR. Suministro e instalación</v>
          </cell>
          <cell r="D2266" t="str">
            <v>M2</v>
          </cell>
          <cell r="E2266">
            <v>104423</v>
          </cell>
        </row>
        <row r="2267">
          <cell r="B2267">
            <v>6535</v>
          </cell>
          <cell r="C2267" t="str">
            <v>PISO EN CONCRETO DE 3000 PSI FUNDIDO EN SITIO</v>
          </cell>
          <cell r="D2267" t="str">
            <v>M2</v>
          </cell>
          <cell r="E2267">
            <v>28405</v>
          </cell>
        </row>
        <row r="2268">
          <cell r="B2268">
            <v>6536</v>
          </cell>
          <cell r="C2268" t="str">
            <v>PAÑETE LISO O RÚSTICO 1:4 IMPERMEABILIZADO.  (Incluye suministro e instalación hecho en obra)</v>
          </cell>
          <cell r="D2268" t="str">
            <v>M2</v>
          </cell>
          <cell r="E2268">
            <v>29311</v>
          </cell>
        </row>
        <row r="2269">
          <cell r="B2269">
            <v>6537</v>
          </cell>
          <cell r="C2269" t="str">
            <v>TEMPLETES Y CONTRAVIENTOS A-706; Fy= 420 MPA. Incluye materiales, insumos, herramientas y equipos, andamios, mano de obra calificada y todo lo necesario para desarrollar la obra.</v>
          </cell>
          <cell r="D2269" t="str">
            <v>KG</v>
          </cell>
          <cell r="E2269">
            <v>9237</v>
          </cell>
        </row>
        <row r="2270">
          <cell r="B2270">
            <v>6538</v>
          </cell>
          <cell r="C2270" t="str">
            <v>TUBERIA PVC U.M. EXT CORRUGADO/INT LISO U.M. NORMA NTC 3722-1 D=14" (Incluye Suministro e Instalación)</v>
          </cell>
          <cell r="D2270" t="str">
            <v>M</v>
          </cell>
          <cell r="E2270">
            <v>136201</v>
          </cell>
        </row>
        <row r="2271">
          <cell r="B2271">
            <v>6539</v>
          </cell>
          <cell r="C2271" t="str">
            <v>EQUIPOS DE BOMBEO DEL SISTEMA CONTRA INCENDIO. PORTAL TUNAL</v>
          </cell>
          <cell r="D2271" t="str">
            <v>GLB</v>
          </cell>
          <cell r="E2271">
            <v>195937045</v>
          </cell>
        </row>
        <row r="2272">
          <cell r="B2272">
            <v>6540</v>
          </cell>
          <cell r="C2272" t="str">
            <v>TORNIQUETE SENCILLO PARA ALTO TRÁFICO. Suministro e instalación. (El torniquete sencillo incluye suministro, instalación y puesta a punto de equipos).</v>
          </cell>
          <cell r="D2272" t="str">
            <v>UN</v>
          </cell>
          <cell r="E2272">
            <v>9971345</v>
          </cell>
        </row>
        <row r="2273">
          <cell r="B2273">
            <v>6541</v>
          </cell>
          <cell r="C2273" t="str">
            <v>LAMINA ALFAJOR DE 6mm PARA TAPA DE TANQUE DE 1.0 m x 1.0 m.  SUMINISTRO E INSTALACIÓN.</v>
          </cell>
          <cell r="D2273" t="str">
            <v>M</v>
          </cell>
          <cell r="E2273">
            <v>139593</v>
          </cell>
        </row>
        <row r="2274">
          <cell r="B2274">
            <v>6542</v>
          </cell>
          <cell r="C2274" t="str">
            <v>CODO 45° CXE PVC SANITARIA D=6" (Incluye suministro e instalación).</v>
          </cell>
          <cell r="D2274" t="str">
            <v>UN</v>
          </cell>
          <cell r="E2274">
            <v>45454</v>
          </cell>
        </row>
        <row r="2275">
          <cell r="B2275">
            <v>6543</v>
          </cell>
          <cell r="C2275" t="str">
            <v>TUBERÍA PVC E.L. PARA SOLDAR DE 1/2" RDE 13.5 315 PSI. Suministro en instalación.</v>
          </cell>
          <cell r="D2275" t="str">
            <v>UN</v>
          </cell>
          <cell r="E2275">
            <v>5165</v>
          </cell>
        </row>
        <row r="2276">
          <cell r="B2276">
            <v>6544</v>
          </cell>
          <cell r="C2276" t="str">
            <v>CODO 90° PVC SOLDAR DE 1/2". Suministro en instalación.</v>
          </cell>
          <cell r="D2276" t="str">
            <v>UN</v>
          </cell>
          <cell r="E2276">
            <v>4668</v>
          </cell>
        </row>
        <row r="2277">
          <cell r="B2277">
            <v>6545</v>
          </cell>
          <cell r="C2277" t="str">
            <v>REGISTRO DE CORTE 1". Suministro en instalación.</v>
          </cell>
          <cell r="D2277" t="str">
            <v>UN</v>
          </cell>
          <cell r="E2277">
            <v>90168</v>
          </cell>
        </row>
        <row r="2278">
          <cell r="B2278">
            <v>6546</v>
          </cell>
          <cell r="C2278" t="str">
            <v>ACOMETIDA EN CONDUCTORES DE ALUMINIO, 9 CABLES No. 500 KCMIL, AISLADOS HFFR PARA 600 V c.a.. Incluye conductores, conexiones, accesorios de montaje, elementos de conexión y de marcación. Incluye Suministro en Instalación. Para Transformador a Tablero de media TSCI, para de media a TSCI y para Generador a TSCI. Actividad para el proyecto de Ampliación del Portal TUNAL.</v>
          </cell>
          <cell r="D2278" t="str">
            <v>M</v>
          </cell>
          <cell r="E2278">
            <v>395792</v>
          </cell>
        </row>
        <row r="2279">
          <cell r="B2279">
            <v>6547</v>
          </cell>
          <cell r="C2279" t="str">
            <v>CAJA DE INSPECCIÓN. Medidas internas de  0.3mx0.3m medidas externas 0.50m x 0.50m (H=0.50m). Incluye Suministro y Construcción. Incluye Marco y Tapa. No Inc. Base y Cañuela)</v>
          </cell>
          <cell r="D2279" t="str">
            <v>UN</v>
          </cell>
          <cell r="E2279">
            <v>194213</v>
          </cell>
        </row>
        <row r="2280">
          <cell r="B2280">
            <v>6548</v>
          </cell>
          <cell r="C2280" t="str">
            <v>SALIDA EMT 3/4" PARA CCTV E INFORMADORES POR EL TECHO DE LA PLATAFORMA. Incluye suministro e instalación</v>
          </cell>
          <cell r="D2280" t="str">
            <v>UN</v>
          </cell>
          <cell r="E2280">
            <v>118965</v>
          </cell>
        </row>
        <row r="2281">
          <cell r="B2281">
            <v>6549</v>
          </cell>
          <cell r="C2281" t="str">
            <v>SALIDA PARA DISPOSITIVOS DE DETECCIÓN, ALARMA Y SUPERVISIÓN DE EXTINCIÓN DE INCENDIOS HASTA EL PANEL DE CONTROL. Incluye tubería de 3/4" EMT, unión y curva conduit EMT de 3/4", equipos, accesorios de instalación y cableado FPLP.</v>
          </cell>
          <cell r="D2281" t="str">
            <v>UN</v>
          </cell>
          <cell r="E2281">
            <v>932421</v>
          </cell>
        </row>
        <row r="2282">
          <cell r="B2282">
            <v>6550</v>
          </cell>
          <cell r="C2282" t="str">
            <v>PANEL DE CONTROL DE ALARMA CONTRA INCENDIOS. Incluye Suministro e Instalación, tubería de 3/4" EMT, unión y curva conduit EMT de 3/4", equipos, accesorios de instalación y cableado FPLP.</v>
          </cell>
          <cell r="D2282" t="str">
            <v>UN</v>
          </cell>
          <cell r="E2282">
            <v>7964812</v>
          </cell>
        </row>
        <row r="2283">
          <cell r="B2283">
            <v>6551</v>
          </cell>
          <cell r="C2283" t="str">
            <v>PLACA DE CONCRETO DE 8cm DE ESPESOR CON LÁMINA EN METALDECK 2" CALIBRE 22. (Incluye transporte, herramienta menor, mano de obra)</v>
          </cell>
          <cell r="D2283" t="str">
            <v>M2</v>
          </cell>
          <cell r="E2283">
            <v>91452</v>
          </cell>
        </row>
        <row r="2284">
          <cell r="B2284">
            <v>6552</v>
          </cell>
          <cell r="C2284" t="str">
            <v>YEE PVC SANITARIA D=6" (Incluye suministro e instalación).</v>
          </cell>
          <cell r="D2284" t="str">
            <v>UN</v>
          </cell>
          <cell r="E2284">
            <v>732125</v>
          </cell>
        </row>
        <row r="2285">
          <cell r="B2285">
            <v>6553</v>
          </cell>
          <cell r="C2285" t="str">
            <v>TAPÓN DE PRUEBA PVC SANITARIA D=6" (Incluye suministro e instalación)</v>
          </cell>
          <cell r="D2285" t="str">
            <v>UN</v>
          </cell>
          <cell r="E2285">
            <v>19033</v>
          </cell>
        </row>
        <row r="2286">
          <cell r="B2286">
            <v>6554</v>
          </cell>
          <cell r="C2286" t="str">
            <v>SEÑALIZACIÓN PREVENTIVA PARA REDES DE SERVICIOS PÚBLICOS CON CINTA DE 500 MT X 4" PELIGRO CALIBRE 3.5  (Incluye suministro y colocación)</v>
          </cell>
          <cell r="D2286" t="str">
            <v>M</v>
          </cell>
          <cell r="E2286">
            <v>261</v>
          </cell>
        </row>
        <row r="2287">
          <cell r="B2287">
            <v>6555</v>
          </cell>
          <cell r="C2287" t="str">
            <v>REDUCCION PVC E.L. D=1"  A 1/2" (Incluye suministro e instalación).</v>
          </cell>
          <cell r="D2287" t="str">
            <v>UN</v>
          </cell>
          <cell r="E2287">
            <v>2655</v>
          </cell>
        </row>
        <row r="2288">
          <cell r="B2288">
            <v>6556</v>
          </cell>
          <cell r="C2288" t="str">
            <v>REGISTRO DE PASO DIRECTO EN BRONCE DE 1/2". Suministro en instalación.</v>
          </cell>
          <cell r="D2288" t="str">
            <v>UN</v>
          </cell>
          <cell r="E2288">
            <v>48331</v>
          </cell>
        </row>
        <row r="2289">
          <cell r="B2289">
            <v>6557</v>
          </cell>
          <cell r="C2289" t="str">
            <v>TRANSFORMADOR SECO TRIFASICO 150 KVA, 11400 V - 208 / 120 V. EN CELDA PARA TRANSFORMADOR (Incluye suministro e instalación)</v>
          </cell>
          <cell r="D2289" t="str">
            <v>UN</v>
          </cell>
          <cell r="E2289">
            <v>14432074</v>
          </cell>
        </row>
        <row r="2290">
          <cell r="B2290">
            <v>6558</v>
          </cell>
          <cell r="C2290" t="str">
            <v>SALIDA PARA DATOS TOMA DOBLE EMT 3/4" AL INTERIOR DE TAQUILLA, PONCHADO DE JACKS Y CERTIFICADO DEL PUNTO. Incluye Suministro e Instalación. PROYECTO PORTAL TUNAL</v>
          </cell>
          <cell r="D2290" t="str">
            <v>UN</v>
          </cell>
          <cell r="E2290">
            <v>79550</v>
          </cell>
        </row>
        <row r="2291">
          <cell r="B2291">
            <v>6559</v>
          </cell>
          <cell r="C2291" t="str">
            <v>MARCO EN LÁMINA COLD ROLLED CAL. 20 ANCLADO A MURO CON CHAZOS EXPANSIVOS DE 1/2" - 3" - HOJA EN LÁMINA CELOSÍA COLD ROLLED CAL. 18</v>
          </cell>
          <cell r="D2291" t="str">
            <v>UN</v>
          </cell>
          <cell r="E2291">
            <v>476487</v>
          </cell>
        </row>
        <row r="2292">
          <cell r="B2292">
            <v>6560</v>
          </cell>
          <cell r="C2292" t="str">
            <v>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v>
          </cell>
          <cell r="D2292" t="str">
            <v>UN</v>
          </cell>
          <cell r="E2292">
            <v>3381234</v>
          </cell>
        </row>
        <row r="2293">
          <cell r="B2293">
            <v>6561</v>
          </cell>
          <cell r="C2293" t="str">
            <v>TORNIQUETE PARA PERSONAS CON MOVILIDAD REDUCIDA CON BRAZOS DE CLIP. Suministro e instalación. (El torniquete sencillo incluye suministro, instalación y puesta a punto de equipos).</v>
          </cell>
          <cell r="D2293" t="str">
            <v>UN</v>
          </cell>
          <cell r="E2293">
            <v>13779345</v>
          </cell>
        </row>
        <row r="2294">
          <cell r="B2294">
            <v>6562</v>
          </cell>
          <cell r="C2294" t="str">
            <v>REHABILITACIÓN ANDEN ADOQUÍN ARCILLA TR LIVIANO SOBRE MORTERO. NO INCL BORDILLO. INCL. RETIRO ADOQUIN E INSTALAR EL MISMO. NO INCLUYE REDES.</v>
          </cell>
          <cell r="D2294" t="str">
            <v>M2</v>
          </cell>
          <cell r="E2294">
            <v>50288</v>
          </cell>
        </row>
        <row r="2295">
          <cell r="B2295">
            <v>6563</v>
          </cell>
          <cell r="C2295" t="str">
            <v>TRITUBO PE 100 FOPT DE 40mm (1 1/4") RDE 13.5 MULTF. D= 40 x 40 x 40 mm POLIETILENO DE ALTA DENSIDAD. Incluye Suministro e Instalación. No incluye relleno.</v>
          </cell>
          <cell r="D2295" t="str">
            <v>M</v>
          </cell>
          <cell r="E2295">
            <v>11190</v>
          </cell>
        </row>
        <row r="2296">
          <cell r="B2296">
            <v>6564</v>
          </cell>
          <cell r="C2296" t="str">
            <v>BANDAS SONORAS REDUCTORAS DE VELOCIDAD DE 3cm DE ALTURA, CONSTRUIDA CON GRAVILLA DE 1/2", PINTURA DE LARGA DURACIÓN BLANCA Y RESINA EPÓXICA</v>
          </cell>
          <cell r="D2296" t="str">
            <v>M2</v>
          </cell>
          <cell r="E2296">
            <v>196231</v>
          </cell>
        </row>
        <row r="2297">
          <cell r="B2297">
            <v>6565</v>
          </cell>
          <cell r="C2297" t="str">
            <v>DESMONTE Y RETIRO DE REJA DE CERRAMIENTO. INCLUYE DEMOLICIÓN DE CIMENTACIÓN, BASE Y REJA. Incluye transporte a 21 Km y disposición de materiales en sitio autorizado.</v>
          </cell>
          <cell r="D2297" t="str">
            <v>M</v>
          </cell>
          <cell r="E2297">
            <v>29670</v>
          </cell>
        </row>
        <row r="2298">
          <cell r="B2298">
            <v>6566</v>
          </cell>
          <cell r="C2298" t="str">
            <v>DIVISIÓN EN VIDRIO TEMPLADO DE 10 mm CON PARALES Y ACCESORIOS EN ACERO INOXIDABLE. Incluye Suministro e Instalación.</v>
          </cell>
          <cell r="D2298" t="str">
            <v>M2</v>
          </cell>
          <cell r="E2298">
            <v>218043</v>
          </cell>
        </row>
        <row r="2299">
          <cell r="B2299">
            <v>6567</v>
          </cell>
          <cell r="C2299" t="str">
            <v>BANDEJA PARA INTERCAMBIO DE MONEDAS EN ACERO INOXIDABLE CAL. 18 SOPORTADO CON ÁNGULOS METÁLICOS A ANTEPECHO EN MAMPOSTERÍA. Suministro e Instalación.</v>
          </cell>
          <cell r="D2299" t="str">
            <v>M</v>
          </cell>
          <cell r="E2299">
            <v>225077</v>
          </cell>
        </row>
        <row r="2300">
          <cell r="B2300">
            <v>6568</v>
          </cell>
          <cell r="C2300" t="str">
            <v>CANALETA METÁLICA DE 12 cm x 5 cm CON TAPA. SUMINISTRO E INSTALACIÓN. INCLUYE TROQUE EN TAQUILLAS PARA ALOJAR LOS CONDUCTORES DE VOZ, DATOS Y ENERGÍA ENTRE LOS PUESTOS DE LAS TAQUILLAS.</v>
          </cell>
          <cell r="D2300" t="str">
            <v>M</v>
          </cell>
          <cell r="E2300">
            <v>27555</v>
          </cell>
        </row>
        <row r="2301">
          <cell r="B2301">
            <v>6569</v>
          </cell>
          <cell r="C2301" t="str">
            <v>CHEVRON 90 cm x 40 cm, REFLECTIVO PRISMÁTICO TIPO VII O SUPERIOR, AMARILLO LIMÓN FLUORESCENTE EN LÁMINA GALVANIZADA, PEDESTAL EN ÁNGULO. Suministro e Instalación.</v>
          </cell>
          <cell r="D2301" t="str">
            <v>UN</v>
          </cell>
          <cell r="E2301">
            <v>217770</v>
          </cell>
        </row>
        <row r="2302">
          <cell r="B2302">
            <v>6570</v>
          </cell>
          <cell r="C2302" t="str">
            <v>PINTURA ACRÍLICA BASE AGUA (e=15mils. Incluye Suministro y Aplicación con Equipo. Incluye Microesferas).</v>
          </cell>
          <cell r="D2302" t="str">
            <v>M2</v>
          </cell>
          <cell r="E2302">
            <v>17500</v>
          </cell>
        </row>
        <row r="2303">
          <cell r="B2303">
            <v>6571</v>
          </cell>
          <cell r="C2303" t="str">
            <v>DEMARCACION LINEA CONTINUA A=0.12m (e=15 mils, Acrílica Base Agua. Inc. Sumin. y Aplic. con Equipo. Incl. Microesferas)</v>
          </cell>
          <cell r="D2303" t="str">
            <v>M</v>
          </cell>
          <cell r="E2303">
            <v>980</v>
          </cell>
        </row>
        <row r="2304">
          <cell r="B2304">
            <v>6572</v>
          </cell>
          <cell r="C2304" t="str">
            <v>DEMARCACION LINEA CONTINUA A=0.15m (e=15 mils, Acrílica Base Agua. Inc. Sumin. y Aplic. con Equipo. Incl. Microesferas)</v>
          </cell>
          <cell r="D2304" t="str">
            <v>M</v>
          </cell>
          <cell r="E2304">
            <v>1225</v>
          </cell>
        </row>
        <row r="2305">
          <cell r="B2305">
            <v>6573</v>
          </cell>
          <cell r="C2305" t="str">
            <v>PINTURA EN PLASTICO EN FRIO METILMETACRILATO PARA MARCAS VIALES, SIN MICROESFERAS Y ESPESOR SECO SEGÚN NORMA NTC 4744. SUMINISTRO Y APLICACIÓN. (Cebras, Flechas, pictogramas, lineas de pare, senderos peatonales, achurados, etc).</v>
          </cell>
          <cell r="D2305" t="str">
            <v>M2</v>
          </cell>
          <cell r="E2305">
            <v>44751</v>
          </cell>
        </row>
        <row r="2306">
          <cell r="B2306">
            <v>6574</v>
          </cell>
          <cell r="C2306" t="str">
            <v>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v>
          </cell>
          <cell r="D2306" t="str">
            <v>UN</v>
          </cell>
          <cell r="E2306">
            <v>33005</v>
          </cell>
        </row>
        <row r="2307">
          <cell r="B2307">
            <v>6575</v>
          </cell>
          <cell r="C2307" t="str">
            <v>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v>
          </cell>
          <cell r="D2307" t="str">
            <v>UN</v>
          </cell>
          <cell r="E2307">
            <v>25974</v>
          </cell>
        </row>
        <row r="2308">
          <cell r="B2308">
            <v>6576</v>
          </cell>
          <cell r="C2308" t="str">
            <v>RECONSTRUCCIÓN POR HILADA PARA CAJA DE INSPECCIÓN (2.00m x 2.00m) NORMA CODENSA CS280. INCLUYE MORTERO DE PEGA Y PAÑETE IMPERMEABILIZADO DE 2500 PSI, LADRILLO TOLETE RECOCIDO, MORTERO DE PEGA 1:5. (No incluye marco, tapa, excavaciones, rellenos, transporte y disposición de escombros).</v>
          </cell>
          <cell r="D2308" t="str">
            <v>UN</v>
          </cell>
          <cell r="E2308">
            <v>59061</v>
          </cell>
        </row>
        <row r="2309">
          <cell r="B2309">
            <v>6577</v>
          </cell>
          <cell r="C2309" t="str">
            <v>CONTENEDOR DE RAICES (1.60m x 1.60m x 1.60m)INCLUYE MUROS EN CONCRETO GRAVA COMÚN 3000 PSI (210 Kg/Cm2), SUMINISTRO CONSTRUCCIÓN Y FILTRO EN GRAVILLA 1/2", FORMALETA Y REFUERZO. NO INCLUYE TIERRA NEGRA.</v>
          </cell>
          <cell r="D2309" t="str">
            <v>UN</v>
          </cell>
          <cell r="E2309">
            <v>669568</v>
          </cell>
        </row>
        <row r="2310">
          <cell r="B2310">
            <v>6578</v>
          </cell>
          <cell r="C2310" t="str">
            <v>ACERO ESTRUCTURAL PARA PORTAL DE TRANSMILENIO. Suministro, fabricación, transporte y montaje de estructura metálica con el siguiente esquema de protección y pintura: Sistema de protección Básica (Guía 6.7.2).Limpieza: SSPC-SP 6.Imprimante epóxico rico en zinc color gris de 3.0 mils película seca (aplicada en taller).Esmalte epóxico color gris de 3.0 mils espesor de película seca (aplicada en sitio antes de izaje).</v>
          </cell>
          <cell r="D2310" t="str">
            <v>KG</v>
          </cell>
          <cell r="E2310">
            <v>7764</v>
          </cell>
        </row>
        <row r="2311">
          <cell r="B2311">
            <v>6579</v>
          </cell>
          <cell r="C2311" t="str">
            <v>DEMARCACIÓN LINEA CONTINUA A= 0.2mt, (e= 15 mils ACRÍLICA BASE AGUA. INCLUYE SUMINISTRO Y APLICACIÓN CON EQUIPO. INCLUYE MICROESFERAS.</v>
          </cell>
          <cell r="D2311" t="str">
            <v>M</v>
          </cell>
          <cell r="E2311">
            <v>3500</v>
          </cell>
        </row>
        <row r="2312">
          <cell r="B2312">
            <v>6580</v>
          </cell>
          <cell r="C2312" t="str">
            <v>SÍMBOLO DE DEMARCACIÓN CORREDOR EXCLUSIVO DE BICICLETA 1.60m x 2.40m (e= 15 mils. INCLUYE SUMINISTRO Y APLICACIÓN CON EQUIPO. INCLUYE MICROESFERAS.</v>
          </cell>
          <cell r="D2312" t="str">
            <v>UN</v>
          </cell>
          <cell r="E2312">
            <v>15750</v>
          </cell>
        </row>
        <row r="2313">
          <cell r="B2313">
            <v>6581</v>
          </cell>
          <cell r="C2313" t="str">
            <v>SÍMBOLO DE DEMARCACIÓN CORREDOR EXCLUSIVO DE BICICLETA 0.80m x 1.20m (e= 15 mils. INCLUYE SUMINISTRO Y APLICACIÓN CON EQUIPO. INCLUYE MICROESFERAS.</v>
          </cell>
          <cell r="D2313" t="str">
            <v>UN</v>
          </cell>
          <cell r="E2313">
            <v>4725</v>
          </cell>
        </row>
        <row r="2314">
          <cell r="B2314">
            <v>6582</v>
          </cell>
          <cell r="C2314" t="str">
            <v>DEMARCACIÓN DE LETRERO "SOLO BUS" (e= 15 mils. INCLUYE SUMINISTRO Y APLICACIÓN CON EQUIPO. INCLUYE MICROESFERAS.</v>
          </cell>
          <cell r="D2314" t="str">
            <v>UN</v>
          </cell>
          <cell r="E2314">
            <v>79273</v>
          </cell>
        </row>
        <row r="2315">
          <cell r="B2315">
            <v>6583</v>
          </cell>
          <cell r="C2315" t="str">
            <v>FLECHA DIRECCIONAL "FRENTE, DERECHA E IZQUIERDA" PARA PAVIMENTO RÍGIDO (e= 15 mils. ACRÍLICA BASE AGUA. INCLUYE SUMINISTRO Y APLICACIÓN CON EQUIPO. INCLUYE MICROESFERAS.</v>
          </cell>
          <cell r="D2315" t="str">
            <v>UN</v>
          </cell>
          <cell r="E2315">
            <v>56175</v>
          </cell>
        </row>
        <row r="2316">
          <cell r="B2316">
            <v>6584</v>
          </cell>
          <cell r="C2316" t="str">
            <v>PICTOGRAMA DE CEDA EL PASO EN CICLORRUTA (4 TRIÁNGULOS), (PINTURA ACRÍLICA BASE AGUA (e= 15 mils. INCLUYE SUMINISTRO Y APLICACIÓN CON EQUIPO. INCLUYE MICROESFERAS.</v>
          </cell>
          <cell r="D2316" t="str">
            <v>UN</v>
          </cell>
          <cell r="E2316">
            <v>6790</v>
          </cell>
        </row>
        <row r="2317">
          <cell r="B2317">
            <v>6585</v>
          </cell>
          <cell r="C2317" t="str">
            <v>DEMARCACIÓN DE FLECHA DE TERMINACIÓN DE CARRIL (e= 15 mils. ACRÍLICA BASE AGUA. INCLUYE SUMINISTRO Y APLICACIÓN CON EQUIPO. INCLUYE MICROESFERAS.</v>
          </cell>
          <cell r="D2317" t="str">
            <v>UN</v>
          </cell>
          <cell r="E2317">
            <v>73238</v>
          </cell>
        </row>
        <row r="2318">
          <cell r="B2318">
            <v>6586</v>
          </cell>
          <cell r="C2318" t="str">
            <v>FLECHA DIRECCIONAL "A LA IZQUIERDA" (e= 15 mils. ACRÍLICA BASE AGUA. ÁREA: 1.5037 m2 SEGÚN EL MANUAL DE SEÑALIZACIÓN VIAL. SUMINISTRO Y APLICACIÓN CON EQUIPO. INCLUYE MICROESFERAS.</v>
          </cell>
          <cell r="D2318" t="str">
            <v>UN</v>
          </cell>
          <cell r="E2318">
            <v>33506</v>
          </cell>
        </row>
        <row r="2319">
          <cell r="B2319">
            <v>6587</v>
          </cell>
          <cell r="C2319" t="str">
            <v>DEMARCACIÓN TEXTO PARE. ÁREA: 1.48 m2  (e= 15 mils, ACRÍLICA BASE AGUA. SUMINISTRO Y APLICACIÓN CON EQUIPO. INCLUYE MICROESFERAS.</v>
          </cell>
          <cell r="D2319" t="str">
            <v>UN</v>
          </cell>
          <cell r="E2319">
            <v>29177</v>
          </cell>
        </row>
        <row r="2320">
          <cell r="B2320">
            <v>6588</v>
          </cell>
          <cell r="C2320" t="str">
            <v>DEMARCACIÓN DE ACHURADO. AREA: 1.0 m2  (e= 15 mils, ACRÍLICA BASE AGUA. SUMINISTRO Y APLICACIÓN CON EQUIPO. INCLUYE MICROESFERAS.</v>
          </cell>
          <cell r="D2320" t="str">
            <v>M2</v>
          </cell>
          <cell r="E2320">
            <v>24692</v>
          </cell>
        </row>
        <row r="2321">
          <cell r="B2321">
            <v>6589</v>
          </cell>
          <cell r="C2321" t="str">
            <v>DEMARCACIÓN DE LINEA LOGARÍTMICA. ÁREA: 0.60 m2  (e= 15 mils, ACRÍLICA BASE AGUA. SUMINISTRO Y APLICACIÓN CON EQUIPO. INCLUYE MICROESFERAS.</v>
          </cell>
          <cell r="D2321" t="str">
            <v>M</v>
          </cell>
          <cell r="E2321">
            <v>13790</v>
          </cell>
        </row>
        <row r="2322">
          <cell r="B2322">
            <v>6590</v>
          </cell>
          <cell r="C2322" t="str">
            <v>DEMARCACION LINEA DE PARE. ÁREA: 0.60 m2  (e= 15 mils, ACRÍLICA BASE AGUA. SUMINISTRO Y APLICACIÓN CON EQUIPO. INCLUYE MICROESFERAS.</v>
          </cell>
          <cell r="D2322" t="str">
            <v>M2</v>
          </cell>
          <cell r="E2322">
            <v>17690</v>
          </cell>
        </row>
        <row r="2323">
          <cell r="B2323">
            <v>6591</v>
          </cell>
          <cell r="C2323" t="str">
            <v>DEMARCACION LINEA DE LINEA SENDERO PEATONAL CONTINUA. ÁREA: 0.30 m2  (e= 15 mils, ACRÍLICA BASE AGUA. SUMINISTRO Y APLICACIÓN CON EQUIPO. INCLUYE MICROESFERAS.</v>
          </cell>
          <cell r="D2323" t="str">
            <v>M</v>
          </cell>
          <cell r="E2323">
            <v>7804</v>
          </cell>
        </row>
        <row r="2324">
          <cell r="B2324">
            <v>6592</v>
          </cell>
          <cell r="C2324" t="str">
            <v>DEMARCACION ZONA ANTIBLOQUEO. AREA: 0.30 m2  (e= 15 mils, ACRILICA BASE AGUA. SUMINISTRO Y APLICACION CON EQUIPO. INCLUYE MICROESFERAS.</v>
          </cell>
          <cell r="D2324" t="str">
            <v>M</v>
          </cell>
          <cell r="E2324">
            <v>7804</v>
          </cell>
        </row>
        <row r="2325">
          <cell r="B2325">
            <v>6593</v>
          </cell>
          <cell r="C2325" t="str">
            <v>DEMARCACIÓN DE LINEA DE PARADERO DE BUSES. ÁREA: 5.5775 m2  (e= 15 mils, ACRÍLICA BASE AGUA. SUMINISTRO Y APLICACIÓN CON EQUIPO. INCLUYE MICROESFERAS.</v>
          </cell>
          <cell r="D2325" t="str">
            <v>UN</v>
          </cell>
          <cell r="E2325">
            <v>126334</v>
          </cell>
        </row>
        <row r="2326">
          <cell r="B2326">
            <v>6594</v>
          </cell>
          <cell r="C2326" t="str">
            <v>DEMARCACIÓN PICTOGRAMA TRIÁNGULOS CEDA EL PASO. (e= 15 mils, ACRÍLICA BASE AGUA. SUMINISTRO Y APLICACIÓN CON EQUIPO. INCLUYE MICROESFERAS.</v>
          </cell>
          <cell r="D2326" t="str">
            <v>UN</v>
          </cell>
          <cell r="E2326">
            <v>19892</v>
          </cell>
        </row>
        <row r="2327">
          <cell r="B2327">
            <v>6595</v>
          </cell>
          <cell r="C2327" t="str">
            <v>DEMARCACION LINEA DE CEDA EL PASO DISCONTINUA. AREA: 0.32m2.  (e= 15 mils, ACRILICA BASE AGUA. SUMINISTRO Y APLICACION CON EQUIPO. INCLUYE MICROESFERAS.</v>
          </cell>
          <cell r="D2327" t="str">
            <v>UN</v>
          </cell>
          <cell r="E2327">
            <v>7992</v>
          </cell>
        </row>
        <row r="2328">
          <cell r="B2328">
            <v>6596</v>
          </cell>
          <cell r="C2328" t="str">
            <v>DEMARCACION LINEA DE PARADA DE TRANSMILENIO. AREA: 3.96 m2 SEGUN PARAMETROS DE DISEÑO DE TRANSMILENIO (e= 15 mils, ACRILICA BASE AGUA. SUMINISTRO Y APLICACION CON EQUIPO. INCLUYE MICROESFERAS.</v>
          </cell>
          <cell r="D2328" t="str">
            <v>UN</v>
          </cell>
          <cell r="E2328">
            <v>98066</v>
          </cell>
        </row>
        <row r="2329">
          <cell r="B2329">
            <v>6597</v>
          </cell>
          <cell r="C2329" t="str">
            <v>SISTEMA DE SUCCIÓN, DESCARGA, PRUEBA, ALIVIO Y DE EXTINCIÓN CONTRA INCENDIO - SUBCONTRATO PORTAL EL TUNAL (Incl: Ver Observaciones)</v>
          </cell>
          <cell r="D2329" t="str">
            <v>GLB</v>
          </cell>
          <cell r="E2329">
            <v>490585708</v>
          </cell>
        </row>
        <row r="2330">
          <cell r="B2330">
            <v>6598</v>
          </cell>
          <cell r="C2330" t="str">
            <v>TRANSFORMADOR  SECO CLASE F TRIFASICO DE 45 KVA, 11.4/0.480-277 KV ZCC 4% (NORMA CODENSA CTS-535) (Incluye suministro e instalación)</v>
          </cell>
          <cell r="D2330" t="str">
            <v>UN</v>
          </cell>
          <cell r="E2330">
            <v>21220743</v>
          </cell>
        </row>
        <row r="2331">
          <cell r="B2331">
            <v>6599</v>
          </cell>
          <cell r="C2331" t="str">
            <v>ADAPTADOR PVC MACHO ROSCADO DE 1 1/2" (Suministro e Instalación)</v>
          </cell>
          <cell r="D2331" t="str">
            <v>UN</v>
          </cell>
          <cell r="E2331">
            <v>8364</v>
          </cell>
        </row>
        <row r="2332">
          <cell r="B2332">
            <v>6600</v>
          </cell>
          <cell r="C2332" t="str">
            <v>REDUCCION PVC E.L. D= 1 1/2" X 1/2" (Incluye suministro e instalación, soldadura).</v>
          </cell>
          <cell r="D2332" t="str">
            <v>UN</v>
          </cell>
          <cell r="E2332">
            <v>8281</v>
          </cell>
        </row>
        <row r="2333">
          <cell r="B2333">
            <v>6601</v>
          </cell>
          <cell r="C2333" t="str">
            <v>TEE HD EXTREMO JUNTA HIDRÁULICA 12"x10" (Suministro e Instalación)</v>
          </cell>
          <cell r="D2333" t="str">
            <v>UN</v>
          </cell>
          <cell r="E2333">
            <v>2442143</v>
          </cell>
        </row>
        <row r="2334">
          <cell r="B2334">
            <v>6602</v>
          </cell>
          <cell r="C2334" t="str">
            <v>PILOTE D=2.00 M DE CONCRETO 4000 PSI VERIFICAR (28MPA) (Incl. Excavación, Cargue, movilización, montaje, descabece y desmontaje equipo)</v>
          </cell>
          <cell r="D2334" t="str">
            <v>M3</v>
          </cell>
          <cell r="E2334">
            <v>1449894</v>
          </cell>
        </row>
        <row r="2335">
          <cell r="B2335">
            <v>6603</v>
          </cell>
          <cell r="C2335" t="str">
            <v>TEE HD EXTREMO JUNTA HIDRÁULICA 12"x8" (Suministro e Instalación)</v>
          </cell>
          <cell r="D2335" t="str">
            <v>UN</v>
          </cell>
          <cell r="E2335">
            <v>1668480</v>
          </cell>
        </row>
        <row r="2336">
          <cell r="B2336">
            <v>6604</v>
          </cell>
          <cell r="C2336" t="str">
            <v>TEE HD EXTREMO JUNTA HIDRÁULICA 12"x6" (Suministro e Instalación)</v>
          </cell>
          <cell r="D2336" t="str">
            <v>UN</v>
          </cell>
          <cell r="E2336">
            <v>1525660</v>
          </cell>
        </row>
        <row r="2337">
          <cell r="B2337">
            <v>6605</v>
          </cell>
          <cell r="C2337" t="str">
            <v>PANEL CONTROLADOR DE ALARMA CONTRA INCENDIOS INTELIGENTE DIRECCIONABLE. (INCLUYE MODULOS, FUENTE ALIMENTACION PRINCIPAL, BATERIAS)</v>
          </cell>
          <cell r="D2337" t="str">
            <v>UN</v>
          </cell>
          <cell r="E2337">
            <v>6963838</v>
          </cell>
        </row>
        <row r="2338">
          <cell r="B2338">
            <v>6606</v>
          </cell>
          <cell r="C2338" t="str">
            <v>TEE HD EXTREMO JUNTA HIDRÁULICA 6"x 6" (Suministro e Instalación)</v>
          </cell>
          <cell r="D2338" t="str">
            <v>UN</v>
          </cell>
          <cell r="E2338">
            <v>478643</v>
          </cell>
        </row>
        <row r="2339">
          <cell r="B2339">
            <v>6607</v>
          </cell>
          <cell r="C2339" t="str">
            <v>DIFUSOR DE SUMINISTRO 510 CFM 12" X 12" (INCLUYE SUMINISTRO E INSTALACION)</v>
          </cell>
          <cell r="D2339" t="str">
            <v>UN</v>
          </cell>
          <cell r="E2339">
            <v>175635</v>
          </cell>
        </row>
        <row r="2340">
          <cell r="B2340">
            <v>6608</v>
          </cell>
          <cell r="C2340" t="str">
            <v>VÁLVULA TIPO MARIPOSA DE Ø 8" CLASE 150 CON EXTREMOS BRIDADOS (Suministro e Instalación)</v>
          </cell>
          <cell r="D2340" t="str">
            <v>UN</v>
          </cell>
          <cell r="E2340">
            <v>470331</v>
          </cell>
        </row>
        <row r="2341">
          <cell r="B2341">
            <v>6609</v>
          </cell>
          <cell r="C2341" t="str">
            <v>TEE HD EXTREMO JUNTA HIDRÁULICA 8"x 8" (Suministro e Instalación)</v>
          </cell>
          <cell r="D2341" t="str">
            <v>UN</v>
          </cell>
          <cell r="E2341">
            <v>835643</v>
          </cell>
        </row>
        <row r="2342">
          <cell r="B2342">
            <v>6610</v>
          </cell>
          <cell r="C2342" t="str">
            <v>REDUCCIÓN PVC SOLDAR DE 2" x 1 1/2"(Suministro e Instalación)</v>
          </cell>
          <cell r="D2342" t="str">
            <v>UN</v>
          </cell>
          <cell r="E2342">
            <v>11167</v>
          </cell>
        </row>
        <row r="2343">
          <cell r="B2343">
            <v>6611</v>
          </cell>
          <cell r="C2343" t="str">
            <v>REDUCCIÓN BRIDADA DE 24" x 16" CLASE 300 EN HD CON UNIONES MECÁNICAS SEGÚN NORMA AWWA C153(Suministro e Instalación)</v>
          </cell>
          <cell r="D2343" t="str">
            <v>UN</v>
          </cell>
          <cell r="E2343">
            <v>6356420</v>
          </cell>
        </row>
        <row r="2344">
          <cell r="B2344">
            <v>6612</v>
          </cell>
          <cell r="C2344" t="str">
            <v>REDUCCIÓN BRIDADA DE 14" x 12" CLASE 300 EN HD CON UNIONES MECÁNICAS SEGÚN NORMA AWWA C153(Suministro e Instalación)</v>
          </cell>
          <cell r="D2344" t="str">
            <v>UN</v>
          </cell>
          <cell r="E2344">
            <v>2196709</v>
          </cell>
        </row>
        <row r="2345">
          <cell r="B2345">
            <v>6613</v>
          </cell>
          <cell r="C2345" t="str">
            <v>ARRANCADOR SUAVE DE 41kW, aprox. 60hp 73amp. 440V (Incluye totalizador y cofre Nema 3R. Cumple RETIE). Suministro e Instalación</v>
          </cell>
          <cell r="D2345" t="str">
            <v>UN</v>
          </cell>
          <cell r="E2345">
            <v>4332055</v>
          </cell>
        </row>
        <row r="2346">
          <cell r="B2346">
            <v>6614</v>
          </cell>
          <cell r="C2346" t="str">
            <v>ARRANCADOR SUAVE DE 125 HP, 148amp (Incluye totalizador, cofre Nema 3R, cumple RETIE). Suministro e Instalación</v>
          </cell>
          <cell r="D2346" t="str">
            <v>UN</v>
          </cell>
          <cell r="E2346">
            <v>6856045</v>
          </cell>
        </row>
        <row r="2347">
          <cell r="B2347">
            <v>6615</v>
          </cell>
          <cell r="C2347" t="str">
            <v>REDUCCION PVC TIPO U.M. 3"x2" (Suministro e Instalación)</v>
          </cell>
          <cell r="D2347" t="str">
            <v>UN</v>
          </cell>
          <cell r="E2347">
            <v>16939</v>
          </cell>
        </row>
        <row r="2348">
          <cell r="B2348">
            <v>6616</v>
          </cell>
          <cell r="C2348" t="str">
            <v>CONEXIONES KIT SILLA YEE 600 x 160 PVC. SUMINISTRO E INSTALACIÓN.</v>
          </cell>
          <cell r="D2348" t="str">
            <v>UN</v>
          </cell>
          <cell r="E2348">
            <v>96896</v>
          </cell>
        </row>
        <row r="2349">
          <cell r="B2349">
            <v>6617</v>
          </cell>
          <cell r="C2349" t="str">
            <v>CONEXIONES KIT SILLA YEE 250 x 160 PVC. SUMINISTRO E INSTALACIÓN.</v>
          </cell>
          <cell r="D2349" t="str">
            <v>UN</v>
          </cell>
          <cell r="E2349">
            <v>96876</v>
          </cell>
        </row>
        <row r="2350">
          <cell r="B2350">
            <v>6618</v>
          </cell>
          <cell r="C2350" t="str">
            <v>CONEXIONES KIT SILLA YEE 500 x 160 PVC. SUMINISTRO E INSTALACIÓN.</v>
          </cell>
          <cell r="D2350" t="str">
            <v>UN</v>
          </cell>
          <cell r="E2350">
            <v>346260</v>
          </cell>
        </row>
        <row r="2351">
          <cell r="B2351">
            <v>6619</v>
          </cell>
          <cell r="C2351" t="str">
            <v>CONEXIONES KIT SILLA YEE 400 x 160 PVC. SUMINISTRO E INSTALACIÓN.</v>
          </cell>
          <cell r="D2351" t="str">
            <v>UN</v>
          </cell>
          <cell r="E2351">
            <v>219321</v>
          </cell>
        </row>
        <row r="2352">
          <cell r="B2352">
            <v>6620</v>
          </cell>
          <cell r="C2352" t="str">
            <v>ACERO ASTM A-36 No. 6 (Ø 3/4") PARA ESCALERAS DE ACCESO A POZOS DE ALCANTARILLADO. Suministro, fabricación, transporte y montaje.</v>
          </cell>
          <cell r="D2352" t="str">
            <v>M</v>
          </cell>
          <cell r="E2352">
            <v>71238</v>
          </cell>
        </row>
        <row r="2353">
          <cell r="B2353">
            <v>6621</v>
          </cell>
          <cell r="C2353" t="str">
            <v>CÁMARA EN CONCRETO PREFABRICADO TIPO II. SUMINISTRO E INSTALACIÓN.</v>
          </cell>
          <cell r="D2353" t="str">
            <v>UN</v>
          </cell>
          <cell r="E2353">
            <v>11052822</v>
          </cell>
        </row>
        <row r="2354">
          <cell r="B2354">
            <v>6622</v>
          </cell>
          <cell r="C2354" t="str">
            <v>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v>
          </cell>
          <cell r="D2354" t="str">
            <v>M</v>
          </cell>
          <cell r="E2354">
            <v>3135560</v>
          </cell>
        </row>
        <row r="2355">
          <cell r="B2355">
            <v>6623</v>
          </cell>
          <cell r="C2355" t="str">
            <v>VÁLVULA COMPUERTA ELÁSTICA VA (VÁSTAGO ASCENDENTE) D=6" DN (DIÁMETRO NOMINAL) 150 mm CON EXTREMOS BRIDADOS (SUMINISTRO E INSTALACIÓN)</v>
          </cell>
          <cell r="D2355" t="str">
            <v>UN</v>
          </cell>
          <cell r="E2355">
            <v>1526896</v>
          </cell>
        </row>
        <row r="2356">
          <cell r="B2356">
            <v>6624</v>
          </cell>
          <cell r="C2356" t="str">
            <v>VÁLVULA TIPO MARIPOSA DE Ø 3" CLASE 150 CON EXTREMOS BRIDADOS (Suministro e Instalación)</v>
          </cell>
          <cell r="D2356" t="str">
            <v>UN</v>
          </cell>
          <cell r="E2356">
            <v>129749</v>
          </cell>
        </row>
        <row r="2357">
          <cell r="B2357">
            <v>6625</v>
          </cell>
          <cell r="C2357" t="str">
            <v>VÁLVULA TIPO MARIPOSA DE Ø 4" CLASE 150 CON EXTREMOS BRIDADOS (Suministro e Instalación)</v>
          </cell>
          <cell r="D2357" t="str">
            <v>UN</v>
          </cell>
          <cell r="E2357">
            <v>183469</v>
          </cell>
        </row>
        <row r="2358">
          <cell r="B2358">
            <v>6626</v>
          </cell>
          <cell r="C2358" t="str">
            <v>VÁLVULA TIPO MARIPOSA DE Ø 6" CLASE 150 CON EXTREMOS BRIDADOS (Suministro e Instalación)</v>
          </cell>
          <cell r="D2358" t="str">
            <v>UN</v>
          </cell>
          <cell r="E2358">
            <v>275830</v>
          </cell>
        </row>
        <row r="2359">
          <cell r="B2359">
            <v>6627</v>
          </cell>
          <cell r="C2359" t="str">
            <v>CODO EN ACERO Ø 45" DE 22 1/2° Y 45° PN 10 TIPO CILINDRO DE ACERO CON REFUERZO DE VARILLA, CON UNIONES ESPIGO / CAMPANA CON EMPAQUE DE CAUCHO, CON REVESTIMIENTO INTERIOR Y RECUBRIMIENTO EXTERIOR EN MORTERO CEMENTO. L= 095m x 0.95m PRESIÓN DE TRABAJO 150 PSI</v>
          </cell>
          <cell r="D2359" t="str">
            <v>UN</v>
          </cell>
          <cell r="E2359">
            <v>12553013</v>
          </cell>
        </row>
        <row r="2360">
          <cell r="B2360">
            <v>6628</v>
          </cell>
          <cell r="C2360" t="str">
            <v>CODO EN ACERO Ø 27" DE 22 1/2° Y 45° PN 10 TIPO CILINDRO DE ACERO CON REFUERZO DE VARILLA, CON UNIONES ESPIGO / CAMPANA CON EMPAQUE DE CAUCHO, CON REVESTIMIENTO INTERIOR Y RECUBRIMIENTO EXTERIOR EN MORTERO CEMENTO. L= 0.85m x 0.85m PRESIÓN DE TRABAJO 150 PSI</v>
          </cell>
          <cell r="D2360" t="str">
            <v>UN</v>
          </cell>
          <cell r="E2360">
            <v>5352723</v>
          </cell>
        </row>
        <row r="2361">
          <cell r="B2361">
            <v>6629</v>
          </cell>
          <cell r="C2361" t="str">
            <v>CODO EN ACERO Ø 20"  DE 22 1/2° Y 45° PN 10 TIPO CILINDRO DE ACERO CON REFUERZO DE VARILLA, CON UNIONES ESPIGO / CAMPANA CON EMPAQUE DE CAUCHO, CON REVESTIMIENTO INTERIOR Y RECUBRIMIENTO EXTERIOR EN MORTERO CEMENTO. L= 0.65m x 0.65m PRESIÓN DE TRABAJO 150 PSI</v>
          </cell>
          <cell r="D2361" t="str">
            <v>UN</v>
          </cell>
          <cell r="E2361">
            <v>3833559</v>
          </cell>
        </row>
        <row r="2362">
          <cell r="B2362">
            <v>6630</v>
          </cell>
          <cell r="C2362" t="str">
            <v>CODO EN ACERO Ø 24"  DE 22 1/2° Y 45° PN 10 TIPO CILINDRO DE ACERO CON REFUERZO DE VARILLA, CON UNIONES ESPIGO / CAMPANA CON EMPAQUE DE CAUCHO, CON REVESTIMIENTO INTERIOR Y RECUBRIMIENTO EXTERIOR EN MORTERO CEMENTO. L= 0.80m x 0.80m PRESIÓN DE TRABAJO 150 PSI</v>
          </cell>
          <cell r="D2362" t="str">
            <v>UN</v>
          </cell>
          <cell r="E2362">
            <v>4386552</v>
          </cell>
        </row>
        <row r="2363">
          <cell r="B2363">
            <v>6631</v>
          </cell>
          <cell r="C2363" t="str">
            <v>REDUCCIÓN BRIDADA DE 12" x 10" CLASE 300 EN HD CON UNIONES MECÁNICAS SEGÚN NORMA AWWA C153(Suministro e Instalación)</v>
          </cell>
          <cell r="D2363" t="str">
            <v>UN</v>
          </cell>
          <cell r="E2363">
            <v>1403133</v>
          </cell>
        </row>
        <row r="2364">
          <cell r="B2364">
            <v>6632</v>
          </cell>
          <cell r="C2364" t="str">
            <v>CODO HD 22.5° EXTREMO JUNTA HIDRÁULICA PARA PVC D= 6" (Suministro e Instalación)</v>
          </cell>
          <cell r="D2364" t="str">
            <v>UN</v>
          </cell>
          <cell r="E2364">
            <v>312023</v>
          </cell>
        </row>
        <row r="2365">
          <cell r="B2365">
            <v>6633</v>
          </cell>
          <cell r="C2365" t="str">
            <v>REDUCCIÓN BRIDADA DE 24" x 20" CLASE 300 EN HD CON UNIONES MECÁNICAS SEGÚN NORMA AWWA C153(Suministro e Instalación)</v>
          </cell>
          <cell r="D2365" t="str">
            <v>UN</v>
          </cell>
          <cell r="E2365">
            <v>6958380</v>
          </cell>
        </row>
        <row r="2366">
          <cell r="B2366">
            <v>6634</v>
          </cell>
          <cell r="C2366" t="str">
            <v>CODO HD 22.5° BRIDADO D= 24" CLASE 300 CON UNIONES MECÁNICAS SEGÚN NORMA AWWA C153. (Suministro e Instalación)</v>
          </cell>
          <cell r="D2366" t="str">
            <v>UN</v>
          </cell>
          <cell r="E2366">
            <v>7077380</v>
          </cell>
        </row>
        <row r="2367">
          <cell r="B2367">
            <v>6635</v>
          </cell>
          <cell r="C2367" t="str">
            <v>CODO HD 22.5° BRIDADO D= 14" CLASE 300 CON UNIONES MECÁNICAS SEGÚN NORMA AWWA C153. (Suministro e Instalación)</v>
          </cell>
          <cell r="D2367" t="str">
            <v>UN</v>
          </cell>
          <cell r="E2367">
            <v>2297723</v>
          </cell>
        </row>
        <row r="2368">
          <cell r="B2368">
            <v>6636</v>
          </cell>
          <cell r="C2368" t="str">
            <v>CABLE MONOPOLAR DE COBRE, HF FR PARA 600V C.A. CALIBRE 1/0 AWG (Incluye suministro e instalación)</v>
          </cell>
          <cell r="D2368" t="str">
            <v>M</v>
          </cell>
          <cell r="E2368">
            <v>18617</v>
          </cell>
        </row>
        <row r="2369">
          <cell r="B2369">
            <v>6637</v>
          </cell>
          <cell r="C2369" t="str">
            <v>CODO HD 11.25° BRIDADO D= 14" CLASE 300 CON UNIONES MECÁNICAS SEGÚN NORMA AWWA C153. (Suministro e Instalación)</v>
          </cell>
          <cell r="D2369" t="str">
            <v>UN</v>
          </cell>
          <cell r="E2369">
            <v>2297723</v>
          </cell>
        </row>
        <row r="2370">
          <cell r="B2370">
            <v>6638</v>
          </cell>
          <cell r="C2370" t="str">
            <v>CODO HD 45° BRIDADO D= 24" CLASE 300 CON UNIONES MECÁNICAS SEGÚN NORMA AWWA C153. (Suministro e Instalación)</v>
          </cell>
          <cell r="D2370" t="str">
            <v>UN</v>
          </cell>
          <cell r="E2370">
            <v>8505380</v>
          </cell>
        </row>
        <row r="2371">
          <cell r="B2371">
            <v>6639</v>
          </cell>
          <cell r="C2371" t="str">
            <v>TEE HD EXTREMO JUNTA HIDRÁULICA 6"x 4" (Suministro e Instalación)</v>
          </cell>
          <cell r="D2371" t="str">
            <v>UN</v>
          </cell>
          <cell r="E2371">
            <v>365593</v>
          </cell>
        </row>
        <row r="2372">
          <cell r="B2372">
            <v>6640</v>
          </cell>
          <cell r="C2372" t="str">
            <v>SENSOR DE MOVIMIENTO 360° PARA LUMINARIA - FOTOCONTROL (Suministro e Instalación)</v>
          </cell>
          <cell r="D2372" t="str">
            <v>UN</v>
          </cell>
          <cell r="E2372">
            <v>38001</v>
          </cell>
        </row>
        <row r="2373">
          <cell r="B2373">
            <v>6641</v>
          </cell>
          <cell r="C2373" t="str">
            <v>UNIÓN DESMONTAJE AUTOPORTANTE Ø 12" RÍGIDA CLASE 150 (Suministro e Instalación)</v>
          </cell>
          <cell r="D2373" t="str">
            <v>UN</v>
          </cell>
          <cell r="E2373">
            <v>2319068</v>
          </cell>
        </row>
        <row r="2374">
          <cell r="B2374">
            <v>6642</v>
          </cell>
          <cell r="C2374" t="str">
            <v>TEE PVC REDUCIDA UM DE 3" x 2" (Incluye suministro e instalación)</v>
          </cell>
          <cell r="D2374" t="str">
            <v>UN</v>
          </cell>
          <cell r="E2374">
            <v>17524</v>
          </cell>
        </row>
        <row r="2375">
          <cell r="B2375">
            <v>6643</v>
          </cell>
          <cell r="C2375" t="str">
            <v>TRANSFORMADOR SECO TIPO H 30 KVA, 480/208, 11.4/0.380-0.220 KV DYN (Incluye suministro e instalación)</v>
          </cell>
          <cell r="D2375" t="str">
            <v>UN</v>
          </cell>
          <cell r="E2375">
            <v>3587602</v>
          </cell>
        </row>
        <row r="2376">
          <cell r="B2376">
            <v>6644</v>
          </cell>
          <cell r="C2376" t="str">
            <v>VÁLVULA COMPUERTA ELÁSTICA VA (VÁSTAGO ASCENDENTE) D=4" CLASE 150mm CON EXTREMOS BRIDADOS (Suministro e instalación)</v>
          </cell>
          <cell r="D2376" t="str">
            <v>UN</v>
          </cell>
          <cell r="E2376">
            <v>877184</v>
          </cell>
        </row>
        <row r="2377">
          <cell r="B2377">
            <v>6645</v>
          </cell>
          <cell r="C2377" t="str">
            <v>TUBERÍA PVC D=1-1/2" RDE 21 (Suministro e instalación, incluye soldadura)</v>
          </cell>
          <cell r="D2377" t="str">
            <v>M</v>
          </cell>
          <cell r="E2377">
            <v>13049</v>
          </cell>
        </row>
        <row r="2378">
          <cell r="B2378">
            <v>6646</v>
          </cell>
          <cell r="C2378" t="str">
            <v>CONCRETO 4000 PSI ( 28 MPA) PARA LOSA DE CUBIERTA REFORZADAS (Premezclado. Incluye Suministro, Formaleteo, Bombeo,  Colocación y Curado. No incluye Refuerzo)</v>
          </cell>
          <cell r="D2378" t="str">
            <v>M3</v>
          </cell>
          <cell r="E2378">
            <v>544516</v>
          </cell>
        </row>
        <row r="2379">
          <cell r="B2379">
            <v>6647</v>
          </cell>
          <cell r="C2379" t="str">
            <v>CAJA PARA MEDIDOR DE ENERGÍA TRIFÁSICO DE 57cm x 27cm x 18cm . (Incluye 2un Breaker industrial de 3X30A y protección para medidor. Cumple con especificación técnica Codensa ET900. Incluye suministro e instalación).</v>
          </cell>
          <cell r="D2379" t="str">
            <v>UN</v>
          </cell>
          <cell r="E2379">
            <v>334830</v>
          </cell>
        </row>
        <row r="2380">
          <cell r="B2380">
            <v>6648</v>
          </cell>
          <cell r="C2380" t="str">
            <v>CONCRETO 3500 PSI ( 24 MPA) PARA VIGA CABEZAL SOBRE PILOTES Y/O COLUMNAS (Premezclado. Incluye Suministro, Formaleteo, Bombeo,  Colocación y Curado. No incluye Refuerzo)</v>
          </cell>
          <cell r="D2380" t="str">
            <v>M3</v>
          </cell>
          <cell r="E2380">
            <v>486546</v>
          </cell>
        </row>
        <row r="2381">
          <cell r="B2381">
            <v>6649</v>
          </cell>
          <cell r="C2381" t="str">
            <v>CODO 90° CXC PVC SANITARIA D=2" (Incluye suministro e instalación)</v>
          </cell>
          <cell r="D2381" t="str">
            <v>UN</v>
          </cell>
          <cell r="E2381">
            <v>4473</v>
          </cell>
        </row>
        <row r="2382">
          <cell r="B2382">
            <v>6650</v>
          </cell>
          <cell r="C2382" t="str">
            <v>CONCRETO 4000 PSI ( 28 MPA) PARA ESTRIBOS (Premezclado. Incluye Suministro, Formaleteo, Bombeo,  Colocación y Curado. No incluye Refuerzo)</v>
          </cell>
          <cell r="D2382" t="str">
            <v>M3</v>
          </cell>
          <cell r="E2382">
            <v>555182</v>
          </cell>
        </row>
        <row r="2383">
          <cell r="B2383">
            <v>6651</v>
          </cell>
          <cell r="C2383" t="str">
            <v>TRANSFORMADOR TRIFÁSICO SECO TIPO H, 15 KVA, 480/208 - 120V (Cumple NTC 3445. Incluye suministro e instalación)</v>
          </cell>
          <cell r="D2383" t="str">
            <v>UN</v>
          </cell>
          <cell r="E2383">
            <v>3713068</v>
          </cell>
        </row>
        <row r="2384">
          <cell r="B2384">
            <v>6652</v>
          </cell>
          <cell r="C2384" t="str">
            <v>CABLE MONOPOLAR DE ALUMINIO, HF FR PARA 600V C.A. CALIBRE No. 4 AWG (Incluye suministro e instalación)</v>
          </cell>
          <cell r="D2384" t="str">
            <v>M</v>
          </cell>
          <cell r="E2384">
            <v>6352</v>
          </cell>
        </row>
        <row r="2385">
          <cell r="B2385">
            <v>6653</v>
          </cell>
          <cell r="C2385" t="str">
            <v>CONFORMACION DE TALUDES EXISTENTES CON MAQUINARIA (Incluye Equipos y Mano de Obra)</v>
          </cell>
          <cell r="D2385" t="str">
            <v>M2</v>
          </cell>
          <cell r="E2385">
            <v>3143</v>
          </cell>
        </row>
        <row r="2386">
          <cell r="B2386">
            <v>6654</v>
          </cell>
          <cell r="C2386" t="str">
            <v>VÁLVULA COMPUERTA ELÁSTICA VASTAGO NO ASCENDENTE EXTREMO BRIDADO D=3" (Suministro e Instalación)</v>
          </cell>
          <cell r="D2386" t="str">
            <v>UN</v>
          </cell>
          <cell r="E2386">
            <v>621386</v>
          </cell>
        </row>
        <row r="2387">
          <cell r="B2387">
            <v>6655</v>
          </cell>
          <cell r="C2387" t="str">
            <v>ADAPTADOR PVC MACHO ROSCADO DE 3/4" (Suministro e Instalación)</v>
          </cell>
          <cell r="D2387" t="str">
            <v>UN</v>
          </cell>
          <cell r="E2387">
            <v>3330</v>
          </cell>
        </row>
        <row r="2388">
          <cell r="B2388">
            <v>6656</v>
          </cell>
          <cell r="C2388" t="str">
            <v>CONCRETO 3000 PSI PARA COLUMNAS. (Premezclado. Incluye Suministro, Formaleteo y Colocación. No incl. Refuerzo, Curado)</v>
          </cell>
          <cell r="D2388" t="str">
            <v>M3</v>
          </cell>
          <cell r="E2388">
            <v>546795</v>
          </cell>
        </row>
        <row r="2389">
          <cell r="B2389">
            <v>6657</v>
          </cell>
          <cell r="C2389" t="str">
            <v>REDUCCION BRIDADA HD 4"x 3". (Suministro e Instalación).</v>
          </cell>
          <cell r="D2389" t="str">
            <v>UN</v>
          </cell>
          <cell r="E2389">
            <v>249039</v>
          </cell>
        </row>
        <row r="2390">
          <cell r="B2390">
            <v>6658</v>
          </cell>
          <cell r="C2390" t="str">
            <v>CABLE MONOPOLAR DE ALUMINIO, HF FR PARA 600V C.A. CALIBRE No. 4/0 AWG (Incluye suministro e instalación)</v>
          </cell>
          <cell r="D2390" t="str">
            <v>M</v>
          </cell>
          <cell r="E2390">
            <v>13699</v>
          </cell>
        </row>
        <row r="2391">
          <cell r="B2391">
            <v>6659</v>
          </cell>
          <cell r="C2391" t="str">
            <v>DIFUSOR DE SUMINISTRO 1150 CFM 20" X 16" (INCLUYE SUMINISTRO E INSTALACION)</v>
          </cell>
          <cell r="D2391" t="str">
            <v>UN</v>
          </cell>
          <cell r="E2391">
            <v>258725</v>
          </cell>
        </row>
        <row r="2392">
          <cell r="B2392">
            <v>6660</v>
          </cell>
          <cell r="C2392" t="str">
            <v>VÁLVULA VENTOSA HD DOBLE CÁMARA D=1" EXTREMO ROSCADO (Suministro e Instalación)</v>
          </cell>
          <cell r="D2392" t="str">
            <v>UN</v>
          </cell>
          <cell r="E2392">
            <v>703566</v>
          </cell>
        </row>
        <row r="2393">
          <cell r="B2393">
            <v>6661</v>
          </cell>
          <cell r="C2393" t="str">
            <v>CONCRETO 3000 PSI PARA VIGAS DE CIMENTACIÓN (Premezclado. Incluye Sumin., Formaleteo y Colocación. No incl. Refuerzo, Curado).</v>
          </cell>
          <cell r="D2393" t="str">
            <v>M3</v>
          </cell>
          <cell r="E2393">
            <v>460519</v>
          </cell>
        </row>
        <row r="2394">
          <cell r="B2394">
            <v>6662</v>
          </cell>
          <cell r="C2394" t="str">
            <v>UNION PVC U.M. EXT CORRUGADO/INT LISO U.M. NORMA NTC 3722-1 D=160MM (6") (Suministro e Instalación)</v>
          </cell>
          <cell r="D2394" t="str">
            <v>M</v>
          </cell>
          <cell r="E2394">
            <v>33535</v>
          </cell>
        </row>
        <row r="2395">
          <cell r="B2395">
            <v>6663</v>
          </cell>
          <cell r="C2395" t="str">
            <v>INTERRUPTOR DOBLE PARA ENCENDIDO/APAGADO DE ILUMINACION DE 20 A.  (Incluye accesorios de instalación, fijación, caja de salida y elementos de conexión). NO incluye tubería ni cableado</v>
          </cell>
          <cell r="D2395" t="str">
            <v>UN</v>
          </cell>
          <cell r="E2395">
            <v>12102</v>
          </cell>
        </row>
        <row r="2396">
          <cell r="B2396">
            <v>6664</v>
          </cell>
          <cell r="C2396" t="str">
            <v>CONCRETO GRAVA COMÚN 3500 PSI (245 Kg/Cm2) PARA PARAPETO (PREMEZCLADO . INCLUYE SUMINISTRO, COLOCACIÓN,  FORMALETEO, BOMBEO Y CURADO. NO INCLUYE REFUERZO).</v>
          </cell>
          <cell r="D2396" t="str">
            <v>M3</v>
          </cell>
          <cell r="E2396">
            <v>437260</v>
          </cell>
        </row>
        <row r="2397">
          <cell r="B2397">
            <v>6665</v>
          </cell>
          <cell r="C2397" t="str">
            <v>CONCRETO 4000 PSI ( 28 MPA) PARA VIGA CABEZAL SOBRE PILOTES Y/O COLUMNAS (Premezclado. Incluye Suministro, Formaleteo, Bombeo,  Colocación y Curado. No incluye Refuerzo)</v>
          </cell>
          <cell r="D2397" t="str">
            <v>M3</v>
          </cell>
          <cell r="E2397">
            <v>500979</v>
          </cell>
        </row>
        <row r="2398">
          <cell r="B2398">
            <v>6666</v>
          </cell>
          <cell r="C2398" t="str">
            <v>CONCRETO 4000 PSI PARA DADOS DE COLUMNAS (Premezclado. Incluye Sumin, Formaleteo, bombeo, Colocación y curado. No incl. Refuerzo).</v>
          </cell>
          <cell r="D2398" t="str">
            <v>M3</v>
          </cell>
          <cell r="E2398">
            <v>505851</v>
          </cell>
        </row>
        <row r="2399">
          <cell r="B2399">
            <v>6667</v>
          </cell>
          <cell r="C2399" t="str">
            <v>CONCRETO 4000 PSI PARA ESTRUCTURA DE APROXIMACIÓN (Premezclado. Incluye Sumin., Formaleteo, Bombeo, Curado y Colocación. No incl. Refuerzo).</v>
          </cell>
          <cell r="D2399" t="str">
            <v>M3</v>
          </cell>
          <cell r="E2399">
            <v>459369</v>
          </cell>
        </row>
        <row r="2400">
          <cell r="B2400">
            <v>6668</v>
          </cell>
          <cell r="C2400" t="str">
            <v>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D2400" t="str">
            <v>UN</v>
          </cell>
          <cell r="E2400">
            <v>1668240</v>
          </cell>
        </row>
        <row r="2401">
          <cell r="B2401">
            <v>6669</v>
          </cell>
          <cell r="C2401" t="str">
            <v>RETIRO DE CENTRO DE DISTRIBUCION URBANO, MONTAJE DE ESTRUCTURA TIPO H DE TRANSFORMADOR TRIFASICO CON CIRCUITO PRIMARIO TENGENCIAL Y RED TRENZADA DE B. T.  NORMA CODENSA CTU 503 (Incluye traslado a sitio de acopio)</v>
          </cell>
          <cell r="D2401" t="str">
            <v>GLB</v>
          </cell>
          <cell r="E2401">
            <v>317864</v>
          </cell>
        </row>
        <row r="2402">
          <cell r="B2402">
            <v>6670</v>
          </cell>
          <cell r="C2402" t="str">
            <v>MALLA ELECTROSOLDADA 0.15x0.15mx7.5 mm  D=7.5 mm(Incluye Suministro, Fijación e Instalación)</v>
          </cell>
          <cell r="D2402" t="str">
            <v>KG</v>
          </cell>
          <cell r="E2402">
            <v>3762</v>
          </cell>
        </row>
        <row r="2403">
          <cell r="B2403">
            <v>6671</v>
          </cell>
          <cell r="C2403" t="str">
            <v>MALLA ELECTROSOLDADA 0.15x0.15mx6.5mm  D=6.5 mm (Incluye Suministro, Fijación e Instalación)</v>
          </cell>
          <cell r="D2403" t="str">
            <v>KG</v>
          </cell>
          <cell r="E2403">
            <v>3762</v>
          </cell>
        </row>
        <row r="2404">
          <cell r="B2404">
            <v>6672</v>
          </cell>
          <cell r="C2404" t="str">
            <v>IMPERMEABILIZACIÓN EN LAMINAS PARA TABLERO DE SUPERESTRUCTURA (Incluye Suministro e instalación)</v>
          </cell>
          <cell r="D2404" t="str">
            <v>M2</v>
          </cell>
          <cell r="E2404">
            <v>1509</v>
          </cell>
        </row>
        <row r="2405">
          <cell r="B2405">
            <v>6673</v>
          </cell>
          <cell r="C2405" t="str">
            <v>DEMOLICION MANUAL DE CAJA SENCILLA CS 274 (Incluye demolición de placa piso, tapa, muros y cañuelas y cargue)</v>
          </cell>
          <cell r="D2405" t="str">
            <v>UN</v>
          </cell>
          <cell r="E2405">
            <v>140188</v>
          </cell>
        </row>
        <row r="2406">
          <cell r="B2406">
            <v>6674</v>
          </cell>
          <cell r="C2406" t="str">
            <v>EMPALME RECTO CONTRÁCTIL EN FRÍO PARA 35 KV, USO EXTERIOR, CALIBRE 2/0 A 600 MCM. INCLUYE SUMINISTRO E INSTALACIÓN</v>
          </cell>
          <cell r="D2406" t="str">
            <v>UN</v>
          </cell>
          <cell r="E2406">
            <v>15108</v>
          </cell>
        </row>
        <row r="2407">
          <cell r="B2407">
            <v>6675</v>
          </cell>
          <cell r="C2407" t="str">
            <v>RETIRO DE TRANSFORMADOR AISLADO EN ACEITE (DE 30 KVA A 225 KVA), 11.400 VC.A./208-120 VC.A. INSTALADO EN POSTE (Incluye traslado a sitio de acopio).</v>
          </cell>
          <cell r="D2407" t="str">
            <v>UN</v>
          </cell>
          <cell r="E2407">
            <v>224449</v>
          </cell>
        </row>
        <row r="2408">
          <cell r="B2408">
            <v>6676</v>
          </cell>
          <cell r="C2408" t="str">
            <v>DEMOLICION MANUAL DE CAJA SENCILLA CS 280  (Incluye demolición de placa piso, tapa, muros y cañuela y cargue).</v>
          </cell>
          <cell r="D2408" t="str">
            <v>UN</v>
          </cell>
          <cell r="E2408">
            <v>102455</v>
          </cell>
        </row>
        <row r="2409">
          <cell r="B2409">
            <v>6677</v>
          </cell>
          <cell r="C2409" t="str">
            <v>MACROMEDIDOR TIPO WOLTMAN DE 3" (IncluyeSuministro e instalación).</v>
          </cell>
          <cell r="D2409" t="str">
            <v>UN</v>
          </cell>
          <cell r="E2409">
            <v>1092270</v>
          </cell>
        </row>
        <row r="2410">
          <cell r="B2410">
            <v>6678</v>
          </cell>
          <cell r="C2410" t="str">
            <v>DERIVACION PARA CONEXION A TIERRA DE EQUIPOS EN CABLE DESNUDO DE COBRE 1/0 AWG  (Incluye suministro e instalación)</v>
          </cell>
          <cell r="D2410" t="str">
            <v>UN</v>
          </cell>
          <cell r="E2410">
            <v>45849</v>
          </cell>
        </row>
        <row r="2411">
          <cell r="B2411">
            <v>6679</v>
          </cell>
          <cell r="C2411" t="str">
            <v>SALIDA PARA LAMPARA LED 25W, 120V, 60HZ, IP65. Incluye luminaria, accesorios de instalación y fijación, caja de salida, elementos de conexión de empalme y de montaje. No incluye tubería ni cableado.</v>
          </cell>
          <cell r="D2411" t="str">
            <v>UN</v>
          </cell>
          <cell r="E2411">
            <v>2058264</v>
          </cell>
        </row>
        <row r="2412">
          <cell r="B2412">
            <v>6680</v>
          </cell>
          <cell r="C2412" t="str">
            <v>SALIDA PARA TOMACORRIENTE DOBLE REGULADA MONOFÁSICO CON POLO A TIERRA, 15 A, 120 V  TIPO NEMA 5-15R, IP 43. (Incluye caja de paso 5800, conduit PVC 3/4", conductor 3X12 AWG-HFFR).</v>
          </cell>
          <cell r="D2412" t="str">
            <v>UN</v>
          </cell>
          <cell r="E2412">
            <v>21681</v>
          </cell>
        </row>
        <row r="2413">
          <cell r="B2413">
            <v>6681</v>
          </cell>
          <cell r="C2413" t="str">
            <v>TABLERO DE 36 CIRCUITOS TNACPLAT EMPOTRADO CON PUERTA Y CHAPA, EN LÁMINA COLD ROLLED IP44 A 208/120 V. C.A BARRAJE TRIFÁSICO 5 HILOS, 3F+N+T. INTERRUPTORES ENCHUFABLES COMO TOTALIZADOR DE 3x75 A. INTERRUPTORES ENCHUFABLES: 30 DE 1x20A. INCLUYE TODOS LOS ACCESORIOS. SUMINISTRO E INSTALACIÓN.</v>
          </cell>
          <cell r="D2413" t="str">
            <v>UN</v>
          </cell>
          <cell r="E2413">
            <v>486387</v>
          </cell>
        </row>
        <row r="2414">
          <cell r="B2414">
            <v>6682</v>
          </cell>
          <cell r="C2414" t="str">
            <v>INTERRUPTOR SENCILLO CONMUTABLE PARA ENCENDIDO/APAGADO DE ILUMINACIÓN DE 20 A. Incluye accesorios de instalación, fijación, caja de salida y elementos de conexión. No incluye tubería ni cableado.</v>
          </cell>
          <cell r="D2414" t="str">
            <v>UN</v>
          </cell>
          <cell r="E2414">
            <v>8585</v>
          </cell>
        </row>
        <row r="2415">
          <cell r="B2415">
            <v>6683</v>
          </cell>
          <cell r="C2415" t="str">
            <v>TEE HD EXTREMO JUNTA HIDRÁULICA 12" x 4" (Suministro e Instalación)</v>
          </cell>
          <cell r="D2415" t="str">
            <v>UN</v>
          </cell>
          <cell r="E2415">
            <v>1477943</v>
          </cell>
        </row>
        <row r="2416">
          <cell r="B2416">
            <v>6684</v>
          </cell>
          <cell r="C2416" t="str">
            <v>REDUCCIÓN BRIDADA DE 28" x 20" CLASE 300 EN HD CON UNIONES MECÁNICAS SEGÚN NORMA AWWA C153 (Suministro e Instalación)</v>
          </cell>
          <cell r="D2416" t="str">
            <v>UN</v>
          </cell>
          <cell r="E2416">
            <v>10168854</v>
          </cell>
        </row>
        <row r="2417">
          <cell r="B2417">
            <v>6685</v>
          </cell>
          <cell r="C2417" t="str">
            <v>TABLERO DISTRIBUCIÓN RECAUDO 480-277V, 3F+1N+1T (Incluye suministro e instalación)</v>
          </cell>
          <cell r="D2417" t="str">
            <v>UN</v>
          </cell>
          <cell r="E2417">
            <v>8117161</v>
          </cell>
        </row>
        <row r="2418">
          <cell r="B2418">
            <v>6686</v>
          </cell>
          <cell r="C2418" t="str">
            <v>CONFORMACION DE TERRAPLENES CON MATERIAL DE EXCAVACIÓN. (Incluye equipo y mano de obra)</v>
          </cell>
          <cell r="D2418" t="str">
            <v>M3</v>
          </cell>
          <cell r="E2418">
            <v>7645</v>
          </cell>
        </row>
        <row r="2419">
          <cell r="B2419">
            <v>6687</v>
          </cell>
          <cell r="C2419" t="str">
            <v>RECONSTRUCCIÓN CÁMARA DE INSPECCIÓN T-13 ETB (H=2.3m. Incluye Base, Muros, Cubierta, Aro-Base y Aro-Tapa)</v>
          </cell>
          <cell r="D2419" t="str">
            <v>UN</v>
          </cell>
          <cell r="E2419">
            <v>1406908</v>
          </cell>
        </row>
        <row r="2420">
          <cell r="B2420">
            <v>6688</v>
          </cell>
          <cell r="C2420" t="str">
            <v>VÁLVULA CHEQUE 8" CLASE  150 (Incluye suministro e instalación)</v>
          </cell>
          <cell r="D2420" t="str">
            <v>UN</v>
          </cell>
          <cell r="E2420">
            <v>1735565</v>
          </cell>
        </row>
        <row r="2421">
          <cell r="B2421">
            <v>6689</v>
          </cell>
          <cell r="C2421" t="str">
            <v>CONCRETO 3000 PSI PARA BORDILLOS Y MUROS SOBRE VIGA CABEZAL (Premezclado. Incluye Sumin., Formaleteo, bombeo, colocación y curado. No incl. Refuerzo).</v>
          </cell>
          <cell r="D2421" t="str">
            <v>M3</v>
          </cell>
          <cell r="E2421">
            <v>436905</v>
          </cell>
        </row>
        <row r="2422">
          <cell r="B2422">
            <v>6690</v>
          </cell>
          <cell r="C2422" t="str">
            <v>RETIRO DE CONDUCTORES (BT CALIBRE 3x4/0 + 1x2/0 Y MENORES, MT DE HASTA 3X350 MCM XLPE)</v>
          </cell>
          <cell r="D2422" t="str">
            <v>M</v>
          </cell>
          <cell r="E2422">
            <v>160</v>
          </cell>
        </row>
        <row r="2423">
          <cell r="B2423">
            <v>6691</v>
          </cell>
          <cell r="C2423" t="str">
            <v>CONCRETO 5000 PSI COLOR OCRE PARA COLUMNAS (Premezclado. Incluye Sumin, Formaleteo y Colocación. No incl. Refuerzo, Curado).</v>
          </cell>
          <cell r="D2423" t="str">
            <v>M3</v>
          </cell>
          <cell r="E2423">
            <v>1010592</v>
          </cell>
        </row>
        <row r="2424">
          <cell r="B2424">
            <v>6692</v>
          </cell>
          <cell r="C2424" t="str">
            <v>CODO 90° PVC E.L. D= 3/4" (Incluye suministro e instalación, soldadura)</v>
          </cell>
          <cell r="D2424" t="str">
            <v>UN</v>
          </cell>
          <cell r="E2424">
            <v>4373</v>
          </cell>
        </row>
        <row r="2425">
          <cell r="B2425">
            <v>6693</v>
          </cell>
          <cell r="C2425" t="str">
            <v>GEOTEXTIL DE REFUERZO TIPO NT 2500 PARA TALUDES (Incluye Suministro e Instalación)</v>
          </cell>
          <cell r="D2425" t="str">
            <v>M2</v>
          </cell>
          <cell r="E2425">
            <v>8388</v>
          </cell>
        </row>
        <row r="2426">
          <cell r="B2426">
            <v>6694</v>
          </cell>
          <cell r="C2426" t="str">
            <v>TEE REDUCIDA PVC SOLDAR DE 1" x 3/4". (Suministro e instalación)</v>
          </cell>
          <cell r="D2426" t="str">
            <v>UN</v>
          </cell>
          <cell r="E2426">
            <v>5264</v>
          </cell>
        </row>
        <row r="2427">
          <cell r="B2427">
            <v>6695</v>
          </cell>
          <cell r="C2427" t="str">
            <v>DREN HORIZONTAL DE LONGITUD MENOR O IGUAL A DIEZ METROS (10 M) (Incluye Suministro e Instalación)</v>
          </cell>
          <cell r="D2427" t="str">
            <v>M</v>
          </cell>
          <cell r="E2427">
            <v>68534</v>
          </cell>
        </row>
        <row r="2428">
          <cell r="B2428">
            <v>6696</v>
          </cell>
          <cell r="C2428" t="str">
            <v>PILOTE D=1.00 M DE CONCRETO 4000 PSI VERIFICAR (28MPA) (Incl. Excavación, Cargue, movilización, montaje, descabece y desmontaje equipo)</v>
          </cell>
          <cell r="D2428" t="str">
            <v>M3</v>
          </cell>
          <cell r="E2428">
            <v>1569937</v>
          </cell>
        </row>
        <row r="2429">
          <cell r="B2429">
            <v>6697</v>
          </cell>
          <cell r="C2429" t="str">
            <v>REDUCCION PVC TIPO U.M. 3"x2 1 /2" (Suministro e Instalación)</v>
          </cell>
          <cell r="D2429" t="str">
            <v>UN</v>
          </cell>
          <cell r="E2429">
            <v>16939</v>
          </cell>
        </row>
        <row r="2430">
          <cell r="B2430">
            <v>6698</v>
          </cell>
          <cell r="C2430" t="str">
            <v>TUBERIA PVC PARA DRENAJE D=2" SIN FILTRO (Incluye Suministro e Instalación)</v>
          </cell>
          <cell r="D2430" t="str">
            <v>M</v>
          </cell>
          <cell r="E2430">
            <v>11066</v>
          </cell>
        </row>
        <row r="2431">
          <cell r="B2431">
            <v>6699</v>
          </cell>
          <cell r="C2431" t="str">
            <v>REDUCCION PVC TIPO U.M. 2 1 /2" x 2" (Suministro e Instalación)</v>
          </cell>
          <cell r="D2431" t="str">
            <v>UN</v>
          </cell>
          <cell r="E2431">
            <v>11653</v>
          </cell>
        </row>
        <row r="2432">
          <cell r="B2432">
            <v>6700</v>
          </cell>
          <cell r="C2432" t="str">
            <v>REDUCCIÓN  EN ACERO 45° x 42° CON ESPIGO Ø=45" Y CAMPANA Ø=42", revestida interior y exteriormente con mortero de cemento. L=0.35m. Presión de trabajo=150 psi) SUMINISTRO E INSTALACIÓN</v>
          </cell>
          <cell r="D2432" t="str">
            <v>UN</v>
          </cell>
          <cell r="E2432">
            <v>7485640</v>
          </cell>
        </row>
        <row r="2433">
          <cell r="B2433">
            <v>6701</v>
          </cell>
          <cell r="C2433" t="str">
            <v>BLOQUE DE POLIESTIRENO EXPANDIDO. (Incluye transporte e instalación).</v>
          </cell>
          <cell r="D2433" t="str">
            <v>M3</v>
          </cell>
          <cell r="E2433">
            <v>331373</v>
          </cell>
        </row>
        <row r="2434">
          <cell r="B2434">
            <v>6702</v>
          </cell>
          <cell r="C2434" t="str">
            <v>REDUCCION  EN ACERO 27° A 24° EN CCP. (Incluye espigo Ø=27" y campana Ø=24", revestida interior y exteriormente con mortero de cemento. L=0.35m. Presión de trabajo=150 psi).</v>
          </cell>
          <cell r="D2434" t="str">
            <v>UN</v>
          </cell>
          <cell r="E2434">
            <v>4389234</v>
          </cell>
        </row>
        <row r="2435">
          <cell r="B2435">
            <v>6703</v>
          </cell>
          <cell r="C2435" t="str">
            <v>CONCRETO 2000 PSI PARA MOJONES O PUNTOS DE CONTROL TOPOGRÁFICO (0.21mx 0.21m x 0.21m) (Premezclado. Incluye Suministro e Instalación.</v>
          </cell>
          <cell r="D2435" t="str">
            <v>UN</v>
          </cell>
          <cell r="E2435">
            <v>5610</v>
          </cell>
        </row>
        <row r="2436">
          <cell r="B2436">
            <v>6704</v>
          </cell>
          <cell r="C2436" t="str">
            <v>CONCRETO 3000 PSI COLOR OCRE PARA ESCALERAS (Premezclado. Incluye Sumin, Formaleteo y Colocación. No incl. Refuerzo, Curado).</v>
          </cell>
          <cell r="D2436" t="str">
            <v>M3</v>
          </cell>
          <cell r="E2436">
            <v>764288</v>
          </cell>
        </row>
        <row r="2437">
          <cell r="B2437">
            <v>6705</v>
          </cell>
          <cell r="C2437" t="str">
            <v>JUNTA DE DILATACION ELASTOMÉRICA PARA DESPLAZAMIENTO MIN=+/- 115 MM A MAX =+/- 130 MM (Incluye Suministro, accesorios, materiales e instalación).</v>
          </cell>
          <cell r="D2437" t="str">
            <v>M</v>
          </cell>
          <cell r="E2437">
            <v>3870624</v>
          </cell>
        </row>
        <row r="2438">
          <cell r="B2438">
            <v>6706</v>
          </cell>
          <cell r="C2438" t="str">
            <v>CONCRETO 3000 PSI COLOR OCRE PARA PLACAS, VIGAS AÉREAS Y VIGUETAS (Premezclado. Incluye Sumin, Formaleteo y Colocación. No incl. Refuerzo, Curado).</v>
          </cell>
          <cell r="D2438" t="str">
            <v>M3</v>
          </cell>
          <cell r="E2438">
            <v>846712</v>
          </cell>
        </row>
        <row r="2439">
          <cell r="B2439">
            <v>6707</v>
          </cell>
          <cell r="C2439" t="str">
            <v>JUNTA DE DILATACION ELASTOMÉRICA PARA DESPLAZAMIENTO MIN=+/- 80 MM A MAX =+/- 100 MM (Incluye Suministro, accesorios, materiales e instalación).</v>
          </cell>
          <cell r="D2439" t="str">
            <v>M</v>
          </cell>
          <cell r="E2439">
            <v>2616549</v>
          </cell>
        </row>
        <row r="2440">
          <cell r="B2440">
            <v>6708</v>
          </cell>
          <cell r="C2440" t="str">
            <v>CONCRETO 3000 PSI COLOR OCRE PARA COLUMNAS (Premezclado. Incluye Sumin, Formaleteo y Colocación. No incl. Refuerzo, Curado).</v>
          </cell>
          <cell r="D2440" t="str">
            <v>M3</v>
          </cell>
          <cell r="E2440">
            <v>821918</v>
          </cell>
        </row>
        <row r="2441">
          <cell r="B2441">
            <v>6709</v>
          </cell>
          <cell r="C2441" t="str">
            <v>JUNTA DE DILATACION ELASTOMÉRICA PARA DESPLAZAMIENTO MIN=+/- 65 MM A MAX =+/- 80 MM (Incluye Suministro, accesorios, materiales e instalación).</v>
          </cell>
          <cell r="D2441" t="str">
            <v>M</v>
          </cell>
          <cell r="E2441">
            <v>2616549</v>
          </cell>
        </row>
        <row r="2442">
          <cell r="B2442">
            <v>6710</v>
          </cell>
          <cell r="C2442" t="str">
            <v>CONCRETO 4000 PSI PARA VIGAS DE CIMENTACIÓN (Premezclado. Incluye Sumin., Formaleteo y Colocación. No incl. Refuerzo, Curado).</v>
          </cell>
          <cell r="D2442" t="str">
            <v>M3</v>
          </cell>
          <cell r="E2442">
            <v>493713</v>
          </cell>
        </row>
        <row r="2443">
          <cell r="B2443">
            <v>6711</v>
          </cell>
          <cell r="C2443" t="str">
            <v>JUNTA DE DILATACION ELASTOMÉRICA PARA DESPLAZAMIENTO MIN=+/- 100 MM A MAX =+/- 115 MM (Incluye Suministro, accesorios, materiales e instalación).</v>
          </cell>
          <cell r="D2443" t="str">
            <v>M</v>
          </cell>
          <cell r="E2443">
            <v>3913925</v>
          </cell>
        </row>
        <row r="2444">
          <cell r="B2444">
            <v>6712</v>
          </cell>
          <cell r="C2444" t="str">
            <v>JUNTA DE DILATACION JNA-70 PARA DESPLAZAMIENTO MIN=+/- 35 MM A MAX (Incluye Suministro, accesorios, materiales e instalación).</v>
          </cell>
          <cell r="D2444" t="str">
            <v>M</v>
          </cell>
          <cell r="E2444">
            <v>876573</v>
          </cell>
        </row>
        <row r="2445">
          <cell r="B2445">
            <v>6713</v>
          </cell>
          <cell r="C2445" t="str">
            <v>APOYO ELASTOMÉRICO TIPO SLIDE-FLON 60x70x7,5 cm PARA SUPERESTRUCTURA ^=+/- 180 mm Y CARGA AXIAL SEGÚN PLANOS. Incluye lámina de fijación, lámina de teflón, accesorios, suministro e instalación.</v>
          </cell>
          <cell r="D2445" t="str">
            <v>UN</v>
          </cell>
          <cell r="E2445">
            <v>4179544</v>
          </cell>
        </row>
        <row r="2446">
          <cell r="B2446">
            <v>6714</v>
          </cell>
          <cell r="C2446" t="str">
            <v>RACK (Gabinete) CERRADO DE COMUNICACIONES DE PISO 20 RU. EN LÁMINA COLD ROLLED 20" (Dimensiones: Altura 95 cm +/- 10 cm, Ancho 65 cm +/- 10 cm, Profundidad 60 cm +/- 5 ccm)</v>
          </cell>
          <cell r="D2446" t="str">
            <v>UN</v>
          </cell>
          <cell r="E2446">
            <v>473066</v>
          </cell>
        </row>
        <row r="2447">
          <cell r="B2447">
            <v>6715</v>
          </cell>
          <cell r="C2447" t="str">
            <v>RECONSTRUCCIÓN CÁMARA DE INSPECCIÓN T-13A ETB (H=2.3m. Incluye Base, Muros, Cubierta, Aro-Base y Aro-Tapa)</v>
          </cell>
          <cell r="D2447" t="str">
            <v>UN</v>
          </cell>
          <cell r="E2447">
            <v>1782182</v>
          </cell>
        </row>
        <row r="2448">
          <cell r="B2448">
            <v>6716</v>
          </cell>
          <cell r="C2448" t="str">
            <v>CODO HD 11.25° EXTREMO LISO PARA PVC D=14" (Suministro e Instalación)</v>
          </cell>
          <cell r="D2448" t="str">
            <v>UN</v>
          </cell>
          <cell r="E2448">
            <v>1395885</v>
          </cell>
        </row>
        <row r="2449">
          <cell r="B2449">
            <v>6717</v>
          </cell>
          <cell r="C2449" t="str">
            <v>RECONSTRUCCIÓN CÁMARA DE INSPECCIÓN T-14 ETB (H=2.3m. Incluye Base, Muros, Cubierta, Aro-Base y Aro-Tapa)</v>
          </cell>
          <cell r="D2449" t="str">
            <v>UN</v>
          </cell>
          <cell r="E2449">
            <v>1571959</v>
          </cell>
        </row>
        <row r="2450">
          <cell r="B2450">
            <v>6718</v>
          </cell>
          <cell r="C2450" t="str">
            <v>RECONSTRUCCIÓN CÁMARA DE INSPECCIÓN T-14A ETB (H=2.3m. Incluye Base, Muros, Cubierta, Aro-Base y Aro-Tapa)</v>
          </cell>
          <cell r="D2450" t="str">
            <v>UN</v>
          </cell>
          <cell r="E2450">
            <v>1592369</v>
          </cell>
        </row>
        <row r="2451">
          <cell r="B2451">
            <v>6719</v>
          </cell>
          <cell r="C2451" t="str">
            <v>RECONSTRUCCIÓN CÁMARA DE INSPECCIÓN T-16 ETB (H=2.3m. Incluye Base, Muros, Cubierta, Aro-Base y Aro-Tapa)</v>
          </cell>
          <cell r="D2451" t="str">
            <v>UN</v>
          </cell>
          <cell r="E2451">
            <v>1886901</v>
          </cell>
        </row>
        <row r="2452">
          <cell r="B2452">
            <v>6720</v>
          </cell>
          <cell r="C2452" t="str">
            <v>RECONSTRUCCIÓN CÁMARA DE INSPECCIÓN T-16A ETB (H=2.3m. Incluye Base, Muros, Cubierta, Aro-Base y Aro-Tapa)</v>
          </cell>
          <cell r="D2452" t="str">
            <v>UN</v>
          </cell>
          <cell r="E2452">
            <v>2144497</v>
          </cell>
        </row>
        <row r="2453">
          <cell r="B2453">
            <v>6721</v>
          </cell>
          <cell r="C2453" t="str">
            <v>RECONSTRUCCIÓN CÁMARA DE INSPECCIÓN T-18 ETB (H=2.3m. Incluye Base, Muros, Cubierta, Aro-Base y Aro-Tapa)</v>
          </cell>
          <cell r="D2453" t="str">
            <v>UN</v>
          </cell>
          <cell r="E2453">
            <v>1292112</v>
          </cell>
        </row>
        <row r="2454">
          <cell r="B2454">
            <v>6722</v>
          </cell>
          <cell r="C2454" t="str">
            <v>TAPON HD EXTREMO JUNTA HIDRÁULICA D=4"  (Suministro e Instalación)</v>
          </cell>
          <cell r="D2454" t="str">
            <v>UN</v>
          </cell>
          <cell r="E2454">
            <v>162295</v>
          </cell>
        </row>
        <row r="2455">
          <cell r="B2455">
            <v>6723</v>
          </cell>
          <cell r="C2455" t="str">
            <v>ARRANCADOR SUAVE DE 150 HP, 178amp. 440v (Incluye totalizador y cofre Nema 3R, cumple RETIE). Suministro e Instalación</v>
          </cell>
          <cell r="D2455" t="str">
            <v>UN</v>
          </cell>
          <cell r="E2455">
            <v>8245965</v>
          </cell>
        </row>
        <row r="2456">
          <cell r="B2456">
            <v>6724</v>
          </cell>
          <cell r="C2456" t="str">
            <v>CODO HD 22.5° EXTREMO JUNTA HIDRÁULICA PARA PVC D= 8" (Suministro e Instalación)</v>
          </cell>
          <cell r="D2456" t="str">
            <v>UN</v>
          </cell>
          <cell r="E2456">
            <v>484798</v>
          </cell>
        </row>
        <row r="2457">
          <cell r="B2457">
            <v>6725</v>
          </cell>
          <cell r="C2457" t="str">
            <v>REDUCCIÓN PVC SOLDAR DE 1 1/2" x 3/4"(Suministro e Instalación)</v>
          </cell>
          <cell r="D2457" t="str">
            <v>UN</v>
          </cell>
          <cell r="E2457">
            <v>7710</v>
          </cell>
        </row>
        <row r="2458">
          <cell r="B2458">
            <v>6726</v>
          </cell>
          <cell r="C2458" t="str">
            <v>ARRANCADOR SUAVE DE 28kW, aprox. 40 HP 50amp. 440v (Incluye totalizador y cofre Nema 3R, cumple RETIE). Suministro e Instalación</v>
          </cell>
          <cell r="D2458" t="str">
            <v>UN</v>
          </cell>
          <cell r="E2458">
            <v>3765615</v>
          </cell>
        </row>
        <row r="2459">
          <cell r="B2459">
            <v>6727</v>
          </cell>
          <cell r="C2459" t="str">
            <v>ARRANCADOR SUAVE DE 18kW, aprox. 25 HP 32amp. 440v (Incluye totalizador y cofre Nema 3R, cumple RETIE). Suministro e Instalación</v>
          </cell>
          <cell r="D2459" t="str">
            <v>UN</v>
          </cell>
          <cell r="E2459">
            <v>3332455</v>
          </cell>
        </row>
        <row r="2460">
          <cell r="B2460">
            <v>6728</v>
          </cell>
          <cell r="C2460" t="str">
            <v>REDUCCIÓN PVC SOLDAR DE 2" x 1/2"(Suministro e Instalación)</v>
          </cell>
          <cell r="D2460" t="str">
            <v>UN</v>
          </cell>
          <cell r="E2460">
            <v>10897</v>
          </cell>
        </row>
        <row r="2461">
          <cell r="B2461">
            <v>6729</v>
          </cell>
          <cell r="C2461" t="str">
            <v>JUNTA DE DILATACION JNA-330 PARA DESPLAZAMIENTO =+/- 165 MM A MAX (Incluye Suministro, accesorios, materiales e instalación).</v>
          </cell>
          <cell r="D2461" t="str">
            <v>M</v>
          </cell>
          <cell r="E2461">
            <v>5410368</v>
          </cell>
        </row>
        <row r="2462">
          <cell r="B2462">
            <v>6730</v>
          </cell>
          <cell r="C2462" t="str">
            <v>TUBERÍA EN ACERO Ø16" CON UNIONES ESPIGO/CAMPANA CON EMPAQUE DE CAUCHO. REVEST.INTERIOR Y RECUBR EXT. EN MORTERO CEMENTO. L= 6.00m PRESIÓN TRABAJO 150 PSI. SUMINISTRO E INSTALACIÓN</v>
          </cell>
          <cell r="D2462" t="str">
            <v>M</v>
          </cell>
          <cell r="E2462">
            <v>675911</v>
          </cell>
        </row>
        <row r="2463">
          <cell r="B2463">
            <v>6731</v>
          </cell>
          <cell r="C2463" t="str">
            <v>CODO EN ACERO Ø24" ENTRE 67 1/2° Y 90° JUNTA ESPIGO Y CAMPANA, CON EMPAQUE DE CAUCHO, CON REVEST.INT. Y RECUBR. EXT. EN MORTERO DE CEMENTO. L= 1.65m x 1.65m PRESIÓN DE TRABAJO 150PSI. SUMINISTRO E INSTALACIÓN</v>
          </cell>
          <cell r="D2463" t="str">
            <v>UN</v>
          </cell>
          <cell r="E2463">
            <v>7179046</v>
          </cell>
        </row>
        <row r="2464">
          <cell r="B2464">
            <v>6732</v>
          </cell>
          <cell r="C2464" t="str">
            <v>TUBO EN ACERO Ø 20" CON UNIONES ESPIGO/CAMPANA CON EMPAQUE DE CAUCHO. REVEST.INTERIOR Y RECUBR EXT. EN MORTERO CEMENTO. L= 6.00m PRESIÓN TRABAJO 150 PSI. NORMA AWWA C200 A PARTIR DE LÁMINA ASTM A 36</v>
          </cell>
          <cell r="D2464" t="str">
            <v>UN</v>
          </cell>
          <cell r="E2464">
            <v>846394</v>
          </cell>
        </row>
        <row r="2465">
          <cell r="B2465">
            <v>6733</v>
          </cell>
          <cell r="C2465" t="str">
            <v>REDUCCIÓN  EN ACERO 24" x 16" PN10 TIPO CILINDRO CON REFUERZO DE VARILLA CON ESPIGO Ø=24" Y CAMPANA Ø=16", REVESTIDA INTERIOR Y EXTERIOR CON MORTERO DE CEMENTO. L=0.90m. Presión de trabajo=150 psi</v>
          </cell>
          <cell r="D2465" t="str">
            <v>UN</v>
          </cell>
          <cell r="E2465">
            <v>4640895</v>
          </cell>
        </row>
        <row r="2466">
          <cell r="B2466">
            <v>6734</v>
          </cell>
          <cell r="C2466" t="str">
            <v>CODO EN ACERO D=16" ENTRE 22 ½° Y 45° CCP JUNTA ESPIGO-CAMPANA CON EMPAQUE DE CAUCHO, CON REVEST.INT. Y RECUBR. EXT. EN MORTERO DE CEMENTO. L=0.60X0.60M. PRESION DE TRABAJO 150PSI. SUMINISTRO E INSTALACIÓN</v>
          </cell>
          <cell r="D2466" t="str">
            <v>UN</v>
          </cell>
          <cell r="E2466">
            <v>3074577</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tabColor rgb="FF92D050"/>
  </sheetPr>
  <dimension ref="A1:IM171"/>
  <sheetViews>
    <sheetView showGridLines="0" view="pageBreakPreview" topLeftCell="B11" zoomScale="98" zoomScaleNormal="70" zoomScaleSheetLayoutView="98" workbookViewId="0">
      <pane xSplit="5" ySplit="3" topLeftCell="BA149" activePane="bottomRight" state="frozen"/>
      <selection activeCell="B11" sqref="B11"/>
      <selection pane="topRight" activeCell="G11" sqref="G11"/>
      <selection pane="bottomLeft" activeCell="B14" sqref="B14"/>
      <selection pane="bottomRight" activeCell="BD17" sqref="BD17"/>
    </sheetView>
  </sheetViews>
  <sheetFormatPr baseColWidth="10" defaultColWidth="18.7109375" defaultRowHeight="15" x14ac:dyDescent="0.25"/>
  <cols>
    <col min="1" max="1" width="7" style="61" customWidth="1"/>
    <col min="2" max="2" width="7.28515625" style="60" customWidth="1"/>
    <col min="3" max="3" width="7.85546875" style="61" customWidth="1"/>
    <col min="4" max="4" width="64.140625" style="62" customWidth="1"/>
    <col min="5" max="5" width="10.85546875" style="61" customWidth="1"/>
    <col min="6" max="6" width="12.140625" style="63" customWidth="1"/>
    <col min="7" max="7" width="15.28515625" style="64" customWidth="1"/>
    <col min="8" max="8" width="20.42578125" style="65" customWidth="1"/>
    <col min="9" max="9" width="13.7109375" style="65" customWidth="1"/>
    <col min="10" max="10" width="17.140625" style="66" bestFit="1" customWidth="1"/>
    <col min="11" max="11" width="14.140625" style="66" bestFit="1" customWidth="1"/>
    <col min="12" max="12" width="13.7109375" style="65" customWidth="1"/>
    <col min="13" max="13" width="17.140625" style="66" bestFit="1" customWidth="1"/>
    <col min="14" max="14" width="14.140625" style="66" bestFit="1" customWidth="1"/>
    <col min="15" max="15" width="13.85546875" style="65" customWidth="1"/>
    <col min="16" max="16" width="17.140625" style="66" bestFit="1" customWidth="1"/>
    <col min="17" max="17" width="14.140625" style="66" bestFit="1" customWidth="1"/>
    <col min="18" max="18" width="13.42578125" style="65" customWidth="1"/>
    <col min="19" max="19" width="17.140625" style="66" bestFit="1" customWidth="1"/>
    <col min="20" max="20" width="14.140625" style="66" bestFit="1" customWidth="1"/>
    <col min="21" max="21" width="13.7109375" style="65" customWidth="1"/>
    <col min="22" max="22" width="17.140625" style="66" bestFit="1" customWidth="1"/>
    <col min="23" max="23" width="14.140625" style="66" bestFit="1" customWidth="1"/>
    <col min="24" max="24" width="14.140625" style="65" customWidth="1"/>
    <col min="25" max="25" width="17.140625" style="66" bestFit="1" customWidth="1"/>
    <col min="26" max="26" width="14.140625" style="66" bestFit="1" customWidth="1"/>
    <col min="27" max="27" width="13.140625" style="65" customWidth="1"/>
    <col min="28" max="28" width="17.140625" style="66" bestFit="1" customWidth="1"/>
    <col min="29" max="29" width="14.140625" style="66" bestFit="1" customWidth="1"/>
    <col min="30" max="30" width="13.28515625" style="65" customWidth="1"/>
    <col min="31" max="31" width="17.140625" style="66" bestFit="1" customWidth="1"/>
    <col min="32" max="32" width="14.140625" style="66" bestFit="1" customWidth="1"/>
    <col min="33" max="33" width="18.7109375" style="61"/>
    <col min="34" max="34" width="18.7109375" style="61" customWidth="1"/>
    <col min="35" max="35" width="14.140625" style="66" bestFit="1" customWidth="1"/>
    <col min="36" max="37" width="18.7109375" style="61"/>
    <col min="38" max="38" width="14.140625" style="66" bestFit="1" customWidth="1"/>
    <col min="39" max="40" width="18.7109375" style="61"/>
    <col min="41" max="41" width="14.140625" style="66" bestFit="1" customWidth="1"/>
    <col min="42" max="43" width="18.7109375" style="61"/>
    <col min="44" max="44" width="14.140625" style="66" bestFit="1" customWidth="1"/>
    <col min="45" max="45" width="13.7109375" style="61" bestFit="1" customWidth="1"/>
    <col min="46" max="46" width="18.7109375" style="61"/>
    <col min="47" max="47" width="14.140625" style="66" bestFit="1" customWidth="1"/>
    <col min="48" max="48" width="13.7109375" style="61" bestFit="1" customWidth="1"/>
    <col min="49" max="49" width="18.7109375" style="61"/>
    <col min="50" max="50" width="14.140625" style="66" bestFit="1" customWidth="1"/>
    <col min="51" max="51" width="13.7109375" style="61" bestFit="1" customWidth="1"/>
    <col min="52" max="52" width="18.7109375" style="61"/>
    <col min="53" max="53" width="14.140625" style="66" bestFit="1" customWidth="1"/>
    <col min="54" max="55" width="18.7109375" style="61"/>
    <col min="56" max="56" width="14.140625" style="66" bestFit="1" customWidth="1"/>
    <col min="57" max="57" width="13.7109375" style="61" bestFit="1" customWidth="1"/>
    <col min="58" max="58" width="18.7109375" style="61"/>
    <col min="59" max="59" width="14.140625" style="66" bestFit="1" customWidth="1"/>
    <col min="60" max="60" width="13.7109375" style="61" bestFit="1" customWidth="1"/>
    <col min="61" max="61" width="18.7109375" style="61"/>
    <col min="62" max="62" width="14.140625" style="66" bestFit="1" customWidth="1"/>
    <col min="63" max="64" width="18.7109375" style="61"/>
    <col min="65" max="65" width="14.140625" style="66" bestFit="1" customWidth="1"/>
    <col min="66" max="67" width="18.7109375" style="61"/>
    <col min="68" max="68" width="14.140625" style="66" bestFit="1" customWidth="1"/>
    <col min="69" max="256" width="18.7109375" style="61"/>
    <col min="257" max="257" width="7" style="61" customWidth="1"/>
    <col min="258" max="258" width="7.28515625" style="61" customWidth="1"/>
    <col min="259" max="259" width="7.85546875" style="61" customWidth="1"/>
    <col min="260" max="260" width="64.140625" style="61" customWidth="1"/>
    <col min="261" max="261" width="10.85546875" style="61" customWidth="1"/>
    <col min="262" max="262" width="12.140625" style="61" customWidth="1"/>
    <col min="263" max="263" width="15.28515625" style="61" customWidth="1"/>
    <col min="264" max="264" width="20.42578125" style="61" customWidth="1"/>
    <col min="265" max="265" width="26.28515625" style="61" customWidth="1"/>
    <col min="266" max="266" width="24.42578125" style="61" customWidth="1"/>
    <col min="267" max="267" width="16.85546875" style="61" customWidth="1"/>
    <col min="268" max="268" width="3.7109375" style="61" customWidth="1"/>
    <col min="269" max="269" width="16.28515625" style="61" customWidth="1"/>
    <col min="270" max="270" width="22.42578125" style="61" customWidth="1"/>
    <col min="271" max="271" width="19.28515625" style="61" customWidth="1"/>
    <col min="272" max="273" width="22.42578125" style="61" customWidth="1"/>
    <col min="274" max="274" width="3.7109375" style="61" customWidth="1"/>
    <col min="275" max="275" width="22.42578125" style="61" customWidth="1"/>
    <col min="276" max="276" width="29.42578125" style="61" customWidth="1"/>
    <col min="277" max="277" width="7.140625" style="61" customWidth="1"/>
    <col min="278" max="278" width="28.140625" style="61" customWidth="1"/>
    <col min="279" max="279" width="9.28515625" style="61" customWidth="1"/>
    <col min="280" max="280" width="8.42578125" style="61" customWidth="1"/>
    <col min="281" max="512" width="18.7109375" style="61"/>
    <col min="513" max="513" width="7" style="61" customWidth="1"/>
    <col min="514" max="514" width="7.28515625" style="61" customWidth="1"/>
    <col min="515" max="515" width="7.85546875" style="61" customWidth="1"/>
    <col min="516" max="516" width="64.140625" style="61" customWidth="1"/>
    <col min="517" max="517" width="10.85546875" style="61" customWidth="1"/>
    <col min="518" max="518" width="12.140625" style="61" customWidth="1"/>
    <col min="519" max="519" width="15.28515625" style="61" customWidth="1"/>
    <col min="520" max="520" width="20.42578125" style="61" customWidth="1"/>
    <col min="521" max="521" width="26.28515625" style="61" customWidth="1"/>
    <col min="522" max="522" width="24.42578125" style="61" customWidth="1"/>
    <col min="523" max="523" width="16.85546875" style="61" customWidth="1"/>
    <col min="524" max="524" width="3.7109375" style="61" customWidth="1"/>
    <col min="525" max="525" width="16.28515625" style="61" customWidth="1"/>
    <col min="526" max="526" width="22.42578125" style="61" customWidth="1"/>
    <col min="527" max="527" width="19.28515625" style="61" customWidth="1"/>
    <col min="528" max="529" width="22.42578125" style="61" customWidth="1"/>
    <col min="530" max="530" width="3.7109375" style="61" customWidth="1"/>
    <col min="531" max="531" width="22.42578125" style="61" customWidth="1"/>
    <col min="532" max="532" width="29.42578125" style="61" customWidth="1"/>
    <col min="533" max="533" width="7.140625" style="61" customWidth="1"/>
    <col min="534" max="534" width="28.140625" style="61" customWidth="1"/>
    <col min="535" max="535" width="9.28515625" style="61" customWidth="1"/>
    <col min="536" max="536" width="8.42578125" style="61" customWidth="1"/>
    <col min="537" max="768" width="18.7109375" style="61"/>
    <col min="769" max="769" width="7" style="61" customWidth="1"/>
    <col min="770" max="770" width="7.28515625" style="61" customWidth="1"/>
    <col min="771" max="771" width="7.85546875" style="61" customWidth="1"/>
    <col min="772" max="772" width="64.140625" style="61" customWidth="1"/>
    <col min="773" max="773" width="10.85546875" style="61" customWidth="1"/>
    <col min="774" max="774" width="12.140625" style="61" customWidth="1"/>
    <col min="775" max="775" width="15.28515625" style="61" customWidth="1"/>
    <col min="776" max="776" width="20.42578125" style="61" customWidth="1"/>
    <col min="777" max="777" width="26.28515625" style="61" customWidth="1"/>
    <col min="778" max="778" width="24.42578125" style="61" customWidth="1"/>
    <col min="779" max="779" width="16.85546875" style="61" customWidth="1"/>
    <col min="780" max="780" width="3.7109375" style="61" customWidth="1"/>
    <col min="781" max="781" width="16.28515625" style="61" customWidth="1"/>
    <col min="782" max="782" width="22.42578125" style="61" customWidth="1"/>
    <col min="783" max="783" width="19.28515625" style="61" customWidth="1"/>
    <col min="784" max="785" width="22.42578125" style="61" customWidth="1"/>
    <col min="786" max="786" width="3.7109375" style="61" customWidth="1"/>
    <col min="787" max="787" width="22.42578125" style="61" customWidth="1"/>
    <col min="788" max="788" width="29.42578125" style="61" customWidth="1"/>
    <col min="789" max="789" width="7.140625" style="61" customWidth="1"/>
    <col min="790" max="790" width="28.140625" style="61" customWidth="1"/>
    <col min="791" max="791" width="9.28515625" style="61" customWidth="1"/>
    <col min="792" max="792" width="8.42578125" style="61" customWidth="1"/>
    <col min="793" max="1024" width="18.7109375" style="61"/>
    <col min="1025" max="1025" width="7" style="61" customWidth="1"/>
    <col min="1026" max="1026" width="7.28515625" style="61" customWidth="1"/>
    <col min="1027" max="1027" width="7.85546875" style="61" customWidth="1"/>
    <col min="1028" max="1028" width="64.140625" style="61" customWidth="1"/>
    <col min="1029" max="1029" width="10.85546875" style="61" customWidth="1"/>
    <col min="1030" max="1030" width="12.140625" style="61" customWidth="1"/>
    <col min="1031" max="1031" width="15.28515625" style="61" customWidth="1"/>
    <col min="1032" max="1032" width="20.42578125" style="61" customWidth="1"/>
    <col min="1033" max="1033" width="26.28515625" style="61" customWidth="1"/>
    <col min="1034" max="1034" width="24.42578125" style="61" customWidth="1"/>
    <col min="1035" max="1035" width="16.85546875" style="61" customWidth="1"/>
    <col min="1036" max="1036" width="3.7109375" style="61" customWidth="1"/>
    <col min="1037" max="1037" width="16.28515625" style="61" customWidth="1"/>
    <col min="1038" max="1038" width="22.42578125" style="61" customWidth="1"/>
    <col min="1039" max="1039" width="19.28515625" style="61" customWidth="1"/>
    <col min="1040" max="1041" width="22.42578125" style="61" customWidth="1"/>
    <col min="1042" max="1042" width="3.7109375" style="61" customWidth="1"/>
    <col min="1043" max="1043" width="22.42578125" style="61" customWidth="1"/>
    <col min="1044" max="1044" width="29.42578125" style="61" customWidth="1"/>
    <col min="1045" max="1045" width="7.140625" style="61" customWidth="1"/>
    <col min="1046" max="1046" width="28.140625" style="61" customWidth="1"/>
    <col min="1047" max="1047" width="9.28515625" style="61" customWidth="1"/>
    <col min="1048" max="1048" width="8.42578125" style="61" customWidth="1"/>
    <col min="1049" max="1280" width="18.7109375" style="61"/>
    <col min="1281" max="1281" width="7" style="61" customWidth="1"/>
    <col min="1282" max="1282" width="7.28515625" style="61" customWidth="1"/>
    <col min="1283" max="1283" width="7.85546875" style="61" customWidth="1"/>
    <col min="1284" max="1284" width="64.140625" style="61" customWidth="1"/>
    <col min="1285" max="1285" width="10.85546875" style="61" customWidth="1"/>
    <col min="1286" max="1286" width="12.140625" style="61" customWidth="1"/>
    <col min="1287" max="1287" width="15.28515625" style="61" customWidth="1"/>
    <col min="1288" max="1288" width="20.42578125" style="61" customWidth="1"/>
    <col min="1289" max="1289" width="26.28515625" style="61" customWidth="1"/>
    <col min="1290" max="1290" width="24.42578125" style="61" customWidth="1"/>
    <col min="1291" max="1291" width="16.85546875" style="61" customWidth="1"/>
    <col min="1292" max="1292" width="3.7109375" style="61" customWidth="1"/>
    <col min="1293" max="1293" width="16.28515625" style="61" customWidth="1"/>
    <col min="1294" max="1294" width="22.42578125" style="61" customWidth="1"/>
    <col min="1295" max="1295" width="19.28515625" style="61" customWidth="1"/>
    <col min="1296" max="1297" width="22.42578125" style="61" customWidth="1"/>
    <col min="1298" max="1298" width="3.7109375" style="61" customWidth="1"/>
    <col min="1299" max="1299" width="22.42578125" style="61" customWidth="1"/>
    <col min="1300" max="1300" width="29.42578125" style="61" customWidth="1"/>
    <col min="1301" max="1301" width="7.140625" style="61" customWidth="1"/>
    <col min="1302" max="1302" width="28.140625" style="61" customWidth="1"/>
    <col min="1303" max="1303" width="9.28515625" style="61" customWidth="1"/>
    <col min="1304" max="1304" width="8.42578125" style="61" customWidth="1"/>
    <col min="1305" max="1536" width="18.7109375" style="61"/>
    <col min="1537" max="1537" width="7" style="61" customWidth="1"/>
    <col min="1538" max="1538" width="7.28515625" style="61" customWidth="1"/>
    <col min="1539" max="1539" width="7.85546875" style="61" customWidth="1"/>
    <col min="1540" max="1540" width="64.140625" style="61" customWidth="1"/>
    <col min="1541" max="1541" width="10.85546875" style="61" customWidth="1"/>
    <col min="1542" max="1542" width="12.140625" style="61" customWidth="1"/>
    <col min="1543" max="1543" width="15.28515625" style="61" customWidth="1"/>
    <col min="1544" max="1544" width="20.42578125" style="61" customWidth="1"/>
    <col min="1545" max="1545" width="26.28515625" style="61" customWidth="1"/>
    <col min="1546" max="1546" width="24.42578125" style="61" customWidth="1"/>
    <col min="1547" max="1547" width="16.85546875" style="61" customWidth="1"/>
    <col min="1548" max="1548" width="3.7109375" style="61" customWidth="1"/>
    <col min="1549" max="1549" width="16.28515625" style="61" customWidth="1"/>
    <col min="1550" max="1550" width="22.42578125" style="61" customWidth="1"/>
    <col min="1551" max="1551" width="19.28515625" style="61" customWidth="1"/>
    <col min="1552" max="1553" width="22.42578125" style="61" customWidth="1"/>
    <col min="1554" max="1554" width="3.7109375" style="61" customWidth="1"/>
    <col min="1555" max="1555" width="22.42578125" style="61" customWidth="1"/>
    <col min="1556" max="1556" width="29.42578125" style="61" customWidth="1"/>
    <col min="1557" max="1557" width="7.140625" style="61" customWidth="1"/>
    <col min="1558" max="1558" width="28.140625" style="61" customWidth="1"/>
    <col min="1559" max="1559" width="9.28515625" style="61" customWidth="1"/>
    <col min="1560" max="1560" width="8.42578125" style="61" customWidth="1"/>
    <col min="1561" max="1792" width="18.7109375" style="61"/>
    <col min="1793" max="1793" width="7" style="61" customWidth="1"/>
    <col min="1794" max="1794" width="7.28515625" style="61" customWidth="1"/>
    <col min="1795" max="1795" width="7.85546875" style="61" customWidth="1"/>
    <col min="1796" max="1796" width="64.140625" style="61" customWidth="1"/>
    <col min="1797" max="1797" width="10.85546875" style="61" customWidth="1"/>
    <col min="1798" max="1798" width="12.140625" style="61" customWidth="1"/>
    <col min="1799" max="1799" width="15.28515625" style="61" customWidth="1"/>
    <col min="1800" max="1800" width="20.42578125" style="61" customWidth="1"/>
    <col min="1801" max="1801" width="26.28515625" style="61" customWidth="1"/>
    <col min="1802" max="1802" width="24.42578125" style="61" customWidth="1"/>
    <col min="1803" max="1803" width="16.85546875" style="61" customWidth="1"/>
    <col min="1804" max="1804" width="3.7109375" style="61" customWidth="1"/>
    <col min="1805" max="1805" width="16.28515625" style="61" customWidth="1"/>
    <col min="1806" max="1806" width="22.42578125" style="61" customWidth="1"/>
    <col min="1807" max="1807" width="19.28515625" style="61" customWidth="1"/>
    <col min="1808" max="1809" width="22.42578125" style="61" customWidth="1"/>
    <col min="1810" max="1810" width="3.7109375" style="61" customWidth="1"/>
    <col min="1811" max="1811" width="22.42578125" style="61" customWidth="1"/>
    <col min="1812" max="1812" width="29.42578125" style="61" customWidth="1"/>
    <col min="1813" max="1813" width="7.140625" style="61" customWidth="1"/>
    <col min="1814" max="1814" width="28.140625" style="61" customWidth="1"/>
    <col min="1815" max="1815" width="9.28515625" style="61" customWidth="1"/>
    <col min="1816" max="1816" width="8.42578125" style="61" customWidth="1"/>
    <col min="1817" max="2048" width="18.7109375" style="61"/>
    <col min="2049" max="2049" width="7" style="61" customWidth="1"/>
    <col min="2050" max="2050" width="7.28515625" style="61" customWidth="1"/>
    <col min="2051" max="2051" width="7.85546875" style="61" customWidth="1"/>
    <col min="2052" max="2052" width="64.140625" style="61" customWidth="1"/>
    <col min="2053" max="2053" width="10.85546875" style="61" customWidth="1"/>
    <col min="2054" max="2054" width="12.140625" style="61" customWidth="1"/>
    <col min="2055" max="2055" width="15.28515625" style="61" customWidth="1"/>
    <col min="2056" max="2056" width="20.42578125" style="61" customWidth="1"/>
    <col min="2057" max="2057" width="26.28515625" style="61" customWidth="1"/>
    <col min="2058" max="2058" width="24.42578125" style="61" customWidth="1"/>
    <col min="2059" max="2059" width="16.85546875" style="61" customWidth="1"/>
    <col min="2060" max="2060" width="3.7109375" style="61" customWidth="1"/>
    <col min="2061" max="2061" width="16.28515625" style="61" customWidth="1"/>
    <col min="2062" max="2062" width="22.42578125" style="61" customWidth="1"/>
    <col min="2063" max="2063" width="19.28515625" style="61" customWidth="1"/>
    <col min="2064" max="2065" width="22.42578125" style="61" customWidth="1"/>
    <col min="2066" max="2066" width="3.7109375" style="61" customWidth="1"/>
    <col min="2067" max="2067" width="22.42578125" style="61" customWidth="1"/>
    <col min="2068" max="2068" width="29.42578125" style="61" customWidth="1"/>
    <col min="2069" max="2069" width="7.140625" style="61" customWidth="1"/>
    <col min="2070" max="2070" width="28.140625" style="61" customWidth="1"/>
    <col min="2071" max="2071" width="9.28515625" style="61" customWidth="1"/>
    <col min="2072" max="2072" width="8.42578125" style="61" customWidth="1"/>
    <col min="2073" max="2304" width="18.7109375" style="61"/>
    <col min="2305" max="2305" width="7" style="61" customWidth="1"/>
    <col min="2306" max="2306" width="7.28515625" style="61" customWidth="1"/>
    <col min="2307" max="2307" width="7.85546875" style="61" customWidth="1"/>
    <col min="2308" max="2308" width="64.140625" style="61" customWidth="1"/>
    <col min="2309" max="2309" width="10.85546875" style="61" customWidth="1"/>
    <col min="2310" max="2310" width="12.140625" style="61" customWidth="1"/>
    <col min="2311" max="2311" width="15.28515625" style="61" customWidth="1"/>
    <col min="2312" max="2312" width="20.42578125" style="61" customWidth="1"/>
    <col min="2313" max="2313" width="26.28515625" style="61" customWidth="1"/>
    <col min="2314" max="2314" width="24.42578125" style="61" customWidth="1"/>
    <col min="2315" max="2315" width="16.85546875" style="61" customWidth="1"/>
    <col min="2316" max="2316" width="3.7109375" style="61" customWidth="1"/>
    <col min="2317" max="2317" width="16.28515625" style="61" customWidth="1"/>
    <col min="2318" max="2318" width="22.42578125" style="61" customWidth="1"/>
    <col min="2319" max="2319" width="19.28515625" style="61" customWidth="1"/>
    <col min="2320" max="2321" width="22.42578125" style="61" customWidth="1"/>
    <col min="2322" max="2322" width="3.7109375" style="61" customWidth="1"/>
    <col min="2323" max="2323" width="22.42578125" style="61" customWidth="1"/>
    <col min="2324" max="2324" width="29.42578125" style="61" customWidth="1"/>
    <col min="2325" max="2325" width="7.140625" style="61" customWidth="1"/>
    <col min="2326" max="2326" width="28.140625" style="61" customWidth="1"/>
    <col min="2327" max="2327" width="9.28515625" style="61" customWidth="1"/>
    <col min="2328" max="2328" width="8.42578125" style="61" customWidth="1"/>
    <col min="2329" max="2560" width="18.7109375" style="61"/>
    <col min="2561" max="2561" width="7" style="61" customWidth="1"/>
    <col min="2562" max="2562" width="7.28515625" style="61" customWidth="1"/>
    <col min="2563" max="2563" width="7.85546875" style="61" customWidth="1"/>
    <col min="2564" max="2564" width="64.140625" style="61" customWidth="1"/>
    <col min="2565" max="2565" width="10.85546875" style="61" customWidth="1"/>
    <col min="2566" max="2566" width="12.140625" style="61" customWidth="1"/>
    <col min="2567" max="2567" width="15.28515625" style="61" customWidth="1"/>
    <col min="2568" max="2568" width="20.42578125" style="61" customWidth="1"/>
    <col min="2569" max="2569" width="26.28515625" style="61" customWidth="1"/>
    <col min="2570" max="2570" width="24.42578125" style="61" customWidth="1"/>
    <col min="2571" max="2571" width="16.85546875" style="61" customWidth="1"/>
    <col min="2572" max="2572" width="3.7109375" style="61" customWidth="1"/>
    <col min="2573" max="2573" width="16.28515625" style="61" customWidth="1"/>
    <col min="2574" max="2574" width="22.42578125" style="61" customWidth="1"/>
    <col min="2575" max="2575" width="19.28515625" style="61" customWidth="1"/>
    <col min="2576" max="2577" width="22.42578125" style="61" customWidth="1"/>
    <col min="2578" max="2578" width="3.7109375" style="61" customWidth="1"/>
    <col min="2579" max="2579" width="22.42578125" style="61" customWidth="1"/>
    <col min="2580" max="2580" width="29.42578125" style="61" customWidth="1"/>
    <col min="2581" max="2581" width="7.140625" style="61" customWidth="1"/>
    <col min="2582" max="2582" width="28.140625" style="61" customWidth="1"/>
    <col min="2583" max="2583" width="9.28515625" style="61" customWidth="1"/>
    <col min="2584" max="2584" width="8.42578125" style="61" customWidth="1"/>
    <col min="2585" max="2816" width="18.7109375" style="61"/>
    <col min="2817" max="2817" width="7" style="61" customWidth="1"/>
    <col min="2818" max="2818" width="7.28515625" style="61" customWidth="1"/>
    <col min="2819" max="2819" width="7.85546875" style="61" customWidth="1"/>
    <col min="2820" max="2820" width="64.140625" style="61" customWidth="1"/>
    <col min="2821" max="2821" width="10.85546875" style="61" customWidth="1"/>
    <col min="2822" max="2822" width="12.140625" style="61" customWidth="1"/>
    <col min="2823" max="2823" width="15.28515625" style="61" customWidth="1"/>
    <col min="2824" max="2824" width="20.42578125" style="61" customWidth="1"/>
    <col min="2825" max="2825" width="26.28515625" style="61" customWidth="1"/>
    <col min="2826" max="2826" width="24.42578125" style="61" customWidth="1"/>
    <col min="2827" max="2827" width="16.85546875" style="61" customWidth="1"/>
    <col min="2828" max="2828" width="3.7109375" style="61" customWidth="1"/>
    <col min="2829" max="2829" width="16.28515625" style="61" customWidth="1"/>
    <col min="2830" max="2830" width="22.42578125" style="61" customWidth="1"/>
    <col min="2831" max="2831" width="19.28515625" style="61" customWidth="1"/>
    <col min="2832" max="2833" width="22.42578125" style="61" customWidth="1"/>
    <col min="2834" max="2834" width="3.7109375" style="61" customWidth="1"/>
    <col min="2835" max="2835" width="22.42578125" style="61" customWidth="1"/>
    <col min="2836" max="2836" width="29.42578125" style="61" customWidth="1"/>
    <col min="2837" max="2837" width="7.140625" style="61" customWidth="1"/>
    <col min="2838" max="2838" width="28.140625" style="61" customWidth="1"/>
    <col min="2839" max="2839" width="9.28515625" style="61" customWidth="1"/>
    <col min="2840" max="2840" width="8.42578125" style="61" customWidth="1"/>
    <col min="2841" max="3072" width="18.7109375" style="61"/>
    <col min="3073" max="3073" width="7" style="61" customWidth="1"/>
    <col min="3074" max="3074" width="7.28515625" style="61" customWidth="1"/>
    <col min="3075" max="3075" width="7.85546875" style="61" customWidth="1"/>
    <col min="3076" max="3076" width="64.140625" style="61" customWidth="1"/>
    <col min="3077" max="3077" width="10.85546875" style="61" customWidth="1"/>
    <col min="3078" max="3078" width="12.140625" style="61" customWidth="1"/>
    <col min="3079" max="3079" width="15.28515625" style="61" customWidth="1"/>
    <col min="3080" max="3080" width="20.42578125" style="61" customWidth="1"/>
    <col min="3081" max="3081" width="26.28515625" style="61" customWidth="1"/>
    <col min="3082" max="3082" width="24.42578125" style="61" customWidth="1"/>
    <col min="3083" max="3083" width="16.85546875" style="61" customWidth="1"/>
    <col min="3084" max="3084" width="3.7109375" style="61" customWidth="1"/>
    <col min="3085" max="3085" width="16.28515625" style="61" customWidth="1"/>
    <col min="3086" max="3086" width="22.42578125" style="61" customWidth="1"/>
    <col min="3087" max="3087" width="19.28515625" style="61" customWidth="1"/>
    <col min="3088" max="3089" width="22.42578125" style="61" customWidth="1"/>
    <col min="3090" max="3090" width="3.7109375" style="61" customWidth="1"/>
    <col min="3091" max="3091" width="22.42578125" style="61" customWidth="1"/>
    <col min="3092" max="3092" width="29.42578125" style="61" customWidth="1"/>
    <col min="3093" max="3093" width="7.140625" style="61" customWidth="1"/>
    <col min="3094" max="3094" width="28.140625" style="61" customWidth="1"/>
    <col min="3095" max="3095" width="9.28515625" style="61" customWidth="1"/>
    <col min="3096" max="3096" width="8.42578125" style="61" customWidth="1"/>
    <col min="3097" max="3328" width="18.7109375" style="61"/>
    <col min="3329" max="3329" width="7" style="61" customWidth="1"/>
    <col min="3330" max="3330" width="7.28515625" style="61" customWidth="1"/>
    <col min="3331" max="3331" width="7.85546875" style="61" customWidth="1"/>
    <col min="3332" max="3332" width="64.140625" style="61" customWidth="1"/>
    <col min="3333" max="3333" width="10.85546875" style="61" customWidth="1"/>
    <col min="3334" max="3334" width="12.140625" style="61" customWidth="1"/>
    <col min="3335" max="3335" width="15.28515625" style="61" customWidth="1"/>
    <col min="3336" max="3336" width="20.42578125" style="61" customWidth="1"/>
    <col min="3337" max="3337" width="26.28515625" style="61" customWidth="1"/>
    <col min="3338" max="3338" width="24.42578125" style="61" customWidth="1"/>
    <col min="3339" max="3339" width="16.85546875" style="61" customWidth="1"/>
    <col min="3340" max="3340" width="3.7109375" style="61" customWidth="1"/>
    <col min="3341" max="3341" width="16.28515625" style="61" customWidth="1"/>
    <col min="3342" max="3342" width="22.42578125" style="61" customWidth="1"/>
    <col min="3343" max="3343" width="19.28515625" style="61" customWidth="1"/>
    <col min="3344" max="3345" width="22.42578125" style="61" customWidth="1"/>
    <col min="3346" max="3346" width="3.7109375" style="61" customWidth="1"/>
    <col min="3347" max="3347" width="22.42578125" style="61" customWidth="1"/>
    <col min="3348" max="3348" width="29.42578125" style="61" customWidth="1"/>
    <col min="3349" max="3349" width="7.140625" style="61" customWidth="1"/>
    <col min="3350" max="3350" width="28.140625" style="61" customWidth="1"/>
    <col min="3351" max="3351" width="9.28515625" style="61" customWidth="1"/>
    <col min="3352" max="3352" width="8.42578125" style="61" customWidth="1"/>
    <col min="3353" max="3584" width="18.7109375" style="61"/>
    <col min="3585" max="3585" width="7" style="61" customWidth="1"/>
    <col min="3586" max="3586" width="7.28515625" style="61" customWidth="1"/>
    <col min="3587" max="3587" width="7.85546875" style="61" customWidth="1"/>
    <col min="3588" max="3588" width="64.140625" style="61" customWidth="1"/>
    <col min="3589" max="3589" width="10.85546875" style="61" customWidth="1"/>
    <col min="3590" max="3590" width="12.140625" style="61" customWidth="1"/>
    <col min="3591" max="3591" width="15.28515625" style="61" customWidth="1"/>
    <col min="3592" max="3592" width="20.42578125" style="61" customWidth="1"/>
    <col min="3593" max="3593" width="26.28515625" style="61" customWidth="1"/>
    <col min="3594" max="3594" width="24.42578125" style="61" customWidth="1"/>
    <col min="3595" max="3595" width="16.85546875" style="61" customWidth="1"/>
    <col min="3596" max="3596" width="3.7109375" style="61" customWidth="1"/>
    <col min="3597" max="3597" width="16.28515625" style="61" customWidth="1"/>
    <col min="3598" max="3598" width="22.42578125" style="61" customWidth="1"/>
    <col min="3599" max="3599" width="19.28515625" style="61" customWidth="1"/>
    <col min="3600" max="3601" width="22.42578125" style="61" customWidth="1"/>
    <col min="3602" max="3602" width="3.7109375" style="61" customWidth="1"/>
    <col min="3603" max="3603" width="22.42578125" style="61" customWidth="1"/>
    <col min="3604" max="3604" width="29.42578125" style="61" customWidth="1"/>
    <col min="3605" max="3605" width="7.140625" style="61" customWidth="1"/>
    <col min="3606" max="3606" width="28.140625" style="61" customWidth="1"/>
    <col min="3607" max="3607" width="9.28515625" style="61" customWidth="1"/>
    <col min="3608" max="3608" width="8.42578125" style="61" customWidth="1"/>
    <col min="3609" max="3840" width="18.7109375" style="61"/>
    <col min="3841" max="3841" width="7" style="61" customWidth="1"/>
    <col min="3842" max="3842" width="7.28515625" style="61" customWidth="1"/>
    <col min="3843" max="3843" width="7.85546875" style="61" customWidth="1"/>
    <col min="3844" max="3844" width="64.140625" style="61" customWidth="1"/>
    <col min="3845" max="3845" width="10.85546875" style="61" customWidth="1"/>
    <col min="3846" max="3846" width="12.140625" style="61" customWidth="1"/>
    <col min="3847" max="3847" width="15.28515625" style="61" customWidth="1"/>
    <col min="3848" max="3848" width="20.42578125" style="61" customWidth="1"/>
    <col min="3849" max="3849" width="26.28515625" style="61" customWidth="1"/>
    <col min="3850" max="3850" width="24.42578125" style="61" customWidth="1"/>
    <col min="3851" max="3851" width="16.85546875" style="61" customWidth="1"/>
    <col min="3852" max="3852" width="3.7109375" style="61" customWidth="1"/>
    <col min="3853" max="3853" width="16.28515625" style="61" customWidth="1"/>
    <col min="3854" max="3854" width="22.42578125" style="61" customWidth="1"/>
    <col min="3855" max="3855" width="19.28515625" style="61" customWidth="1"/>
    <col min="3856" max="3857" width="22.42578125" style="61" customWidth="1"/>
    <col min="3858" max="3858" width="3.7109375" style="61" customWidth="1"/>
    <col min="3859" max="3859" width="22.42578125" style="61" customWidth="1"/>
    <col min="3860" max="3860" width="29.42578125" style="61" customWidth="1"/>
    <col min="3861" max="3861" width="7.140625" style="61" customWidth="1"/>
    <col min="3862" max="3862" width="28.140625" style="61" customWidth="1"/>
    <col min="3863" max="3863" width="9.28515625" style="61" customWidth="1"/>
    <col min="3864" max="3864" width="8.42578125" style="61" customWidth="1"/>
    <col min="3865" max="4096" width="18.7109375" style="61"/>
    <col min="4097" max="4097" width="7" style="61" customWidth="1"/>
    <col min="4098" max="4098" width="7.28515625" style="61" customWidth="1"/>
    <col min="4099" max="4099" width="7.85546875" style="61" customWidth="1"/>
    <col min="4100" max="4100" width="64.140625" style="61" customWidth="1"/>
    <col min="4101" max="4101" width="10.85546875" style="61" customWidth="1"/>
    <col min="4102" max="4102" width="12.140625" style="61" customWidth="1"/>
    <col min="4103" max="4103" width="15.28515625" style="61" customWidth="1"/>
    <col min="4104" max="4104" width="20.42578125" style="61" customWidth="1"/>
    <col min="4105" max="4105" width="26.28515625" style="61" customWidth="1"/>
    <col min="4106" max="4106" width="24.42578125" style="61" customWidth="1"/>
    <col min="4107" max="4107" width="16.85546875" style="61" customWidth="1"/>
    <col min="4108" max="4108" width="3.7109375" style="61" customWidth="1"/>
    <col min="4109" max="4109" width="16.28515625" style="61" customWidth="1"/>
    <col min="4110" max="4110" width="22.42578125" style="61" customWidth="1"/>
    <col min="4111" max="4111" width="19.28515625" style="61" customWidth="1"/>
    <col min="4112" max="4113" width="22.42578125" style="61" customWidth="1"/>
    <col min="4114" max="4114" width="3.7109375" style="61" customWidth="1"/>
    <col min="4115" max="4115" width="22.42578125" style="61" customWidth="1"/>
    <col min="4116" max="4116" width="29.42578125" style="61" customWidth="1"/>
    <col min="4117" max="4117" width="7.140625" style="61" customWidth="1"/>
    <col min="4118" max="4118" width="28.140625" style="61" customWidth="1"/>
    <col min="4119" max="4119" width="9.28515625" style="61" customWidth="1"/>
    <col min="4120" max="4120" width="8.42578125" style="61" customWidth="1"/>
    <col min="4121" max="4352" width="18.7109375" style="61"/>
    <col min="4353" max="4353" width="7" style="61" customWidth="1"/>
    <col min="4354" max="4354" width="7.28515625" style="61" customWidth="1"/>
    <col min="4355" max="4355" width="7.85546875" style="61" customWidth="1"/>
    <col min="4356" max="4356" width="64.140625" style="61" customWidth="1"/>
    <col min="4357" max="4357" width="10.85546875" style="61" customWidth="1"/>
    <col min="4358" max="4358" width="12.140625" style="61" customWidth="1"/>
    <col min="4359" max="4359" width="15.28515625" style="61" customWidth="1"/>
    <col min="4360" max="4360" width="20.42578125" style="61" customWidth="1"/>
    <col min="4361" max="4361" width="26.28515625" style="61" customWidth="1"/>
    <col min="4362" max="4362" width="24.42578125" style="61" customWidth="1"/>
    <col min="4363" max="4363" width="16.85546875" style="61" customWidth="1"/>
    <col min="4364" max="4364" width="3.7109375" style="61" customWidth="1"/>
    <col min="4365" max="4365" width="16.28515625" style="61" customWidth="1"/>
    <col min="4366" max="4366" width="22.42578125" style="61" customWidth="1"/>
    <col min="4367" max="4367" width="19.28515625" style="61" customWidth="1"/>
    <col min="4368" max="4369" width="22.42578125" style="61" customWidth="1"/>
    <col min="4370" max="4370" width="3.7109375" style="61" customWidth="1"/>
    <col min="4371" max="4371" width="22.42578125" style="61" customWidth="1"/>
    <col min="4372" max="4372" width="29.42578125" style="61" customWidth="1"/>
    <col min="4373" max="4373" width="7.140625" style="61" customWidth="1"/>
    <col min="4374" max="4374" width="28.140625" style="61" customWidth="1"/>
    <col min="4375" max="4375" width="9.28515625" style="61" customWidth="1"/>
    <col min="4376" max="4376" width="8.42578125" style="61" customWidth="1"/>
    <col min="4377" max="4608" width="18.7109375" style="61"/>
    <col min="4609" max="4609" width="7" style="61" customWidth="1"/>
    <col min="4610" max="4610" width="7.28515625" style="61" customWidth="1"/>
    <col min="4611" max="4611" width="7.85546875" style="61" customWidth="1"/>
    <col min="4612" max="4612" width="64.140625" style="61" customWidth="1"/>
    <col min="4613" max="4613" width="10.85546875" style="61" customWidth="1"/>
    <col min="4614" max="4614" width="12.140625" style="61" customWidth="1"/>
    <col min="4615" max="4615" width="15.28515625" style="61" customWidth="1"/>
    <col min="4616" max="4616" width="20.42578125" style="61" customWidth="1"/>
    <col min="4617" max="4617" width="26.28515625" style="61" customWidth="1"/>
    <col min="4618" max="4618" width="24.42578125" style="61" customWidth="1"/>
    <col min="4619" max="4619" width="16.85546875" style="61" customWidth="1"/>
    <col min="4620" max="4620" width="3.7109375" style="61" customWidth="1"/>
    <col min="4621" max="4621" width="16.28515625" style="61" customWidth="1"/>
    <col min="4622" max="4622" width="22.42578125" style="61" customWidth="1"/>
    <col min="4623" max="4623" width="19.28515625" style="61" customWidth="1"/>
    <col min="4624" max="4625" width="22.42578125" style="61" customWidth="1"/>
    <col min="4626" max="4626" width="3.7109375" style="61" customWidth="1"/>
    <col min="4627" max="4627" width="22.42578125" style="61" customWidth="1"/>
    <col min="4628" max="4628" width="29.42578125" style="61" customWidth="1"/>
    <col min="4629" max="4629" width="7.140625" style="61" customWidth="1"/>
    <col min="4630" max="4630" width="28.140625" style="61" customWidth="1"/>
    <col min="4631" max="4631" width="9.28515625" style="61" customWidth="1"/>
    <col min="4632" max="4632" width="8.42578125" style="61" customWidth="1"/>
    <col min="4633" max="4864" width="18.7109375" style="61"/>
    <col min="4865" max="4865" width="7" style="61" customWidth="1"/>
    <col min="4866" max="4866" width="7.28515625" style="61" customWidth="1"/>
    <col min="4867" max="4867" width="7.85546875" style="61" customWidth="1"/>
    <col min="4868" max="4868" width="64.140625" style="61" customWidth="1"/>
    <col min="4869" max="4869" width="10.85546875" style="61" customWidth="1"/>
    <col min="4870" max="4870" width="12.140625" style="61" customWidth="1"/>
    <col min="4871" max="4871" width="15.28515625" style="61" customWidth="1"/>
    <col min="4872" max="4872" width="20.42578125" style="61" customWidth="1"/>
    <col min="4873" max="4873" width="26.28515625" style="61" customWidth="1"/>
    <col min="4874" max="4874" width="24.42578125" style="61" customWidth="1"/>
    <col min="4875" max="4875" width="16.85546875" style="61" customWidth="1"/>
    <col min="4876" max="4876" width="3.7109375" style="61" customWidth="1"/>
    <col min="4877" max="4877" width="16.28515625" style="61" customWidth="1"/>
    <col min="4878" max="4878" width="22.42578125" style="61" customWidth="1"/>
    <col min="4879" max="4879" width="19.28515625" style="61" customWidth="1"/>
    <col min="4880" max="4881" width="22.42578125" style="61" customWidth="1"/>
    <col min="4882" max="4882" width="3.7109375" style="61" customWidth="1"/>
    <col min="4883" max="4883" width="22.42578125" style="61" customWidth="1"/>
    <col min="4884" max="4884" width="29.42578125" style="61" customWidth="1"/>
    <col min="4885" max="4885" width="7.140625" style="61" customWidth="1"/>
    <col min="4886" max="4886" width="28.140625" style="61" customWidth="1"/>
    <col min="4887" max="4887" width="9.28515625" style="61" customWidth="1"/>
    <col min="4888" max="4888" width="8.42578125" style="61" customWidth="1"/>
    <col min="4889" max="5120" width="18.7109375" style="61"/>
    <col min="5121" max="5121" width="7" style="61" customWidth="1"/>
    <col min="5122" max="5122" width="7.28515625" style="61" customWidth="1"/>
    <col min="5123" max="5123" width="7.85546875" style="61" customWidth="1"/>
    <col min="5124" max="5124" width="64.140625" style="61" customWidth="1"/>
    <col min="5125" max="5125" width="10.85546875" style="61" customWidth="1"/>
    <col min="5126" max="5126" width="12.140625" style="61" customWidth="1"/>
    <col min="5127" max="5127" width="15.28515625" style="61" customWidth="1"/>
    <col min="5128" max="5128" width="20.42578125" style="61" customWidth="1"/>
    <col min="5129" max="5129" width="26.28515625" style="61" customWidth="1"/>
    <col min="5130" max="5130" width="24.42578125" style="61" customWidth="1"/>
    <col min="5131" max="5131" width="16.85546875" style="61" customWidth="1"/>
    <col min="5132" max="5132" width="3.7109375" style="61" customWidth="1"/>
    <col min="5133" max="5133" width="16.28515625" style="61" customWidth="1"/>
    <col min="5134" max="5134" width="22.42578125" style="61" customWidth="1"/>
    <col min="5135" max="5135" width="19.28515625" style="61" customWidth="1"/>
    <col min="5136" max="5137" width="22.42578125" style="61" customWidth="1"/>
    <col min="5138" max="5138" width="3.7109375" style="61" customWidth="1"/>
    <col min="5139" max="5139" width="22.42578125" style="61" customWidth="1"/>
    <col min="5140" max="5140" width="29.42578125" style="61" customWidth="1"/>
    <col min="5141" max="5141" width="7.140625" style="61" customWidth="1"/>
    <col min="5142" max="5142" width="28.140625" style="61" customWidth="1"/>
    <col min="5143" max="5143" width="9.28515625" style="61" customWidth="1"/>
    <col min="5144" max="5144" width="8.42578125" style="61" customWidth="1"/>
    <col min="5145" max="5376" width="18.7109375" style="61"/>
    <col min="5377" max="5377" width="7" style="61" customWidth="1"/>
    <col min="5378" max="5378" width="7.28515625" style="61" customWidth="1"/>
    <col min="5379" max="5379" width="7.85546875" style="61" customWidth="1"/>
    <col min="5380" max="5380" width="64.140625" style="61" customWidth="1"/>
    <col min="5381" max="5381" width="10.85546875" style="61" customWidth="1"/>
    <col min="5382" max="5382" width="12.140625" style="61" customWidth="1"/>
    <col min="5383" max="5383" width="15.28515625" style="61" customWidth="1"/>
    <col min="5384" max="5384" width="20.42578125" style="61" customWidth="1"/>
    <col min="5385" max="5385" width="26.28515625" style="61" customWidth="1"/>
    <col min="5386" max="5386" width="24.42578125" style="61" customWidth="1"/>
    <col min="5387" max="5387" width="16.85546875" style="61" customWidth="1"/>
    <col min="5388" max="5388" width="3.7109375" style="61" customWidth="1"/>
    <col min="5389" max="5389" width="16.28515625" style="61" customWidth="1"/>
    <col min="5390" max="5390" width="22.42578125" style="61" customWidth="1"/>
    <col min="5391" max="5391" width="19.28515625" style="61" customWidth="1"/>
    <col min="5392" max="5393" width="22.42578125" style="61" customWidth="1"/>
    <col min="5394" max="5394" width="3.7109375" style="61" customWidth="1"/>
    <col min="5395" max="5395" width="22.42578125" style="61" customWidth="1"/>
    <col min="5396" max="5396" width="29.42578125" style="61" customWidth="1"/>
    <col min="5397" max="5397" width="7.140625" style="61" customWidth="1"/>
    <col min="5398" max="5398" width="28.140625" style="61" customWidth="1"/>
    <col min="5399" max="5399" width="9.28515625" style="61" customWidth="1"/>
    <col min="5400" max="5400" width="8.42578125" style="61" customWidth="1"/>
    <col min="5401" max="5632" width="18.7109375" style="61"/>
    <col min="5633" max="5633" width="7" style="61" customWidth="1"/>
    <col min="5634" max="5634" width="7.28515625" style="61" customWidth="1"/>
    <col min="5635" max="5635" width="7.85546875" style="61" customWidth="1"/>
    <col min="5636" max="5636" width="64.140625" style="61" customWidth="1"/>
    <col min="5637" max="5637" width="10.85546875" style="61" customWidth="1"/>
    <col min="5638" max="5638" width="12.140625" style="61" customWidth="1"/>
    <col min="5639" max="5639" width="15.28515625" style="61" customWidth="1"/>
    <col min="5640" max="5640" width="20.42578125" style="61" customWidth="1"/>
    <col min="5641" max="5641" width="26.28515625" style="61" customWidth="1"/>
    <col min="5642" max="5642" width="24.42578125" style="61" customWidth="1"/>
    <col min="5643" max="5643" width="16.85546875" style="61" customWidth="1"/>
    <col min="5644" max="5644" width="3.7109375" style="61" customWidth="1"/>
    <col min="5645" max="5645" width="16.28515625" style="61" customWidth="1"/>
    <col min="5646" max="5646" width="22.42578125" style="61" customWidth="1"/>
    <col min="5647" max="5647" width="19.28515625" style="61" customWidth="1"/>
    <col min="5648" max="5649" width="22.42578125" style="61" customWidth="1"/>
    <col min="5650" max="5650" width="3.7109375" style="61" customWidth="1"/>
    <col min="5651" max="5651" width="22.42578125" style="61" customWidth="1"/>
    <col min="5652" max="5652" width="29.42578125" style="61" customWidth="1"/>
    <col min="5653" max="5653" width="7.140625" style="61" customWidth="1"/>
    <col min="5654" max="5654" width="28.140625" style="61" customWidth="1"/>
    <col min="5655" max="5655" width="9.28515625" style="61" customWidth="1"/>
    <col min="5656" max="5656" width="8.42578125" style="61" customWidth="1"/>
    <col min="5657" max="5888" width="18.7109375" style="61"/>
    <col min="5889" max="5889" width="7" style="61" customWidth="1"/>
    <col min="5890" max="5890" width="7.28515625" style="61" customWidth="1"/>
    <col min="5891" max="5891" width="7.85546875" style="61" customWidth="1"/>
    <col min="5892" max="5892" width="64.140625" style="61" customWidth="1"/>
    <col min="5893" max="5893" width="10.85546875" style="61" customWidth="1"/>
    <col min="5894" max="5894" width="12.140625" style="61" customWidth="1"/>
    <col min="5895" max="5895" width="15.28515625" style="61" customWidth="1"/>
    <col min="5896" max="5896" width="20.42578125" style="61" customWidth="1"/>
    <col min="5897" max="5897" width="26.28515625" style="61" customWidth="1"/>
    <col min="5898" max="5898" width="24.42578125" style="61" customWidth="1"/>
    <col min="5899" max="5899" width="16.85546875" style="61" customWidth="1"/>
    <col min="5900" max="5900" width="3.7109375" style="61" customWidth="1"/>
    <col min="5901" max="5901" width="16.28515625" style="61" customWidth="1"/>
    <col min="5902" max="5902" width="22.42578125" style="61" customWidth="1"/>
    <col min="5903" max="5903" width="19.28515625" style="61" customWidth="1"/>
    <col min="5904" max="5905" width="22.42578125" style="61" customWidth="1"/>
    <col min="5906" max="5906" width="3.7109375" style="61" customWidth="1"/>
    <col min="5907" max="5907" width="22.42578125" style="61" customWidth="1"/>
    <col min="5908" max="5908" width="29.42578125" style="61" customWidth="1"/>
    <col min="5909" max="5909" width="7.140625" style="61" customWidth="1"/>
    <col min="5910" max="5910" width="28.140625" style="61" customWidth="1"/>
    <col min="5911" max="5911" width="9.28515625" style="61" customWidth="1"/>
    <col min="5912" max="5912" width="8.42578125" style="61" customWidth="1"/>
    <col min="5913" max="6144" width="18.7109375" style="61"/>
    <col min="6145" max="6145" width="7" style="61" customWidth="1"/>
    <col min="6146" max="6146" width="7.28515625" style="61" customWidth="1"/>
    <col min="6147" max="6147" width="7.85546875" style="61" customWidth="1"/>
    <col min="6148" max="6148" width="64.140625" style="61" customWidth="1"/>
    <col min="6149" max="6149" width="10.85546875" style="61" customWidth="1"/>
    <col min="6150" max="6150" width="12.140625" style="61" customWidth="1"/>
    <col min="6151" max="6151" width="15.28515625" style="61" customWidth="1"/>
    <col min="6152" max="6152" width="20.42578125" style="61" customWidth="1"/>
    <col min="6153" max="6153" width="26.28515625" style="61" customWidth="1"/>
    <col min="6154" max="6154" width="24.42578125" style="61" customWidth="1"/>
    <col min="6155" max="6155" width="16.85546875" style="61" customWidth="1"/>
    <col min="6156" max="6156" width="3.7109375" style="61" customWidth="1"/>
    <col min="6157" max="6157" width="16.28515625" style="61" customWidth="1"/>
    <col min="6158" max="6158" width="22.42578125" style="61" customWidth="1"/>
    <col min="6159" max="6159" width="19.28515625" style="61" customWidth="1"/>
    <col min="6160" max="6161" width="22.42578125" style="61" customWidth="1"/>
    <col min="6162" max="6162" width="3.7109375" style="61" customWidth="1"/>
    <col min="6163" max="6163" width="22.42578125" style="61" customWidth="1"/>
    <col min="6164" max="6164" width="29.42578125" style="61" customWidth="1"/>
    <col min="6165" max="6165" width="7.140625" style="61" customWidth="1"/>
    <col min="6166" max="6166" width="28.140625" style="61" customWidth="1"/>
    <col min="6167" max="6167" width="9.28515625" style="61" customWidth="1"/>
    <col min="6168" max="6168" width="8.42578125" style="61" customWidth="1"/>
    <col min="6169" max="6400" width="18.7109375" style="61"/>
    <col min="6401" max="6401" width="7" style="61" customWidth="1"/>
    <col min="6402" max="6402" width="7.28515625" style="61" customWidth="1"/>
    <col min="6403" max="6403" width="7.85546875" style="61" customWidth="1"/>
    <col min="6404" max="6404" width="64.140625" style="61" customWidth="1"/>
    <col min="6405" max="6405" width="10.85546875" style="61" customWidth="1"/>
    <col min="6406" max="6406" width="12.140625" style="61" customWidth="1"/>
    <col min="6407" max="6407" width="15.28515625" style="61" customWidth="1"/>
    <col min="6408" max="6408" width="20.42578125" style="61" customWidth="1"/>
    <col min="6409" max="6409" width="26.28515625" style="61" customWidth="1"/>
    <col min="6410" max="6410" width="24.42578125" style="61" customWidth="1"/>
    <col min="6411" max="6411" width="16.85546875" style="61" customWidth="1"/>
    <col min="6412" max="6412" width="3.7109375" style="61" customWidth="1"/>
    <col min="6413" max="6413" width="16.28515625" style="61" customWidth="1"/>
    <col min="6414" max="6414" width="22.42578125" style="61" customWidth="1"/>
    <col min="6415" max="6415" width="19.28515625" style="61" customWidth="1"/>
    <col min="6416" max="6417" width="22.42578125" style="61" customWidth="1"/>
    <col min="6418" max="6418" width="3.7109375" style="61" customWidth="1"/>
    <col min="6419" max="6419" width="22.42578125" style="61" customWidth="1"/>
    <col min="6420" max="6420" width="29.42578125" style="61" customWidth="1"/>
    <col min="6421" max="6421" width="7.140625" style="61" customWidth="1"/>
    <col min="6422" max="6422" width="28.140625" style="61" customWidth="1"/>
    <col min="6423" max="6423" width="9.28515625" style="61" customWidth="1"/>
    <col min="6424" max="6424" width="8.42578125" style="61" customWidth="1"/>
    <col min="6425" max="6656" width="18.7109375" style="61"/>
    <col min="6657" max="6657" width="7" style="61" customWidth="1"/>
    <col min="6658" max="6658" width="7.28515625" style="61" customWidth="1"/>
    <col min="6659" max="6659" width="7.85546875" style="61" customWidth="1"/>
    <col min="6660" max="6660" width="64.140625" style="61" customWidth="1"/>
    <col min="6661" max="6661" width="10.85546875" style="61" customWidth="1"/>
    <col min="6662" max="6662" width="12.140625" style="61" customWidth="1"/>
    <col min="6663" max="6663" width="15.28515625" style="61" customWidth="1"/>
    <col min="6664" max="6664" width="20.42578125" style="61" customWidth="1"/>
    <col min="6665" max="6665" width="26.28515625" style="61" customWidth="1"/>
    <col min="6666" max="6666" width="24.42578125" style="61" customWidth="1"/>
    <col min="6667" max="6667" width="16.85546875" style="61" customWidth="1"/>
    <col min="6668" max="6668" width="3.7109375" style="61" customWidth="1"/>
    <col min="6669" max="6669" width="16.28515625" style="61" customWidth="1"/>
    <col min="6670" max="6670" width="22.42578125" style="61" customWidth="1"/>
    <col min="6671" max="6671" width="19.28515625" style="61" customWidth="1"/>
    <col min="6672" max="6673" width="22.42578125" style="61" customWidth="1"/>
    <col min="6674" max="6674" width="3.7109375" style="61" customWidth="1"/>
    <col min="6675" max="6675" width="22.42578125" style="61" customWidth="1"/>
    <col min="6676" max="6676" width="29.42578125" style="61" customWidth="1"/>
    <col min="6677" max="6677" width="7.140625" style="61" customWidth="1"/>
    <col min="6678" max="6678" width="28.140625" style="61" customWidth="1"/>
    <col min="6679" max="6679" width="9.28515625" style="61" customWidth="1"/>
    <col min="6680" max="6680" width="8.42578125" style="61" customWidth="1"/>
    <col min="6681" max="6912" width="18.7109375" style="61"/>
    <col min="6913" max="6913" width="7" style="61" customWidth="1"/>
    <col min="6914" max="6914" width="7.28515625" style="61" customWidth="1"/>
    <col min="6915" max="6915" width="7.85546875" style="61" customWidth="1"/>
    <col min="6916" max="6916" width="64.140625" style="61" customWidth="1"/>
    <col min="6917" max="6917" width="10.85546875" style="61" customWidth="1"/>
    <col min="6918" max="6918" width="12.140625" style="61" customWidth="1"/>
    <col min="6919" max="6919" width="15.28515625" style="61" customWidth="1"/>
    <col min="6920" max="6920" width="20.42578125" style="61" customWidth="1"/>
    <col min="6921" max="6921" width="26.28515625" style="61" customWidth="1"/>
    <col min="6922" max="6922" width="24.42578125" style="61" customWidth="1"/>
    <col min="6923" max="6923" width="16.85546875" style="61" customWidth="1"/>
    <col min="6924" max="6924" width="3.7109375" style="61" customWidth="1"/>
    <col min="6925" max="6925" width="16.28515625" style="61" customWidth="1"/>
    <col min="6926" max="6926" width="22.42578125" style="61" customWidth="1"/>
    <col min="6927" max="6927" width="19.28515625" style="61" customWidth="1"/>
    <col min="6928" max="6929" width="22.42578125" style="61" customWidth="1"/>
    <col min="6930" max="6930" width="3.7109375" style="61" customWidth="1"/>
    <col min="6931" max="6931" width="22.42578125" style="61" customWidth="1"/>
    <col min="6932" max="6932" width="29.42578125" style="61" customWidth="1"/>
    <col min="6933" max="6933" width="7.140625" style="61" customWidth="1"/>
    <col min="6934" max="6934" width="28.140625" style="61" customWidth="1"/>
    <col min="6935" max="6935" width="9.28515625" style="61" customWidth="1"/>
    <col min="6936" max="6936" width="8.42578125" style="61" customWidth="1"/>
    <col min="6937" max="7168" width="18.7109375" style="61"/>
    <col min="7169" max="7169" width="7" style="61" customWidth="1"/>
    <col min="7170" max="7170" width="7.28515625" style="61" customWidth="1"/>
    <col min="7171" max="7171" width="7.85546875" style="61" customWidth="1"/>
    <col min="7172" max="7172" width="64.140625" style="61" customWidth="1"/>
    <col min="7173" max="7173" width="10.85546875" style="61" customWidth="1"/>
    <col min="7174" max="7174" width="12.140625" style="61" customWidth="1"/>
    <col min="7175" max="7175" width="15.28515625" style="61" customWidth="1"/>
    <col min="7176" max="7176" width="20.42578125" style="61" customWidth="1"/>
    <col min="7177" max="7177" width="26.28515625" style="61" customWidth="1"/>
    <col min="7178" max="7178" width="24.42578125" style="61" customWidth="1"/>
    <col min="7179" max="7179" width="16.85546875" style="61" customWidth="1"/>
    <col min="7180" max="7180" width="3.7109375" style="61" customWidth="1"/>
    <col min="7181" max="7181" width="16.28515625" style="61" customWidth="1"/>
    <col min="7182" max="7182" width="22.42578125" style="61" customWidth="1"/>
    <col min="7183" max="7183" width="19.28515625" style="61" customWidth="1"/>
    <col min="7184" max="7185" width="22.42578125" style="61" customWidth="1"/>
    <col min="7186" max="7186" width="3.7109375" style="61" customWidth="1"/>
    <col min="7187" max="7187" width="22.42578125" style="61" customWidth="1"/>
    <col min="7188" max="7188" width="29.42578125" style="61" customWidth="1"/>
    <col min="7189" max="7189" width="7.140625" style="61" customWidth="1"/>
    <col min="7190" max="7190" width="28.140625" style="61" customWidth="1"/>
    <col min="7191" max="7191" width="9.28515625" style="61" customWidth="1"/>
    <col min="7192" max="7192" width="8.42578125" style="61" customWidth="1"/>
    <col min="7193" max="7424" width="18.7109375" style="61"/>
    <col min="7425" max="7425" width="7" style="61" customWidth="1"/>
    <col min="7426" max="7426" width="7.28515625" style="61" customWidth="1"/>
    <col min="7427" max="7427" width="7.85546875" style="61" customWidth="1"/>
    <col min="7428" max="7428" width="64.140625" style="61" customWidth="1"/>
    <col min="7429" max="7429" width="10.85546875" style="61" customWidth="1"/>
    <col min="7430" max="7430" width="12.140625" style="61" customWidth="1"/>
    <col min="7431" max="7431" width="15.28515625" style="61" customWidth="1"/>
    <col min="7432" max="7432" width="20.42578125" style="61" customWidth="1"/>
    <col min="7433" max="7433" width="26.28515625" style="61" customWidth="1"/>
    <col min="7434" max="7434" width="24.42578125" style="61" customWidth="1"/>
    <col min="7435" max="7435" width="16.85546875" style="61" customWidth="1"/>
    <col min="7436" max="7436" width="3.7109375" style="61" customWidth="1"/>
    <col min="7437" max="7437" width="16.28515625" style="61" customWidth="1"/>
    <col min="7438" max="7438" width="22.42578125" style="61" customWidth="1"/>
    <col min="7439" max="7439" width="19.28515625" style="61" customWidth="1"/>
    <col min="7440" max="7441" width="22.42578125" style="61" customWidth="1"/>
    <col min="7442" max="7442" width="3.7109375" style="61" customWidth="1"/>
    <col min="7443" max="7443" width="22.42578125" style="61" customWidth="1"/>
    <col min="7444" max="7444" width="29.42578125" style="61" customWidth="1"/>
    <col min="7445" max="7445" width="7.140625" style="61" customWidth="1"/>
    <col min="7446" max="7446" width="28.140625" style="61" customWidth="1"/>
    <col min="7447" max="7447" width="9.28515625" style="61" customWidth="1"/>
    <col min="7448" max="7448" width="8.42578125" style="61" customWidth="1"/>
    <col min="7449" max="7680" width="18.7109375" style="61"/>
    <col min="7681" max="7681" width="7" style="61" customWidth="1"/>
    <col min="7682" max="7682" width="7.28515625" style="61" customWidth="1"/>
    <col min="7683" max="7683" width="7.85546875" style="61" customWidth="1"/>
    <col min="7684" max="7684" width="64.140625" style="61" customWidth="1"/>
    <col min="7685" max="7685" width="10.85546875" style="61" customWidth="1"/>
    <col min="7686" max="7686" width="12.140625" style="61" customWidth="1"/>
    <col min="7687" max="7687" width="15.28515625" style="61" customWidth="1"/>
    <col min="7688" max="7688" width="20.42578125" style="61" customWidth="1"/>
    <col min="7689" max="7689" width="26.28515625" style="61" customWidth="1"/>
    <col min="7690" max="7690" width="24.42578125" style="61" customWidth="1"/>
    <col min="7691" max="7691" width="16.85546875" style="61" customWidth="1"/>
    <col min="7692" max="7692" width="3.7109375" style="61" customWidth="1"/>
    <col min="7693" max="7693" width="16.28515625" style="61" customWidth="1"/>
    <col min="7694" max="7694" width="22.42578125" style="61" customWidth="1"/>
    <col min="7695" max="7695" width="19.28515625" style="61" customWidth="1"/>
    <col min="7696" max="7697" width="22.42578125" style="61" customWidth="1"/>
    <col min="7698" max="7698" width="3.7109375" style="61" customWidth="1"/>
    <col min="7699" max="7699" width="22.42578125" style="61" customWidth="1"/>
    <col min="7700" max="7700" width="29.42578125" style="61" customWidth="1"/>
    <col min="7701" max="7701" width="7.140625" style="61" customWidth="1"/>
    <col min="7702" max="7702" width="28.140625" style="61" customWidth="1"/>
    <col min="7703" max="7703" width="9.28515625" style="61" customWidth="1"/>
    <col min="7704" max="7704" width="8.42578125" style="61" customWidth="1"/>
    <col min="7705" max="7936" width="18.7109375" style="61"/>
    <col min="7937" max="7937" width="7" style="61" customWidth="1"/>
    <col min="7938" max="7938" width="7.28515625" style="61" customWidth="1"/>
    <col min="7939" max="7939" width="7.85546875" style="61" customWidth="1"/>
    <col min="7940" max="7940" width="64.140625" style="61" customWidth="1"/>
    <col min="7941" max="7941" width="10.85546875" style="61" customWidth="1"/>
    <col min="7942" max="7942" width="12.140625" style="61" customWidth="1"/>
    <col min="7943" max="7943" width="15.28515625" style="61" customWidth="1"/>
    <col min="7944" max="7944" width="20.42578125" style="61" customWidth="1"/>
    <col min="7945" max="7945" width="26.28515625" style="61" customWidth="1"/>
    <col min="7946" max="7946" width="24.42578125" style="61" customWidth="1"/>
    <col min="7947" max="7947" width="16.85546875" style="61" customWidth="1"/>
    <col min="7948" max="7948" width="3.7109375" style="61" customWidth="1"/>
    <col min="7949" max="7949" width="16.28515625" style="61" customWidth="1"/>
    <col min="7950" max="7950" width="22.42578125" style="61" customWidth="1"/>
    <col min="7951" max="7951" width="19.28515625" style="61" customWidth="1"/>
    <col min="7952" max="7953" width="22.42578125" style="61" customWidth="1"/>
    <col min="7954" max="7954" width="3.7109375" style="61" customWidth="1"/>
    <col min="7955" max="7955" width="22.42578125" style="61" customWidth="1"/>
    <col min="7956" max="7956" width="29.42578125" style="61" customWidth="1"/>
    <col min="7957" max="7957" width="7.140625" style="61" customWidth="1"/>
    <col min="7958" max="7958" width="28.140625" style="61" customWidth="1"/>
    <col min="7959" max="7959" width="9.28515625" style="61" customWidth="1"/>
    <col min="7960" max="7960" width="8.42578125" style="61" customWidth="1"/>
    <col min="7961" max="8192" width="18.7109375" style="61"/>
    <col min="8193" max="8193" width="7" style="61" customWidth="1"/>
    <col min="8194" max="8194" width="7.28515625" style="61" customWidth="1"/>
    <col min="8195" max="8195" width="7.85546875" style="61" customWidth="1"/>
    <col min="8196" max="8196" width="64.140625" style="61" customWidth="1"/>
    <col min="8197" max="8197" width="10.85546875" style="61" customWidth="1"/>
    <col min="8198" max="8198" width="12.140625" style="61" customWidth="1"/>
    <col min="8199" max="8199" width="15.28515625" style="61" customWidth="1"/>
    <col min="8200" max="8200" width="20.42578125" style="61" customWidth="1"/>
    <col min="8201" max="8201" width="26.28515625" style="61" customWidth="1"/>
    <col min="8202" max="8202" width="24.42578125" style="61" customWidth="1"/>
    <col min="8203" max="8203" width="16.85546875" style="61" customWidth="1"/>
    <col min="8204" max="8204" width="3.7109375" style="61" customWidth="1"/>
    <col min="8205" max="8205" width="16.28515625" style="61" customWidth="1"/>
    <col min="8206" max="8206" width="22.42578125" style="61" customWidth="1"/>
    <col min="8207" max="8207" width="19.28515625" style="61" customWidth="1"/>
    <col min="8208" max="8209" width="22.42578125" style="61" customWidth="1"/>
    <col min="8210" max="8210" width="3.7109375" style="61" customWidth="1"/>
    <col min="8211" max="8211" width="22.42578125" style="61" customWidth="1"/>
    <col min="8212" max="8212" width="29.42578125" style="61" customWidth="1"/>
    <col min="8213" max="8213" width="7.140625" style="61" customWidth="1"/>
    <col min="8214" max="8214" width="28.140625" style="61" customWidth="1"/>
    <col min="8215" max="8215" width="9.28515625" style="61" customWidth="1"/>
    <col min="8216" max="8216" width="8.42578125" style="61" customWidth="1"/>
    <col min="8217" max="8448" width="18.7109375" style="61"/>
    <col min="8449" max="8449" width="7" style="61" customWidth="1"/>
    <col min="8450" max="8450" width="7.28515625" style="61" customWidth="1"/>
    <col min="8451" max="8451" width="7.85546875" style="61" customWidth="1"/>
    <col min="8452" max="8452" width="64.140625" style="61" customWidth="1"/>
    <col min="8453" max="8453" width="10.85546875" style="61" customWidth="1"/>
    <col min="8454" max="8454" width="12.140625" style="61" customWidth="1"/>
    <col min="8455" max="8455" width="15.28515625" style="61" customWidth="1"/>
    <col min="8456" max="8456" width="20.42578125" style="61" customWidth="1"/>
    <col min="8457" max="8457" width="26.28515625" style="61" customWidth="1"/>
    <col min="8458" max="8458" width="24.42578125" style="61" customWidth="1"/>
    <col min="8459" max="8459" width="16.85546875" style="61" customWidth="1"/>
    <col min="8460" max="8460" width="3.7109375" style="61" customWidth="1"/>
    <col min="8461" max="8461" width="16.28515625" style="61" customWidth="1"/>
    <col min="8462" max="8462" width="22.42578125" style="61" customWidth="1"/>
    <col min="8463" max="8463" width="19.28515625" style="61" customWidth="1"/>
    <col min="8464" max="8465" width="22.42578125" style="61" customWidth="1"/>
    <col min="8466" max="8466" width="3.7109375" style="61" customWidth="1"/>
    <col min="8467" max="8467" width="22.42578125" style="61" customWidth="1"/>
    <col min="8468" max="8468" width="29.42578125" style="61" customWidth="1"/>
    <col min="8469" max="8469" width="7.140625" style="61" customWidth="1"/>
    <col min="8470" max="8470" width="28.140625" style="61" customWidth="1"/>
    <col min="8471" max="8471" width="9.28515625" style="61" customWidth="1"/>
    <col min="8472" max="8472" width="8.42578125" style="61" customWidth="1"/>
    <col min="8473" max="8704" width="18.7109375" style="61"/>
    <col min="8705" max="8705" width="7" style="61" customWidth="1"/>
    <col min="8706" max="8706" width="7.28515625" style="61" customWidth="1"/>
    <col min="8707" max="8707" width="7.85546875" style="61" customWidth="1"/>
    <col min="8708" max="8708" width="64.140625" style="61" customWidth="1"/>
    <col min="8709" max="8709" width="10.85546875" style="61" customWidth="1"/>
    <col min="8710" max="8710" width="12.140625" style="61" customWidth="1"/>
    <col min="8711" max="8711" width="15.28515625" style="61" customWidth="1"/>
    <col min="8712" max="8712" width="20.42578125" style="61" customWidth="1"/>
    <col min="8713" max="8713" width="26.28515625" style="61" customWidth="1"/>
    <col min="8714" max="8714" width="24.42578125" style="61" customWidth="1"/>
    <col min="8715" max="8715" width="16.85546875" style="61" customWidth="1"/>
    <col min="8716" max="8716" width="3.7109375" style="61" customWidth="1"/>
    <col min="8717" max="8717" width="16.28515625" style="61" customWidth="1"/>
    <col min="8718" max="8718" width="22.42578125" style="61" customWidth="1"/>
    <col min="8719" max="8719" width="19.28515625" style="61" customWidth="1"/>
    <col min="8720" max="8721" width="22.42578125" style="61" customWidth="1"/>
    <col min="8722" max="8722" width="3.7109375" style="61" customWidth="1"/>
    <col min="8723" max="8723" width="22.42578125" style="61" customWidth="1"/>
    <col min="8724" max="8724" width="29.42578125" style="61" customWidth="1"/>
    <col min="8725" max="8725" width="7.140625" style="61" customWidth="1"/>
    <col min="8726" max="8726" width="28.140625" style="61" customWidth="1"/>
    <col min="8727" max="8727" width="9.28515625" style="61" customWidth="1"/>
    <col min="8728" max="8728" width="8.42578125" style="61" customWidth="1"/>
    <col min="8729" max="8960" width="18.7109375" style="61"/>
    <col min="8961" max="8961" width="7" style="61" customWidth="1"/>
    <col min="8962" max="8962" width="7.28515625" style="61" customWidth="1"/>
    <col min="8963" max="8963" width="7.85546875" style="61" customWidth="1"/>
    <col min="8964" max="8964" width="64.140625" style="61" customWidth="1"/>
    <col min="8965" max="8965" width="10.85546875" style="61" customWidth="1"/>
    <col min="8966" max="8966" width="12.140625" style="61" customWidth="1"/>
    <col min="8967" max="8967" width="15.28515625" style="61" customWidth="1"/>
    <col min="8968" max="8968" width="20.42578125" style="61" customWidth="1"/>
    <col min="8969" max="8969" width="26.28515625" style="61" customWidth="1"/>
    <col min="8970" max="8970" width="24.42578125" style="61" customWidth="1"/>
    <col min="8971" max="8971" width="16.85546875" style="61" customWidth="1"/>
    <col min="8972" max="8972" width="3.7109375" style="61" customWidth="1"/>
    <col min="8973" max="8973" width="16.28515625" style="61" customWidth="1"/>
    <col min="8974" max="8974" width="22.42578125" style="61" customWidth="1"/>
    <col min="8975" max="8975" width="19.28515625" style="61" customWidth="1"/>
    <col min="8976" max="8977" width="22.42578125" style="61" customWidth="1"/>
    <col min="8978" max="8978" width="3.7109375" style="61" customWidth="1"/>
    <col min="8979" max="8979" width="22.42578125" style="61" customWidth="1"/>
    <col min="8980" max="8980" width="29.42578125" style="61" customWidth="1"/>
    <col min="8981" max="8981" width="7.140625" style="61" customWidth="1"/>
    <col min="8982" max="8982" width="28.140625" style="61" customWidth="1"/>
    <col min="8983" max="8983" width="9.28515625" style="61" customWidth="1"/>
    <col min="8984" max="8984" width="8.42578125" style="61" customWidth="1"/>
    <col min="8985" max="9216" width="18.7109375" style="61"/>
    <col min="9217" max="9217" width="7" style="61" customWidth="1"/>
    <col min="9218" max="9218" width="7.28515625" style="61" customWidth="1"/>
    <col min="9219" max="9219" width="7.85546875" style="61" customWidth="1"/>
    <col min="9220" max="9220" width="64.140625" style="61" customWidth="1"/>
    <col min="9221" max="9221" width="10.85546875" style="61" customWidth="1"/>
    <col min="9222" max="9222" width="12.140625" style="61" customWidth="1"/>
    <col min="9223" max="9223" width="15.28515625" style="61" customWidth="1"/>
    <col min="9224" max="9224" width="20.42578125" style="61" customWidth="1"/>
    <col min="9225" max="9225" width="26.28515625" style="61" customWidth="1"/>
    <col min="9226" max="9226" width="24.42578125" style="61" customWidth="1"/>
    <col min="9227" max="9227" width="16.85546875" style="61" customWidth="1"/>
    <col min="9228" max="9228" width="3.7109375" style="61" customWidth="1"/>
    <col min="9229" max="9229" width="16.28515625" style="61" customWidth="1"/>
    <col min="9230" max="9230" width="22.42578125" style="61" customWidth="1"/>
    <col min="9231" max="9231" width="19.28515625" style="61" customWidth="1"/>
    <col min="9232" max="9233" width="22.42578125" style="61" customWidth="1"/>
    <col min="9234" max="9234" width="3.7109375" style="61" customWidth="1"/>
    <col min="9235" max="9235" width="22.42578125" style="61" customWidth="1"/>
    <col min="9236" max="9236" width="29.42578125" style="61" customWidth="1"/>
    <col min="9237" max="9237" width="7.140625" style="61" customWidth="1"/>
    <col min="9238" max="9238" width="28.140625" style="61" customWidth="1"/>
    <col min="9239" max="9239" width="9.28515625" style="61" customWidth="1"/>
    <col min="9240" max="9240" width="8.42578125" style="61" customWidth="1"/>
    <col min="9241" max="9472" width="18.7109375" style="61"/>
    <col min="9473" max="9473" width="7" style="61" customWidth="1"/>
    <col min="9474" max="9474" width="7.28515625" style="61" customWidth="1"/>
    <col min="9475" max="9475" width="7.85546875" style="61" customWidth="1"/>
    <col min="9476" max="9476" width="64.140625" style="61" customWidth="1"/>
    <col min="9477" max="9477" width="10.85546875" style="61" customWidth="1"/>
    <col min="9478" max="9478" width="12.140625" style="61" customWidth="1"/>
    <col min="9479" max="9479" width="15.28515625" style="61" customWidth="1"/>
    <col min="9480" max="9480" width="20.42578125" style="61" customWidth="1"/>
    <col min="9481" max="9481" width="26.28515625" style="61" customWidth="1"/>
    <col min="9482" max="9482" width="24.42578125" style="61" customWidth="1"/>
    <col min="9483" max="9483" width="16.85546875" style="61" customWidth="1"/>
    <col min="9484" max="9484" width="3.7109375" style="61" customWidth="1"/>
    <col min="9485" max="9485" width="16.28515625" style="61" customWidth="1"/>
    <col min="9486" max="9486" width="22.42578125" style="61" customWidth="1"/>
    <col min="9487" max="9487" width="19.28515625" style="61" customWidth="1"/>
    <col min="9488" max="9489" width="22.42578125" style="61" customWidth="1"/>
    <col min="9490" max="9490" width="3.7109375" style="61" customWidth="1"/>
    <col min="9491" max="9491" width="22.42578125" style="61" customWidth="1"/>
    <col min="9492" max="9492" width="29.42578125" style="61" customWidth="1"/>
    <col min="9493" max="9493" width="7.140625" style="61" customWidth="1"/>
    <col min="9494" max="9494" width="28.140625" style="61" customWidth="1"/>
    <col min="9495" max="9495" width="9.28515625" style="61" customWidth="1"/>
    <col min="9496" max="9496" width="8.42578125" style="61" customWidth="1"/>
    <col min="9497" max="9728" width="18.7109375" style="61"/>
    <col min="9729" max="9729" width="7" style="61" customWidth="1"/>
    <col min="9730" max="9730" width="7.28515625" style="61" customWidth="1"/>
    <col min="9731" max="9731" width="7.85546875" style="61" customWidth="1"/>
    <col min="9732" max="9732" width="64.140625" style="61" customWidth="1"/>
    <col min="9733" max="9733" width="10.85546875" style="61" customWidth="1"/>
    <col min="9734" max="9734" width="12.140625" style="61" customWidth="1"/>
    <col min="9735" max="9735" width="15.28515625" style="61" customWidth="1"/>
    <col min="9736" max="9736" width="20.42578125" style="61" customWidth="1"/>
    <col min="9737" max="9737" width="26.28515625" style="61" customWidth="1"/>
    <col min="9738" max="9738" width="24.42578125" style="61" customWidth="1"/>
    <col min="9739" max="9739" width="16.85546875" style="61" customWidth="1"/>
    <col min="9740" max="9740" width="3.7109375" style="61" customWidth="1"/>
    <col min="9741" max="9741" width="16.28515625" style="61" customWidth="1"/>
    <col min="9742" max="9742" width="22.42578125" style="61" customWidth="1"/>
    <col min="9743" max="9743" width="19.28515625" style="61" customWidth="1"/>
    <col min="9744" max="9745" width="22.42578125" style="61" customWidth="1"/>
    <col min="9746" max="9746" width="3.7109375" style="61" customWidth="1"/>
    <col min="9747" max="9747" width="22.42578125" style="61" customWidth="1"/>
    <col min="9748" max="9748" width="29.42578125" style="61" customWidth="1"/>
    <col min="9749" max="9749" width="7.140625" style="61" customWidth="1"/>
    <col min="9750" max="9750" width="28.140625" style="61" customWidth="1"/>
    <col min="9751" max="9751" width="9.28515625" style="61" customWidth="1"/>
    <col min="9752" max="9752" width="8.42578125" style="61" customWidth="1"/>
    <col min="9753" max="9984" width="18.7109375" style="61"/>
    <col min="9985" max="9985" width="7" style="61" customWidth="1"/>
    <col min="9986" max="9986" width="7.28515625" style="61" customWidth="1"/>
    <col min="9987" max="9987" width="7.85546875" style="61" customWidth="1"/>
    <col min="9988" max="9988" width="64.140625" style="61" customWidth="1"/>
    <col min="9989" max="9989" width="10.85546875" style="61" customWidth="1"/>
    <col min="9990" max="9990" width="12.140625" style="61" customWidth="1"/>
    <col min="9991" max="9991" width="15.28515625" style="61" customWidth="1"/>
    <col min="9992" max="9992" width="20.42578125" style="61" customWidth="1"/>
    <col min="9993" max="9993" width="26.28515625" style="61" customWidth="1"/>
    <col min="9994" max="9994" width="24.42578125" style="61" customWidth="1"/>
    <col min="9995" max="9995" width="16.85546875" style="61" customWidth="1"/>
    <col min="9996" max="9996" width="3.7109375" style="61" customWidth="1"/>
    <col min="9997" max="9997" width="16.28515625" style="61" customWidth="1"/>
    <col min="9998" max="9998" width="22.42578125" style="61" customWidth="1"/>
    <col min="9999" max="9999" width="19.28515625" style="61" customWidth="1"/>
    <col min="10000" max="10001" width="22.42578125" style="61" customWidth="1"/>
    <col min="10002" max="10002" width="3.7109375" style="61" customWidth="1"/>
    <col min="10003" max="10003" width="22.42578125" style="61" customWidth="1"/>
    <col min="10004" max="10004" width="29.42578125" style="61" customWidth="1"/>
    <col min="10005" max="10005" width="7.140625" style="61" customWidth="1"/>
    <col min="10006" max="10006" width="28.140625" style="61" customWidth="1"/>
    <col min="10007" max="10007" width="9.28515625" style="61" customWidth="1"/>
    <col min="10008" max="10008" width="8.42578125" style="61" customWidth="1"/>
    <col min="10009" max="10240" width="18.7109375" style="61"/>
    <col min="10241" max="10241" width="7" style="61" customWidth="1"/>
    <col min="10242" max="10242" width="7.28515625" style="61" customWidth="1"/>
    <col min="10243" max="10243" width="7.85546875" style="61" customWidth="1"/>
    <col min="10244" max="10244" width="64.140625" style="61" customWidth="1"/>
    <col min="10245" max="10245" width="10.85546875" style="61" customWidth="1"/>
    <col min="10246" max="10246" width="12.140625" style="61" customWidth="1"/>
    <col min="10247" max="10247" width="15.28515625" style="61" customWidth="1"/>
    <col min="10248" max="10248" width="20.42578125" style="61" customWidth="1"/>
    <col min="10249" max="10249" width="26.28515625" style="61" customWidth="1"/>
    <col min="10250" max="10250" width="24.42578125" style="61" customWidth="1"/>
    <col min="10251" max="10251" width="16.85546875" style="61" customWidth="1"/>
    <col min="10252" max="10252" width="3.7109375" style="61" customWidth="1"/>
    <col min="10253" max="10253" width="16.28515625" style="61" customWidth="1"/>
    <col min="10254" max="10254" width="22.42578125" style="61" customWidth="1"/>
    <col min="10255" max="10255" width="19.28515625" style="61" customWidth="1"/>
    <col min="10256" max="10257" width="22.42578125" style="61" customWidth="1"/>
    <col min="10258" max="10258" width="3.7109375" style="61" customWidth="1"/>
    <col min="10259" max="10259" width="22.42578125" style="61" customWidth="1"/>
    <col min="10260" max="10260" width="29.42578125" style="61" customWidth="1"/>
    <col min="10261" max="10261" width="7.140625" style="61" customWidth="1"/>
    <col min="10262" max="10262" width="28.140625" style="61" customWidth="1"/>
    <col min="10263" max="10263" width="9.28515625" style="61" customWidth="1"/>
    <col min="10264" max="10264" width="8.42578125" style="61" customWidth="1"/>
    <col min="10265" max="10496" width="18.7109375" style="61"/>
    <col min="10497" max="10497" width="7" style="61" customWidth="1"/>
    <col min="10498" max="10498" width="7.28515625" style="61" customWidth="1"/>
    <col min="10499" max="10499" width="7.85546875" style="61" customWidth="1"/>
    <col min="10500" max="10500" width="64.140625" style="61" customWidth="1"/>
    <col min="10501" max="10501" width="10.85546875" style="61" customWidth="1"/>
    <col min="10502" max="10502" width="12.140625" style="61" customWidth="1"/>
    <col min="10503" max="10503" width="15.28515625" style="61" customWidth="1"/>
    <col min="10504" max="10504" width="20.42578125" style="61" customWidth="1"/>
    <col min="10505" max="10505" width="26.28515625" style="61" customWidth="1"/>
    <col min="10506" max="10506" width="24.42578125" style="61" customWidth="1"/>
    <col min="10507" max="10507" width="16.85546875" style="61" customWidth="1"/>
    <col min="10508" max="10508" width="3.7109375" style="61" customWidth="1"/>
    <col min="10509" max="10509" width="16.28515625" style="61" customWidth="1"/>
    <col min="10510" max="10510" width="22.42578125" style="61" customWidth="1"/>
    <col min="10511" max="10511" width="19.28515625" style="61" customWidth="1"/>
    <col min="10512" max="10513" width="22.42578125" style="61" customWidth="1"/>
    <col min="10514" max="10514" width="3.7109375" style="61" customWidth="1"/>
    <col min="10515" max="10515" width="22.42578125" style="61" customWidth="1"/>
    <col min="10516" max="10516" width="29.42578125" style="61" customWidth="1"/>
    <col min="10517" max="10517" width="7.140625" style="61" customWidth="1"/>
    <col min="10518" max="10518" width="28.140625" style="61" customWidth="1"/>
    <col min="10519" max="10519" width="9.28515625" style="61" customWidth="1"/>
    <col min="10520" max="10520" width="8.42578125" style="61" customWidth="1"/>
    <col min="10521" max="10752" width="18.7109375" style="61"/>
    <col min="10753" max="10753" width="7" style="61" customWidth="1"/>
    <col min="10754" max="10754" width="7.28515625" style="61" customWidth="1"/>
    <col min="10755" max="10755" width="7.85546875" style="61" customWidth="1"/>
    <col min="10756" max="10756" width="64.140625" style="61" customWidth="1"/>
    <col min="10757" max="10757" width="10.85546875" style="61" customWidth="1"/>
    <col min="10758" max="10758" width="12.140625" style="61" customWidth="1"/>
    <col min="10759" max="10759" width="15.28515625" style="61" customWidth="1"/>
    <col min="10760" max="10760" width="20.42578125" style="61" customWidth="1"/>
    <col min="10761" max="10761" width="26.28515625" style="61" customWidth="1"/>
    <col min="10762" max="10762" width="24.42578125" style="61" customWidth="1"/>
    <col min="10763" max="10763" width="16.85546875" style="61" customWidth="1"/>
    <col min="10764" max="10764" width="3.7109375" style="61" customWidth="1"/>
    <col min="10765" max="10765" width="16.28515625" style="61" customWidth="1"/>
    <col min="10766" max="10766" width="22.42578125" style="61" customWidth="1"/>
    <col min="10767" max="10767" width="19.28515625" style="61" customWidth="1"/>
    <col min="10768" max="10769" width="22.42578125" style="61" customWidth="1"/>
    <col min="10770" max="10770" width="3.7109375" style="61" customWidth="1"/>
    <col min="10771" max="10771" width="22.42578125" style="61" customWidth="1"/>
    <col min="10772" max="10772" width="29.42578125" style="61" customWidth="1"/>
    <col min="10773" max="10773" width="7.140625" style="61" customWidth="1"/>
    <col min="10774" max="10774" width="28.140625" style="61" customWidth="1"/>
    <col min="10775" max="10775" width="9.28515625" style="61" customWidth="1"/>
    <col min="10776" max="10776" width="8.42578125" style="61" customWidth="1"/>
    <col min="10777" max="11008" width="18.7109375" style="61"/>
    <col min="11009" max="11009" width="7" style="61" customWidth="1"/>
    <col min="11010" max="11010" width="7.28515625" style="61" customWidth="1"/>
    <col min="11011" max="11011" width="7.85546875" style="61" customWidth="1"/>
    <col min="11012" max="11012" width="64.140625" style="61" customWidth="1"/>
    <col min="11013" max="11013" width="10.85546875" style="61" customWidth="1"/>
    <col min="11014" max="11014" width="12.140625" style="61" customWidth="1"/>
    <col min="11015" max="11015" width="15.28515625" style="61" customWidth="1"/>
    <col min="11016" max="11016" width="20.42578125" style="61" customWidth="1"/>
    <col min="11017" max="11017" width="26.28515625" style="61" customWidth="1"/>
    <col min="11018" max="11018" width="24.42578125" style="61" customWidth="1"/>
    <col min="11019" max="11019" width="16.85546875" style="61" customWidth="1"/>
    <col min="11020" max="11020" width="3.7109375" style="61" customWidth="1"/>
    <col min="11021" max="11021" width="16.28515625" style="61" customWidth="1"/>
    <col min="11022" max="11022" width="22.42578125" style="61" customWidth="1"/>
    <col min="11023" max="11023" width="19.28515625" style="61" customWidth="1"/>
    <col min="11024" max="11025" width="22.42578125" style="61" customWidth="1"/>
    <col min="11026" max="11026" width="3.7109375" style="61" customWidth="1"/>
    <col min="11027" max="11027" width="22.42578125" style="61" customWidth="1"/>
    <col min="11028" max="11028" width="29.42578125" style="61" customWidth="1"/>
    <col min="11029" max="11029" width="7.140625" style="61" customWidth="1"/>
    <col min="11030" max="11030" width="28.140625" style="61" customWidth="1"/>
    <col min="11031" max="11031" width="9.28515625" style="61" customWidth="1"/>
    <col min="11032" max="11032" width="8.42578125" style="61" customWidth="1"/>
    <col min="11033" max="11264" width="18.7109375" style="61"/>
    <col min="11265" max="11265" width="7" style="61" customWidth="1"/>
    <col min="11266" max="11266" width="7.28515625" style="61" customWidth="1"/>
    <col min="11267" max="11267" width="7.85546875" style="61" customWidth="1"/>
    <col min="11268" max="11268" width="64.140625" style="61" customWidth="1"/>
    <col min="11269" max="11269" width="10.85546875" style="61" customWidth="1"/>
    <col min="11270" max="11270" width="12.140625" style="61" customWidth="1"/>
    <col min="11271" max="11271" width="15.28515625" style="61" customWidth="1"/>
    <col min="11272" max="11272" width="20.42578125" style="61" customWidth="1"/>
    <col min="11273" max="11273" width="26.28515625" style="61" customWidth="1"/>
    <col min="11274" max="11274" width="24.42578125" style="61" customWidth="1"/>
    <col min="11275" max="11275" width="16.85546875" style="61" customWidth="1"/>
    <col min="11276" max="11276" width="3.7109375" style="61" customWidth="1"/>
    <col min="11277" max="11277" width="16.28515625" style="61" customWidth="1"/>
    <col min="11278" max="11278" width="22.42578125" style="61" customWidth="1"/>
    <col min="11279" max="11279" width="19.28515625" style="61" customWidth="1"/>
    <col min="11280" max="11281" width="22.42578125" style="61" customWidth="1"/>
    <col min="11282" max="11282" width="3.7109375" style="61" customWidth="1"/>
    <col min="11283" max="11283" width="22.42578125" style="61" customWidth="1"/>
    <col min="11284" max="11284" width="29.42578125" style="61" customWidth="1"/>
    <col min="11285" max="11285" width="7.140625" style="61" customWidth="1"/>
    <col min="11286" max="11286" width="28.140625" style="61" customWidth="1"/>
    <col min="11287" max="11287" width="9.28515625" style="61" customWidth="1"/>
    <col min="11288" max="11288" width="8.42578125" style="61" customWidth="1"/>
    <col min="11289" max="11520" width="18.7109375" style="61"/>
    <col min="11521" max="11521" width="7" style="61" customWidth="1"/>
    <col min="11522" max="11522" width="7.28515625" style="61" customWidth="1"/>
    <col min="11523" max="11523" width="7.85546875" style="61" customWidth="1"/>
    <col min="11524" max="11524" width="64.140625" style="61" customWidth="1"/>
    <col min="11525" max="11525" width="10.85546875" style="61" customWidth="1"/>
    <col min="11526" max="11526" width="12.140625" style="61" customWidth="1"/>
    <col min="11527" max="11527" width="15.28515625" style="61" customWidth="1"/>
    <col min="11528" max="11528" width="20.42578125" style="61" customWidth="1"/>
    <col min="11529" max="11529" width="26.28515625" style="61" customWidth="1"/>
    <col min="11530" max="11530" width="24.42578125" style="61" customWidth="1"/>
    <col min="11531" max="11531" width="16.85546875" style="61" customWidth="1"/>
    <col min="11532" max="11532" width="3.7109375" style="61" customWidth="1"/>
    <col min="11533" max="11533" width="16.28515625" style="61" customWidth="1"/>
    <col min="11534" max="11534" width="22.42578125" style="61" customWidth="1"/>
    <col min="11535" max="11535" width="19.28515625" style="61" customWidth="1"/>
    <col min="11536" max="11537" width="22.42578125" style="61" customWidth="1"/>
    <col min="11538" max="11538" width="3.7109375" style="61" customWidth="1"/>
    <col min="11539" max="11539" width="22.42578125" style="61" customWidth="1"/>
    <col min="11540" max="11540" width="29.42578125" style="61" customWidth="1"/>
    <col min="11541" max="11541" width="7.140625" style="61" customWidth="1"/>
    <col min="11542" max="11542" width="28.140625" style="61" customWidth="1"/>
    <col min="11543" max="11543" width="9.28515625" style="61" customWidth="1"/>
    <col min="11544" max="11544" width="8.42578125" style="61" customWidth="1"/>
    <col min="11545" max="11776" width="18.7109375" style="61"/>
    <col min="11777" max="11777" width="7" style="61" customWidth="1"/>
    <col min="11778" max="11778" width="7.28515625" style="61" customWidth="1"/>
    <col min="11779" max="11779" width="7.85546875" style="61" customWidth="1"/>
    <col min="11780" max="11780" width="64.140625" style="61" customWidth="1"/>
    <col min="11781" max="11781" width="10.85546875" style="61" customWidth="1"/>
    <col min="11782" max="11782" width="12.140625" style="61" customWidth="1"/>
    <col min="11783" max="11783" width="15.28515625" style="61" customWidth="1"/>
    <col min="11784" max="11784" width="20.42578125" style="61" customWidth="1"/>
    <col min="11785" max="11785" width="26.28515625" style="61" customWidth="1"/>
    <col min="11786" max="11786" width="24.42578125" style="61" customWidth="1"/>
    <col min="11787" max="11787" width="16.85546875" style="61" customWidth="1"/>
    <col min="11788" max="11788" width="3.7109375" style="61" customWidth="1"/>
    <col min="11789" max="11789" width="16.28515625" style="61" customWidth="1"/>
    <col min="11790" max="11790" width="22.42578125" style="61" customWidth="1"/>
    <col min="11791" max="11791" width="19.28515625" style="61" customWidth="1"/>
    <col min="11792" max="11793" width="22.42578125" style="61" customWidth="1"/>
    <col min="11794" max="11794" width="3.7109375" style="61" customWidth="1"/>
    <col min="11795" max="11795" width="22.42578125" style="61" customWidth="1"/>
    <col min="11796" max="11796" width="29.42578125" style="61" customWidth="1"/>
    <col min="11797" max="11797" width="7.140625" style="61" customWidth="1"/>
    <col min="11798" max="11798" width="28.140625" style="61" customWidth="1"/>
    <col min="11799" max="11799" width="9.28515625" style="61" customWidth="1"/>
    <col min="11800" max="11800" width="8.42578125" style="61" customWidth="1"/>
    <col min="11801" max="12032" width="18.7109375" style="61"/>
    <col min="12033" max="12033" width="7" style="61" customWidth="1"/>
    <col min="12034" max="12034" width="7.28515625" style="61" customWidth="1"/>
    <col min="12035" max="12035" width="7.85546875" style="61" customWidth="1"/>
    <col min="12036" max="12036" width="64.140625" style="61" customWidth="1"/>
    <col min="12037" max="12037" width="10.85546875" style="61" customWidth="1"/>
    <col min="12038" max="12038" width="12.140625" style="61" customWidth="1"/>
    <col min="12039" max="12039" width="15.28515625" style="61" customWidth="1"/>
    <col min="12040" max="12040" width="20.42578125" style="61" customWidth="1"/>
    <col min="12041" max="12041" width="26.28515625" style="61" customWidth="1"/>
    <col min="12042" max="12042" width="24.42578125" style="61" customWidth="1"/>
    <col min="12043" max="12043" width="16.85546875" style="61" customWidth="1"/>
    <col min="12044" max="12044" width="3.7109375" style="61" customWidth="1"/>
    <col min="12045" max="12045" width="16.28515625" style="61" customWidth="1"/>
    <col min="12046" max="12046" width="22.42578125" style="61" customWidth="1"/>
    <col min="12047" max="12047" width="19.28515625" style="61" customWidth="1"/>
    <col min="12048" max="12049" width="22.42578125" style="61" customWidth="1"/>
    <col min="12050" max="12050" width="3.7109375" style="61" customWidth="1"/>
    <col min="12051" max="12051" width="22.42578125" style="61" customWidth="1"/>
    <col min="12052" max="12052" width="29.42578125" style="61" customWidth="1"/>
    <col min="12053" max="12053" width="7.140625" style="61" customWidth="1"/>
    <col min="12054" max="12054" width="28.140625" style="61" customWidth="1"/>
    <col min="12055" max="12055" width="9.28515625" style="61" customWidth="1"/>
    <col min="12056" max="12056" width="8.42578125" style="61" customWidth="1"/>
    <col min="12057" max="12288" width="18.7109375" style="61"/>
    <col min="12289" max="12289" width="7" style="61" customWidth="1"/>
    <col min="12290" max="12290" width="7.28515625" style="61" customWidth="1"/>
    <col min="12291" max="12291" width="7.85546875" style="61" customWidth="1"/>
    <col min="12292" max="12292" width="64.140625" style="61" customWidth="1"/>
    <col min="12293" max="12293" width="10.85546875" style="61" customWidth="1"/>
    <col min="12294" max="12294" width="12.140625" style="61" customWidth="1"/>
    <col min="12295" max="12295" width="15.28515625" style="61" customWidth="1"/>
    <col min="12296" max="12296" width="20.42578125" style="61" customWidth="1"/>
    <col min="12297" max="12297" width="26.28515625" style="61" customWidth="1"/>
    <col min="12298" max="12298" width="24.42578125" style="61" customWidth="1"/>
    <col min="12299" max="12299" width="16.85546875" style="61" customWidth="1"/>
    <col min="12300" max="12300" width="3.7109375" style="61" customWidth="1"/>
    <col min="12301" max="12301" width="16.28515625" style="61" customWidth="1"/>
    <col min="12302" max="12302" width="22.42578125" style="61" customWidth="1"/>
    <col min="12303" max="12303" width="19.28515625" style="61" customWidth="1"/>
    <col min="12304" max="12305" width="22.42578125" style="61" customWidth="1"/>
    <col min="12306" max="12306" width="3.7109375" style="61" customWidth="1"/>
    <col min="12307" max="12307" width="22.42578125" style="61" customWidth="1"/>
    <col min="12308" max="12308" width="29.42578125" style="61" customWidth="1"/>
    <col min="12309" max="12309" width="7.140625" style="61" customWidth="1"/>
    <col min="12310" max="12310" width="28.140625" style="61" customWidth="1"/>
    <col min="12311" max="12311" width="9.28515625" style="61" customWidth="1"/>
    <col min="12312" max="12312" width="8.42578125" style="61" customWidth="1"/>
    <col min="12313" max="12544" width="18.7109375" style="61"/>
    <col min="12545" max="12545" width="7" style="61" customWidth="1"/>
    <col min="12546" max="12546" width="7.28515625" style="61" customWidth="1"/>
    <col min="12547" max="12547" width="7.85546875" style="61" customWidth="1"/>
    <col min="12548" max="12548" width="64.140625" style="61" customWidth="1"/>
    <col min="12549" max="12549" width="10.85546875" style="61" customWidth="1"/>
    <col min="12550" max="12550" width="12.140625" style="61" customWidth="1"/>
    <col min="12551" max="12551" width="15.28515625" style="61" customWidth="1"/>
    <col min="12552" max="12552" width="20.42578125" style="61" customWidth="1"/>
    <col min="12553" max="12553" width="26.28515625" style="61" customWidth="1"/>
    <col min="12554" max="12554" width="24.42578125" style="61" customWidth="1"/>
    <col min="12555" max="12555" width="16.85546875" style="61" customWidth="1"/>
    <col min="12556" max="12556" width="3.7109375" style="61" customWidth="1"/>
    <col min="12557" max="12557" width="16.28515625" style="61" customWidth="1"/>
    <col min="12558" max="12558" width="22.42578125" style="61" customWidth="1"/>
    <col min="12559" max="12559" width="19.28515625" style="61" customWidth="1"/>
    <col min="12560" max="12561" width="22.42578125" style="61" customWidth="1"/>
    <col min="12562" max="12562" width="3.7109375" style="61" customWidth="1"/>
    <col min="12563" max="12563" width="22.42578125" style="61" customWidth="1"/>
    <col min="12564" max="12564" width="29.42578125" style="61" customWidth="1"/>
    <col min="12565" max="12565" width="7.140625" style="61" customWidth="1"/>
    <col min="12566" max="12566" width="28.140625" style="61" customWidth="1"/>
    <col min="12567" max="12567" width="9.28515625" style="61" customWidth="1"/>
    <col min="12568" max="12568" width="8.42578125" style="61" customWidth="1"/>
    <col min="12569" max="12800" width="18.7109375" style="61"/>
    <col min="12801" max="12801" width="7" style="61" customWidth="1"/>
    <col min="12802" max="12802" width="7.28515625" style="61" customWidth="1"/>
    <col min="12803" max="12803" width="7.85546875" style="61" customWidth="1"/>
    <col min="12804" max="12804" width="64.140625" style="61" customWidth="1"/>
    <col min="12805" max="12805" width="10.85546875" style="61" customWidth="1"/>
    <col min="12806" max="12806" width="12.140625" style="61" customWidth="1"/>
    <col min="12807" max="12807" width="15.28515625" style="61" customWidth="1"/>
    <col min="12808" max="12808" width="20.42578125" style="61" customWidth="1"/>
    <col min="12809" max="12809" width="26.28515625" style="61" customWidth="1"/>
    <col min="12810" max="12810" width="24.42578125" style="61" customWidth="1"/>
    <col min="12811" max="12811" width="16.85546875" style="61" customWidth="1"/>
    <col min="12812" max="12812" width="3.7109375" style="61" customWidth="1"/>
    <col min="12813" max="12813" width="16.28515625" style="61" customWidth="1"/>
    <col min="12814" max="12814" width="22.42578125" style="61" customWidth="1"/>
    <col min="12815" max="12815" width="19.28515625" style="61" customWidth="1"/>
    <col min="12816" max="12817" width="22.42578125" style="61" customWidth="1"/>
    <col min="12818" max="12818" width="3.7109375" style="61" customWidth="1"/>
    <col min="12819" max="12819" width="22.42578125" style="61" customWidth="1"/>
    <col min="12820" max="12820" width="29.42578125" style="61" customWidth="1"/>
    <col min="12821" max="12821" width="7.140625" style="61" customWidth="1"/>
    <col min="12822" max="12822" width="28.140625" style="61" customWidth="1"/>
    <col min="12823" max="12823" width="9.28515625" style="61" customWidth="1"/>
    <col min="12824" max="12824" width="8.42578125" style="61" customWidth="1"/>
    <col min="12825" max="13056" width="18.7109375" style="61"/>
    <col min="13057" max="13057" width="7" style="61" customWidth="1"/>
    <col min="13058" max="13058" width="7.28515625" style="61" customWidth="1"/>
    <col min="13059" max="13059" width="7.85546875" style="61" customWidth="1"/>
    <col min="13060" max="13060" width="64.140625" style="61" customWidth="1"/>
    <col min="13061" max="13061" width="10.85546875" style="61" customWidth="1"/>
    <col min="13062" max="13062" width="12.140625" style="61" customWidth="1"/>
    <col min="13063" max="13063" width="15.28515625" style="61" customWidth="1"/>
    <col min="13064" max="13064" width="20.42578125" style="61" customWidth="1"/>
    <col min="13065" max="13065" width="26.28515625" style="61" customWidth="1"/>
    <col min="13066" max="13066" width="24.42578125" style="61" customWidth="1"/>
    <col min="13067" max="13067" width="16.85546875" style="61" customWidth="1"/>
    <col min="13068" max="13068" width="3.7109375" style="61" customWidth="1"/>
    <col min="13069" max="13069" width="16.28515625" style="61" customWidth="1"/>
    <col min="13070" max="13070" width="22.42578125" style="61" customWidth="1"/>
    <col min="13071" max="13071" width="19.28515625" style="61" customWidth="1"/>
    <col min="13072" max="13073" width="22.42578125" style="61" customWidth="1"/>
    <col min="13074" max="13074" width="3.7109375" style="61" customWidth="1"/>
    <col min="13075" max="13075" width="22.42578125" style="61" customWidth="1"/>
    <col min="13076" max="13076" width="29.42578125" style="61" customWidth="1"/>
    <col min="13077" max="13077" width="7.140625" style="61" customWidth="1"/>
    <col min="13078" max="13078" width="28.140625" style="61" customWidth="1"/>
    <col min="13079" max="13079" width="9.28515625" style="61" customWidth="1"/>
    <col min="13080" max="13080" width="8.42578125" style="61" customWidth="1"/>
    <col min="13081" max="13312" width="18.7109375" style="61"/>
    <col min="13313" max="13313" width="7" style="61" customWidth="1"/>
    <col min="13314" max="13314" width="7.28515625" style="61" customWidth="1"/>
    <col min="13315" max="13315" width="7.85546875" style="61" customWidth="1"/>
    <col min="13316" max="13316" width="64.140625" style="61" customWidth="1"/>
    <col min="13317" max="13317" width="10.85546875" style="61" customWidth="1"/>
    <col min="13318" max="13318" width="12.140625" style="61" customWidth="1"/>
    <col min="13319" max="13319" width="15.28515625" style="61" customWidth="1"/>
    <col min="13320" max="13320" width="20.42578125" style="61" customWidth="1"/>
    <col min="13321" max="13321" width="26.28515625" style="61" customWidth="1"/>
    <col min="13322" max="13322" width="24.42578125" style="61" customWidth="1"/>
    <col min="13323" max="13323" width="16.85546875" style="61" customWidth="1"/>
    <col min="13324" max="13324" width="3.7109375" style="61" customWidth="1"/>
    <col min="13325" max="13325" width="16.28515625" style="61" customWidth="1"/>
    <col min="13326" max="13326" width="22.42578125" style="61" customWidth="1"/>
    <col min="13327" max="13327" width="19.28515625" style="61" customWidth="1"/>
    <col min="13328" max="13329" width="22.42578125" style="61" customWidth="1"/>
    <col min="13330" max="13330" width="3.7109375" style="61" customWidth="1"/>
    <col min="13331" max="13331" width="22.42578125" style="61" customWidth="1"/>
    <col min="13332" max="13332" width="29.42578125" style="61" customWidth="1"/>
    <col min="13333" max="13333" width="7.140625" style="61" customWidth="1"/>
    <col min="13334" max="13334" width="28.140625" style="61" customWidth="1"/>
    <col min="13335" max="13335" width="9.28515625" style="61" customWidth="1"/>
    <col min="13336" max="13336" width="8.42578125" style="61" customWidth="1"/>
    <col min="13337" max="13568" width="18.7109375" style="61"/>
    <col min="13569" max="13569" width="7" style="61" customWidth="1"/>
    <col min="13570" max="13570" width="7.28515625" style="61" customWidth="1"/>
    <col min="13571" max="13571" width="7.85546875" style="61" customWidth="1"/>
    <col min="13572" max="13572" width="64.140625" style="61" customWidth="1"/>
    <col min="13573" max="13573" width="10.85546875" style="61" customWidth="1"/>
    <col min="13574" max="13574" width="12.140625" style="61" customWidth="1"/>
    <col min="13575" max="13575" width="15.28515625" style="61" customWidth="1"/>
    <col min="13576" max="13576" width="20.42578125" style="61" customWidth="1"/>
    <col min="13577" max="13577" width="26.28515625" style="61" customWidth="1"/>
    <col min="13578" max="13578" width="24.42578125" style="61" customWidth="1"/>
    <col min="13579" max="13579" width="16.85546875" style="61" customWidth="1"/>
    <col min="13580" max="13580" width="3.7109375" style="61" customWidth="1"/>
    <col min="13581" max="13581" width="16.28515625" style="61" customWidth="1"/>
    <col min="13582" max="13582" width="22.42578125" style="61" customWidth="1"/>
    <col min="13583" max="13583" width="19.28515625" style="61" customWidth="1"/>
    <col min="13584" max="13585" width="22.42578125" style="61" customWidth="1"/>
    <col min="13586" max="13586" width="3.7109375" style="61" customWidth="1"/>
    <col min="13587" max="13587" width="22.42578125" style="61" customWidth="1"/>
    <col min="13588" max="13588" width="29.42578125" style="61" customWidth="1"/>
    <col min="13589" max="13589" width="7.140625" style="61" customWidth="1"/>
    <col min="13590" max="13590" width="28.140625" style="61" customWidth="1"/>
    <col min="13591" max="13591" width="9.28515625" style="61" customWidth="1"/>
    <col min="13592" max="13592" width="8.42578125" style="61" customWidth="1"/>
    <col min="13593" max="13824" width="18.7109375" style="61"/>
    <col min="13825" max="13825" width="7" style="61" customWidth="1"/>
    <col min="13826" max="13826" width="7.28515625" style="61" customWidth="1"/>
    <col min="13827" max="13827" width="7.85546875" style="61" customWidth="1"/>
    <col min="13828" max="13828" width="64.140625" style="61" customWidth="1"/>
    <col min="13829" max="13829" width="10.85546875" style="61" customWidth="1"/>
    <col min="13830" max="13830" width="12.140625" style="61" customWidth="1"/>
    <col min="13831" max="13831" width="15.28515625" style="61" customWidth="1"/>
    <col min="13832" max="13832" width="20.42578125" style="61" customWidth="1"/>
    <col min="13833" max="13833" width="26.28515625" style="61" customWidth="1"/>
    <col min="13834" max="13834" width="24.42578125" style="61" customWidth="1"/>
    <col min="13835" max="13835" width="16.85546875" style="61" customWidth="1"/>
    <col min="13836" max="13836" width="3.7109375" style="61" customWidth="1"/>
    <col min="13837" max="13837" width="16.28515625" style="61" customWidth="1"/>
    <col min="13838" max="13838" width="22.42578125" style="61" customWidth="1"/>
    <col min="13839" max="13839" width="19.28515625" style="61" customWidth="1"/>
    <col min="13840" max="13841" width="22.42578125" style="61" customWidth="1"/>
    <col min="13842" max="13842" width="3.7109375" style="61" customWidth="1"/>
    <col min="13843" max="13843" width="22.42578125" style="61" customWidth="1"/>
    <col min="13844" max="13844" width="29.42578125" style="61" customWidth="1"/>
    <col min="13845" max="13845" width="7.140625" style="61" customWidth="1"/>
    <col min="13846" max="13846" width="28.140625" style="61" customWidth="1"/>
    <col min="13847" max="13847" width="9.28515625" style="61" customWidth="1"/>
    <col min="13848" max="13848" width="8.42578125" style="61" customWidth="1"/>
    <col min="13849" max="14080" width="18.7109375" style="61"/>
    <col min="14081" max="14081" width="7" style="61" customWidth="1"/>
    <col min="14082" max="14082" width="7.28515625" style="61" customWidth="1"/>
    <col min="14083" max="14083" width="7.85546875" style="61" customWidth="1"/>
    <col min="14084" max="14084" width="64.140625" style="61" customWidth="1"/>
    <col min="14085" max="14085" width="10.85546875" style="61" customWidth="1"/>
    <col min="14086" max="14086" width="12.140625" style="61" customWidth="1"/>
    <col min="14087" max="14087" width="15.28515625" style="61" customWidth="1"/>
    <col min="14088" max="14088" width="20.42578125" style="61" customWidth="1"/>
    <col min="14089" max="14089" width="26.28515625" style="61" customWidth="1"/>
    <col min="14090" max="14090" width="24.42578125" style="61" customWidth="1"/>
    <col min="14091" max="14091" width="16.85546875" style="61" customWidth="1"/>
    <col min="14092" max="14092" width="3.7109375" style="61" customWidth="1"/>
    <col min="14093" max="14093" width="16.28515625" style="61" customWidth="1"/>
    <col min="14094" max="14094" width="22.42578125" style="61" customWidth="1"/>
    <col min="14095" max="14095" width="19.28515625" style="61" customWidth="1"/>
    <col min="14096" max="14097" width="22.42578125" style="61" customWidth="1"/>
    <col min="14098" max="14098" width="3.7109375" style="61" customWidth="1"/>
    <col min="14099" max="14099" width="22.42578125" style="61" customWidth="1"/>
    <col min="14100" max="14100" width="29.42578125" style="61" customWidth="1"/>
    <col min="14101" max="14101" width="7.140625" style="61" customWidth="1"/>
    <col min="14102" max="14102" width="28.140625" style="61" customWidth="1"/>
    <col min="14103" max="14103" width="9.28515625" style="61" customWidth="1"/>
    <col min="14104" max="14104" width="8.42578125" style="61" customWidth="1"/>
    <col min="14105" max="14336" width="18.7109375" style="61"/>
    <col min="14337" max="14337" width="7" style="61" customWidth="1"/>
    <col min="14338" max="14338" width="7.28515625" style="61" customWidth="1"/>
    <col min="14339" max="14339" width="7.85546875" style="61" customWidth="1"/>
    <col min="14340" max="14340" width="64.140625" style="61" customWidth="1"/>
    <col min="14341" max="14341" width="10.85546875" style="61" customWidth="1"/>
    <col min="14342" max="14342" width="12.140625" style="61" customWidth="1"/>
    <col min="14343" max="14343" width="15.28515625" style="61" customWidth="1"/>
    <col min="14344" max="14344" width="20.42578125" style="61" customWidth="1"/>
    <col min="14345" max="14345" width="26.28515625" style="61" customWidth="1"/>
    <col min="14346" max="14346" width="24.42578125" style="61" customWidth="1"/>
    <col min="14347" max="14347" width="16.85546875" style="61" customWidth="1"/>
    <col min="14348" max="14348" width="3.7109375" style="61" customWidth="1"/>
    <col min="14349" max="14349" width="16.28515625" style="61" customWidth="1"/>
    <col min="14350" max="14350" width="22.42578125" style="61" customWidth="1"/>
    <col min="14351" max="14351" width="19.28515625" style="61" customWidth="1"/>
    <col min="14352" max="14353" width="22.42578125" style="61" customWidth="1"/>
    <col min="14354" max="14354" width="3.7109375" style="61" customWidth="1"/>
    <col min="14355" max="14355" width="22.42578125" style="61" customWidth="1"/>
    <col min="14356" max="14356" width="29.42578125" style="61" customWidth="1"/>
    <col min="14357" max="14357" width="7.140625" style="61" customWidth="1"/>
    <col min="14358" max="14358" width="28.140625" style="61" customWidth="1"/>
    <col min="14359" max="14359" width="9.28515625" style="61" customWidth="1"/>
    <col min="14360" max="14360" width="8.42578125" style="61" customWidth="1"/>
    <col min="14361" max="14592" width="18.7109375" style="61"/>
    <col min="14593" max="14593" width="7" style="61" customWidth="1"/>
    <col min="14594" max="14594" width="7.28515625" style="61" customWidth="1"/>
    <col min="14595" max="14595" width="7.85546875" style="61" customWidth="1"/>
    <col min="14596" max="14596" width="64.140625" style="61" customWidth="1"/>
    <col min="14597" max="14597" width="10.85546875" style="61" customWidth="1"/>
    <col min="14598" max="14598" width="12.140625" style="61" customWidth="1"/>
    <col min="14599" max="14599" width="15.28515625" style="61" customWidth="1"/>
    <col min="14600" max="14600" width="20.42578125" style="61" customWidth="1"/>
    <col min="14601" max="14601" width="26.28515625" style="61" customWidth="1"/>
    <col min="14602" max="14602" width="24.42578125" style="61" customWidth="1"/>
    <col min="14603" max="14603" width="16.85546875" style="61" customWidth="1"/>
    <col min="14604" max="14604" width="3.7109375" style="61" customWidth="1"/>
    <col min="14605" max="14605" width="16.28515625" style="61" customWidth="1"/>
    <col min="14606" max="14606" width="22.42578125" style="61" customWidth="1"/>
    <col min="14607" max="14607" width="19.28515625" style="61" customWidth="1"/>
    <col min="14608" max="14609" width="22.42578125" style="61" customWidth="1"/>
    <col min="14610" max="14610" width="3.7109375" style="61" customWidth="1"/>
    <col min="14611" max="14611" width="22.42578125" style="61" customWidth="1"/>
    <col min="14612" max="14612" width="29.42578125" style="61" customWidth="1"/>
    <col min="14613" max="14613" width="7.140625" style="61" customWidth="1"/>
    <col min="14614" max="14614" width="28.140625" style="61" customWidth="1"/>
    <col min="14615" max="14615" width="9.28515625" style="61" customWidth="1"/>
    <col min="14616" max="14616" width="8.42578125" style="61" customWidth="1"/>
    <col min="14617" max="14848" width="18.7109375" style="61"/>
    <col min="14849" max="14849" width="7" style="61" customWidth="1"/>
    <col min="14850" max="14850" width="7.28515625" style="61" customWidth="1"/>
    <col min="14851" max="14851" width="7.85546875" style="61" customWidth="1"/>
    <col min="14852" max="14852" width="64.140625" style="61" customWidth="1"/>
    <col min="14853" max="14853" width="10.85546875" style="61" customWidth="1"/>
    <col min="14854" max="14854" width="12.140625" style="61" customWidth="1"/>
    <col min="14855" max="14855" width="15.28515625" style="61" customWidth="1"/>
    <col min="14856" max="14856" width="20.42578125" style="61" customWidth="1"/>
    <col min="14857" max="14857" width="26.28515625" style="61" customWidth="1"/>
    <col min="14858" max="14858" width="24.42578125" style="61" customWidth="1"/>
    <col min="14859" max="14859" width="16.85546875" style="61" customWidth="1"/>
    <col min="14860" max="14860" width="3.7109375" style="61" customWidth="1"/>
    <col min="14861" max="14861" width="16.28515625" style="61" customWidth="1"/>
    <col min="14862" max="14862" width="22.42578125" style="61" customWidth="1"/>
    <col min="14863" max="14863" width="19.28515625" style="61" customWidth="1"/>
    <col min="14864" max="14865" width="22.42578125" style="61" customWidth="1"/>
    <col min="14866" max="14866" width="3.7109375" style="61" customWidth="1"/>
    <col min="14867" max="14867" width="22.42578125" style="61" customWidth="1"/>
    <col min="14868" max="14868" width="29.42578125" style="61" customWidth="1"/>
    <col min="14869" max="14869" width="7.140625" style="61" customWidth="1"/>
    <col min="14870" max="14870" width="28.140625" style="61" customWidth="1"/>
    <col min="14871" max="14871" width="9.28515625" style="61" customWidth="1"/>
    <col min="14872" max="14872" width="8.42578125" style="61" customWidth="1"/>
    <col min="14873" max="15104" width="18.7109375" style="61"/>
    <col min="15105" max="15105" width="7" style="61" customWidth="1"/>
    <col min="15106" max="15106" width="7.28515625" style="61" customWidth="1"/>
    <col min="15107" max="15107" width="7.85546875" style="61" customWidth="1"/>
    <col min="15108" max="15108" width="64.140625" style="61" customWidth="1"/>
    <col min="15109" max="15109" width="10.85546875" style="61" customWidth="1"/>
    <col min="15110" max="15110" width="12.140625" style="61" customWidth="1"/>
    <col min="15111" max="15111" width="15.28515625" style="61" customWidth="1"/>
    <col min="15112" max="15112" width="20.42578125" style="61" customWidth="1"/>
    <col min="15113" max="15113" width="26.28515625" style="61" customWidth="1"/>
    <col min="15114" max="15114" width="24.42578125" style="61" customWidth="1"/>
    <col min="15115" max="15115" width="16.85546875" style="61" customWidth="1"/>
    <col min="15116" max="15116" width="3.7109375" style="61" customWidth="1"/>
    <col min="15117" max="15117" width="16.28515625" style="61" customWidth="1"/>
    <col min="15118" max="15118" width="22.42578125" style="61" customWidth="1"/>
    <col min="15119" max="15119" width="19.28515625" style="61" customWidth="1"/>
    <col min="15120" max="15121" width="22.42578125" style="61" customWidth="1"/>
    <col min="15122" max="15122" width="3.7109375" style="61" customWidth="1"/>
    <col min="15123" max="15123" width="22.42578125" style="61" customWidth="1"/>
    <col min="15124" max="15124" width="29.42578125" style="61" customWidth="1"/>
    <col min="15125" max="15125" width="7.140625" style="61" customWidth="1"/>
    <col min="15126" max="15126" width="28.140625" style="61" customWidth="1"/>
    <col min="15127" max="15127" width="9.28515625" style="61" customWidth="1"/>
    <col min="15128" max="15128" width="8.42578125" style="61" customWidth="1"/>
    <col min="15129" max="15360" width="18.7109375" style="61"/>
    <col min="15361" max="15361" width="7" style="61" customWidth="1"/>
    <col min="15362" max="15362" width="7.28515625" style="61" customWidth="1"/>
    <col min="15363" max="15363" width="7.85546875" style="61" customWidth="1"/>
    <col min="15364" max="15364" width="64.140625" style="61" customWidth="1"/>
    <col min="15365" max="15365" width="10.85546875" style="61" customWidth="1"/>
    <col min="15366" max="15366" width="12.140625" style="61" customWidth="1"/>
    <col min="15367" max="15367" width="15.28515625" style="61" customWidth="1"/>
    <col min="15368" max="15368" width="20.42578125" style="61" customWidth="1"/>
    <col min="15369" max="15369" width="26.28515625" style="61" customWidth="1"/>
    <col min="15370" max="15370" width="24.42578125" style="61" customWidth="1"/>
    <col min="15371" max="15371" width="16.85546875" style="61" customWidth="1"/>
    <col min="15372" max="15372" width="3.7109375" style="61" customWidth="1"/>
    <col min="15373" max="15373" width="16.28515625" style="61" customWidth="1"/>
    <col min="15374" max="15374" width="22.42578125" style="61" customWidth="1"/>
    <col min="15375" max="15375" width="19.28515625" style="61" customWidth="1"/>
    <col min="15376" max="15377" width="22.42578125" style="61" customWidth="1"/>
    <col min="15378" max="15378" width="3.7109375" style="61" customWidth="1"/>
    <col min="15379" max="15379" width="22.42578125" style="61" customWidth="1"/>
    <col min="15380" max="15380" width="29.42578125" style="61" customWidth="1"/>
    <col min="15381" max="15381" width="7.140625" style="61" customWidth="1"/>
    <col min="15382" max="15382" width="28.140625" style="61" customWidth="1"/>
    <col min="15383" max="15383" width="9.28515625" style="61" customWidth="1"/>
    <col min="15384" max="15384" width="8.42578125" style="61" customWidth="1"/>
    <col min="15385" max="15616" width="18.7109375" style="61"/>
    <col min="15617" max="15617" width="7" style="61" customWidth="1"/>
    <col min="15618" max="15618" width="7.28515625" style="61" customWidth="1"/>
    <col min="15619" max="15619" width="7.85546875" style="61" customWidth="1"/>
    <col min="15620" max="15620" width="64.140625" style="61" customWidth="1"/>
    <col min="15621" max="15621" width="10.85546875" style="61" customWidth="1"/>
    <col min="15622" max="15622" width="12.140625" style="61" customWidth="1"/>
    <col min="15623" max="15623" width="15.28515625" style="61" customWidth="1"/>
    <col min="15624" max="15624" width="20.42578125" style="61" customWidth="1"/>
    <col min="15625" max="15625" width="26.28515625" style="61" customWidth="1"/>
    <col min="15626" max="15626" width="24.42578125" style="61" customWidth="1"/>
    <col min="15627" max="15627" width="16.85546875" style="61" customWidth="1"/>
    <col min="15628" max="15628" width="3.7109375" style="61" customWidth="1"/>
    <col min="15629" max="15629" width="16.28515625" style="61" customWidth="1"/>
    <col min="15630" max="15630" width="22.42578125" style="61" customWidth="1"/>
    <col min="15631" max="15631" width="19.28515625" style="61" customWidth="1"/>
    <col min="15632" max="15633" width="22.42578125" style="61" customWidth="1"/>
    <col min="15634" max="15634" width="3.7109375" style="61" customWidth="1"/>
    <col min="15635" max="15635" width="22.42578125" style="61" customWidth="1"/>
    <col min="15636" max="15636" width="29.42578125" style="61" customWidth="1"/>
    <col min="15637" max="15637" width="7.140625" style="61" customWidth="1"/>
    <col min="15638" max="15638" width="28.140625" style="61" customWidth="1"/>
    <col min="15639" max="15639" width="9.28515625" style="61" customWidth="1"/>
    <col min="15640" max="15640" width="8.42578125" style="61" customWidth="1"/>
    <col min="15641" max="15872" width="18.7109375" style="61"/>
    <col min="15873" max="15873" width="7" style="61" customWidth="1"/>
    <col min="15874" max="15874" width="7.28515625" style="61" customWidth="1"/>
    <col min="15875" max="15875" width="7.85546875" style="61" customWidth="1"/>
    <col min="15876" max="15876" width="64.140625" style="61" customWidth="1"/>
    <col min="15877" max="15877" width="10.85546875" style="61" customWidth="1"/>
    <col min="15878" max="15878" width="12.140625" style="61" customWidth="1"/>
    <col min="15879" max="15879" width="15.28515625" style="61" customWidth="1"/>
    <col min="15880" max="15880" width="20.42578125" style="61" customWidth="1"/>
    <col min="15881" max="15881" width="26.28515625" style="61" customWidth="1"/>
    <col min="15882" max="15882" width="24.42578125" style="61" customWidth="1"/>
    <col min="15883" max="15883" width="16.85546875" style="61" customWidth="1"/>
    <col min="15884" max="15884" width="3.7109375" style="61" customWidth="1"/>
    <col min="15885" max="15885" width="16.28515625" style="61" customWidth="1"/>
    <col min="15886" max="15886" width="22.42578125" style="61" customWidth="1"/>
    <col min="15887" max="15887" width="19.28515625" style="61" customWidth="1"/>
    <col min="15888" max="15889" width="22.42578125" style="61" customWidth="1"/>
    <col min="15890" max="15890" width="3.7109375" style="61" customWidth="1"/>
    <col min="15891" max="15891" width="22.42578125" style="61" customWidth="1"/>
    <col min="15892" max="15892" width="29.42578125" style="61" customWidth="1"/>
    <col min="15893" max="15893" width="7.140625" style="61" customWidth="1"/>
    <col min="15894" max="15894" width="28.140625" style="61" customWidth="1"/>
    <col min="15895" max="15895" width="9.28515625" style="61" customWidth="1"/>
    <col min="15896" max="15896" width="8.42578125" style="61" customWidth="1"/>
    <col min="15897" max="16128" width="18.7109375" style="61"/>
    <col min="16129" max="16129" width="7" style="61" customWidth="1"/>
    <col min="16130" max="16130" width="7.28515625" style="61" customWidth="1"/>
    <col min="16131" max="16131" width="7.85546875" style="61" customWidth="1"/>
    <col min="16132" max="16132" width="64.140625" style="61" customWidth="1"/>
    <col min="16133" max="16133" width="10.85546875" style="61" customWidth="1"/>
    <col min="16134" max="16134" width="12.140625" style="61" customWidth="1"/>
    <col min="16135" max="16135" width="15.28515625" style="61" customWidth="1"/>
    <col min="16136" max="16136" width="20.42578125" style="61" customWidth="1"/>
    <col min="16137" max="16137" width="26.28515625" style="61" customWidth="1"/>
    <col min="16138" max="16138" width="24.42578125" style="61" customWidth="1"/>
    <col min="16139" max="16139" width="16.85546875" style="61" customWidth="1"/>
    <col min="16140" max="16140" width="3.7109375" style="61" customWidth="1"/>
    <col min="16141" max="16141" width="16.28515625" style="61" customWidth="1"/>
    <col min="16142" max="16142" width="22.42578125" style="61" customWidth="1"/>
    <col min="16143" max="16143" width="19.28515625" style="61" customWidth="1"/>
    <col min="16144" max="16145" width="22.42578125" style="61" customWidth="1"/>
    <col min="16146" max="16146" width="3.7109375" style="61" customWidth="1"/>
    <col min="16147" max="16147" width="22.42578125" style="61" customWidth="1"/>
    <col min="16148" max="16148" width="29.42578125" style="61" customWidth="1"/>
    <col min="16149" max="16149" width="7.140625" style="61" customWidth="1"/>
    <col min="16150" max="16150" width="28.140625" style="61" customWidth="1"/>
    <col min="16151" max="16151" width="9.28515625" style="61" customWidth="1"/>
    <col min="16152" max="16152" width="8.42578125" style="61" customWidth="1"/>
    <col min="16153" max="16384" width="18.7109375" style="61"/>
  </cols>
  <sheetData>
    <row r="1" spans="1:68" ht="15.75" thickBot="1" x14ac:dyDescent="0.3"/>
    <row r="2" spans="1:68" ht="14.25" x14ac:dyDescent="0.25">
      <c r="B2" s="248" t="s">
        <v>93</v>
      </c>
      <c r="C2" s="249"/>
      <c r="D2" s="249"/>
      <c r="E2" s="249"/>
      <c r="F2" s="249"/>
      <c r="G2" s="250"/>
      <c r="H2" s="251"/>
      <c r="I2" s="67"/>
      <c r="J2" s="68"/>
      <c r="K2" s="69"/>
      <c r="L2" s="67"/>
      <c r="M2" s="68"/>
      <c r="N2" s="69"/>
      <c r="O2" s="67"/>
      <c r="P2" s="68"/>
      <c r="Q2" s="69"/>
      <c r="R2" s="67"/>
      <c r="S2" s="68"/>
      <c r="T2" s="69"/>
      <c r="U2" s="67"/>
      <c r="V2" s="68"/>
      <c r="W2" s="69"/>
      <c r="X2" s="67"/>
      <c r="Y2" s="68"/>
      <c r="Z2" s="69"/>
      <c r="AA2" s="67"/>
      <c r="AB2" s="68"/>
      <c r="AC2" s="69"/>
      <c r="AD2" s="67"/>
      <c r="AE2" s="68"/>
      <c r="AF2" s="69"/>
      <c r="AI2" s="69"/>
      <c r="AL2" s="69"/>
      <c r="AO2" s="69"/>
      <c r="AR2" s="69"/>
      <c r="AU2" s="69"/>
      <c r="AX2" s="69"/>
      <c r="BA2" s="69"/>
      <c r="BD2" s="69"/>
      <c r="BG2" s="69"/>
      <c r="BJ2" s="69"/>
      <c r="BM2" s="69"/>
      <c r="BP2" s="69"/>
    </row>
    <row r="3" spans="1:68" ht="14.25" x14ac:dyDescent="0.25">
      <c r="B3" s="254" t="s">
        <v>94</v>
      </c>
      <c r="C3" s="255"/>
      <c r="D3" s="255"/>
      <c r="E3" s="255"/>
      <c r="F3" s="255"/>
      <c r="G3" s="256"/>
      <c r="H3" s="252"/>
      <c r="I3" s="67"/>
      <c r="J3" s="68"/>
      <c r="K3" s="69"/>
      <c r="L3" s="67"/>
      <c r="M3" s="68"/>
      <c r="N3" s="69"/>
      <c r="O3" s="67"/>
      <c r="P3" s="68"/>
      <c r="Q3" s="69"/>
      <c r="R3" s="67"/>
      <c r="S3" s="68"/>
      <c r="T3" s="69"/>
      <c r="U3" s="67"/>
      <c r="V3" s="68"/>
      <c r="W3" s="69"/>
      <c r="X3" s="67"/>
      <c r="Y3" s="68"/>
      <c r="Z3" s="69"/>
      <c r="AA3" s="67"/>
      <c r="AB3" s="68"/>
      <c r="AC3" s="69"/>
      <c r="AD3" s="67"/>
      <c r="AE3" s="68"/>
      <c r="AF3" s="69"/>
      <c r="AI3" s="69"/>
      <c r="AL3" s="69"/>
      <c r="AO3" s="69"/>
      <c r="AR3" s="69"/>
      <c r="AU3" s="69"/>
      <c r="AX3" s="69"/>
      <c r="BA3" s="69"/>
      <c r="BD3" s="69"/>
      <c r="BG3" s="69"/>
      <c r="BJ3" s="69"/>
      <c r="BM3" s="69"/>
      <c r="BP3" s="69"/>
    </row>
    <row r="4" spans="1:68" ht="14.25" x14ac:dyDescent="0.25">
      <c r="B4" s="257"/>
      <c r="C4" s="258"/>
      <c r="D4" s="259" t="s">
        <v>95</v>
      </c>
      <c r="E4" s="258"/>
      <c r="F4" s="259" t="s">
        <v>96</v>
      </c>
      <c r="G4" s="258"/>
      <c r="H4" s="252"/>
      <c r="I4" s="67"/>
      <c r="J4" s="68"/>
      <c r="K4" s="69"/>
      <c r="L4" s="67"/>
      <c r="M4" s="68"/>
      <c r="N4" s="69"/>
      <c r="O4" s="67"/>
      <c r="P4" s="68"/>
      <c r="Q4" s="69"/>
      <c r="R4" s="67"/>
      <c r="S4" s="68"/>
      <c r="T4" s="69"/>
      <c r="U4" s="67"/>
      <c r="V4" s="68"/>
      <c r="W4" s="69"/>
      <c r="X4" s="67"/>
      <c r="Y4" s="68"/>
      <c r="Z4" s="69"/>
      <c r="AA4" s="67"/>
      <c r="AB4" s="68"/>
      <c r="AC4" s="69"/>
      <c r="AD4" s="67"/>
      <c r="AE4" s="68"/>
      <c r="AF4" s="69"/>
      <c r="AI4" s="69"/>
      <c r="AL4" s="69"/>
      <c r="AO4" s="69"/>
      <c r="AR4" s="69"/>
      <c r="AU4" s="69"/>
      <c r="AX4" s="69"/>
      <c r="BA4" s="69"/>
      <c r="BD4" s="69"/>
      <c r="BG4" s="69"/>
      <c r="BJ4" s="69"/>
      <c r="BM4" s="69"/>
      <c r="BP4" s="69"/>
    </row>
    <row r="5" spans="1:68" ht="14.25" x14ac:dyDescent="0.25">
      <c r="B5" s="254"/>
      <c r="C5" s="256"/>
      <c r="D5" s="260" t="s">
        <v>97</v>
      </c>
      <c r="E5" s="256"/>
      <c r="F5" s="260">
        <v>2</v>
      </c>
      <c r="G5" s="256"/>
      <c r="H5" s="253"/>
      <c r="I5" s="67"/>
      <c r="J5" s="68"/>
      <c r="K5" s="69"/>
      <c r="L5" s="67"/>
      <c r="M5" s="68"/>
      <c r="N5" s="69"/>
      <c r="O5" s="67"/>
      <c r="P5" s="68"/>
      <c r="Q5" s="69"/>
      <c r="R5" s="67"/>
      <c r="S5" s="68"/>
      <c r="T5" s="69"/>
      <c r="U5" s="67"/>
      <c r="V5" s="68"/>
      <c r="W5" s="69"/>
      <c r="X5" s="67"/>
      <c r="Y5" s="68"/>
      <c r="Z5" s="69"/>
      <c r="AA5" s="67"/>
      <c r="AB5" s="68"/>
      <c r="AC5" s="69"/>
      <c r="AD5" s="67"/>
      <c r="AE5" s="68"/>
      <c r="AF5" s="69"/>
      <c r="AI5" s="69"/>
      <c r="AL5" s="69"/>
      <c r="AO5" s="69"/>
      <c r="AR5" s="69"/>
      <c r="AU5" s="69"/>
      <c r="AX5" s="69"/>
      <c r="BA5" s="69"/>
      <c r="BD5" s="69"/>
      <c r="BG5" s="69"/>
      <c r="BJ5" s="69"/>
      <c r="BM5" s="69"/>
      <c r="BP5" s="69"/>
    </row>
    <row r="6" spans="1:68" ht="14.25" x14ac:dyDescent="0.25">
      <c r="B6" s="261" t="str">
        <f>'[2]DATOS ENTRADA'!$C$2</f>
        <v xml:space="preserve">FONDO DE DESARROLLO LOCAL DE LA CANDELARIA </v>
      </c>
      <c r="C6" s="262"/>
      <c r="D6" s="262"/>
      <c r="E6" s="262"/>
      <c r="F6" s="262"/>
      <c r="G6" s="262"/>
      <c r="H6" s="263"/>
      <c r="I6" s="71"/>
      <c r="J6" s="68"/>
      <c r="K6" s="69"/>
      <c r="L6" s="71"/>
      <c r="M6" s="68"/>
      <c r="N6" s="69"/>
      <c r="O6" s="71"/>
      <c r="P6" s="68"/>
      <c r="Q6" s="69"/>
      <c r="R6" s="71"/>
      <c r="S6" s="68"/>
      <c r="T6" s="69"/>
      <c r="U6" s="71"/>
      <c r="V6" s="68"/>
      <c r="W6" s="69"/>
      <c r="X6" s="71"/>
      <c r="Y6" s="68"/>
      <c r="Z6" s="69"/>
      <c r="AA6" s="71"/>
      <c r="AB6" s="68"/>
      <c r="AC6" s="69"/>
      <c r="AD6" s="71"/>
      <c r="AE6" s="68"/>
      <c r="AF6" s="69"/>
      <c r="AI6" s="69"/>
      <c r="AL6" s="69"/>
      <c r="AO6" s="69"/>
      <c r="AR6" s="69"/>
      <c r="AU6" s="69"/>
      <c r="AX6" s="69"/>
      <c r="BA6" s="69"/>
      <c r="BD6" s="69"/>
      <c r="BG6" s="69"/>
      <c r="BJ6" s="69"/>
      <c r="BM6" s="69"/>
      <c r="BP6" s="69"/>
    </row>
    <row r="7" spans="1:68" ht="14.25" x14ac:dyDescent="0.25">
      <c r="B7" s="261" t="str">
        <f>'[2]DATOS ENTRADA'!$C$3</f>
        <v>PLANEACION</v>
      </c>
      <c r="C7" s="262"/>
      <c r="D7" s="262"/>
      <c r="E7" s="262"/>
      <c r="F7" s="262"/>
      <c r="G7" s="262"/>
      <c r="H7" s="263"/>
      <c r="I7" s="71"/>
      <c r="J7" s="68"/>
      <c r="K7" s="68"/>
      <c r="L7" s="71"/>
      <c r="M7" s="68"/>
      <c r="N7" s="68"/>
      <c r="O7" s="71"/>
      <c r="P7" s="68"/>
      <c r="Q7" s="68"/>
      <c r="R7" s="71"/>
      <c r="S7" s="68"/>
      <c r="T7" s="68"/>
      <c r="U7" s="71"/>
      <c r="V7" s="68"/>
      <c r="W7" s="68"/>
      <c r="X7" s="71"/>
      <c r="Y7" s="68"/>
      <c r="Z7" s="68"/>
      <c r="AA7" s="71"/>
      <c r="AB7" s="68"/>
      <c r="AC7" s="68"/>
      <c r="AD7" s="71"/>
      <c r="AE7" s="68"/>
      <c r="AF7" s="68"/>
      <c r="AI7" s="68"/>
      <c r="AL7" s="68"/>
      <c r="AO7" s="68"/>
      <c r="AR7" s="68"/>
      <c r="AU7" s="68"/>
      <c r="AX7" s="68"/>
      <c r="BA7" s="68"/>
      <c r="BD7" s="68"/>
      <c r="BG7" s="68"/>
      <c r="BJ7" s="68"/>
      <c r="BM7" s="68"/>
      <c r="BP7" s="68"/>
    </row>
    <row r="8" spans="1:68" ht="14.25" x14ac:dyDescent="0.25">
      <c r="B8" s="264" t="str">
        <f>'[2]DATOS ENTRADA'!$C$4</f>
        <v>PROYECTO 1391</v>
      </c>
      <c r="C8" s="265"/>
      <c r="D8" s="265"/>
      <c r="E8" s="265"/>
      <c r="F8" s="265"/>
      <c r="G8" s="265"/>
      <c r="H8" s="266"/>
      <c r="I8" s="72"/>
      <c r="J8" s="68"/>
      <c r="K8" s="68"/>
      <c r="L8" s="72"/>
      <c r="M8" s="68"/>
      <c r="N8" s="68"/>
      <c r="O8" s="72"/>
      <c r="P8" s="68"/>
      <c r="Q8" s="68"/>
      <c r="R8" s="72"/>
      <c r="S8" s="68"/>
      <c r="T8" s="68"/>
      <c r="U8" s="72"/>
      <c r="V8" s="68"/>
      <c r="W8" s="68"/>
      <c r="X8" s="72"/>
      <c r="Y8" s="68"/>
      <c r="Z8" s="68"/>
      <c r="AA8" s="72"/>
      <c r="AB8" s="68"/>
      <c r="AC8" s="68"/>
      <c r="AD8" s="72"/>
      <c r="AE8" s="68"/>
      <c r="AF8" s="68"/>
      <c r="AI8" s="68"/>
      <c r="AL8" s="68"/>
      <c r="AO8" s="68"/>
      <c r="AR8" s="68"/>
      <c r="AU8" s="68"/>
      <c r="AX8" s="68"/>
      <c r="BA8" s="68"/>
      <c r="BD8" s="68"/>
      <c r="BG8" s="68"/>
      <c r="BJ8" s="68"/>
      <c r="BM8" s="68"/>
      <c r="BP8" s="68"/>
    </row>
    <row r="9" spans="1:68" thickBot="1" x14ac:dyDescent="0.3">
      <c r="B9" s="267" t="str">
        <f>IF('[2]DATOS ENTRADA'!C5=0,"",'[2]DATOS ENTRADA'!C5)</f>
        <v/>
      </c>
      <c r="C9" s="268"/>
      <c r="D9" s="268"/>
      <c r="E9" s="268"/>
      <c r="F9" s="268"/>
      <c r="G9" s="268"/>
      <c r="H9" s="269"/>
      <c r="I9" s="72"/>
      <c r="J9" s="68"/>
      <c r="K9" s="68"/>
      <c r="L9" s="72"/>
      <c r="M9" s="68"/>
      <c r="N9" s="68"/>
      <c r="O9" s="72"/>
      <c r="P9" s="68"/>
      <c r="Q9" s="68"/>
      <c r="R9" s="72"/>
      <c r="S9" s="68"/>
      <c r="T9" s="68"/>
      <c r="U9" s="72"/>
      <c r="V9" s="68"/>
      <c r="W9" s="68"/>
      <c r="X9" s="72"/>
      <c r="Y9" s="68"/>
      <c r="Z9" s="68"/>
      <c r="AA9" s="72"/>
      <c r="AB9" s="68"/>
      <c r="AC9" s="68"/>
      <c r="AD9" s="72"/>
      <c r="AE9" s="68"/>
      <c r="AF9" s="68"/>
      <c r="AI9" s="68"/>
      <c r="AL9" s="68"/>
      <c r="AO9" s="68"/>
      <c r="AR9" s="68"/>
      <c r="AU9" s="68"/>
      <c r="AX9" s="68"/>
      <c r="BA9" s="68"/>
      <c r="BD9" s="68"/>
      <c r="BG9" s="68"/>
      <c r="BJ9" s="68"/>
      <c r="BM9" s="68"/>
      <c r="BP9" s="68"/>
    </row>
    <row r="10" spans="1:68" ht="54" customHeight="1" thickBot="1" x14ac:dyDescent="0.3">
      <c r="B10" s="270" t="str">
        <f>'[2]DATOS ENTRADA'!B7</f>
        <v>OBJETO DE LA LICITACIÓN:</v>
      </c>
      <c r="C10" s="271"/>
      <c r="D10" s="272" t="str">
        <f>'[2]DATOS ENTRADA'!C7</f>
        <v xml:space="preserve">REALIZAR LA SEGUNDA FASE DEL PROYECTO DE PEATONALIZACION DE LA CALLE 10, EJECUTANDO A PRECIOS UNITARIOS FIJOS LA CONTINUACION DE LA CONSTRUCCIÓN DE LA CALLE 10 ENTRE LAS CARRERA 4 Y CARRRERA 5 Y CARRERA 6 Y CARRERA 7 EN LA LOCALIDAD DE LA CANDELARIA, EN BOGOTÁ D.C. </v>
      </c>
      <c r="E10" s="273"/>
      <c r="F10" s="273"/>
      <c r="G10" s="273"/>
      <c r="H10" s="274"/>
      <c r="I10" s="73"/>
      <c r="J10" s="277"/>
      <c r="K10" s="277"/>
      <c r="L10" s="73"/>
      <c r="M10" s="277"/>
      <c r="N10" s="277"/>
      <c r="O10" s="73"/>
      <c r="P10" s="277"/>
      <c r="Q10" s="277"/>
      <c r="R10" s="73"/>
      <c r="S10" s="277"/>
      <c r="T10" s="277"/>
      <c r="U10" s="73"/>
      <c r="V10" s="277"/>
      <c r="W10" s="277"/>
      <c r="X10" s="73"/>
      <c r="Y10" s="277"/>
      <c r="Z10" s="277"/>
      <c r="AA10" s="73"/>
      <c r="AB10" s="277"/>
      <c r="AC10" s="277"/>
      <c r="AD10" s="73"/>
      <c r="AE10" s="277"/>
      <c r="AF10" s="277"/>
      <c r="AI10" s="61"/>
      <c r="AL10" s="61"/>
      <c r="AO10" s="61"/>
      <c r="AR10" s="61"/>
      <c r="AU10" s="61"/>
      <c r="AX10" s="61"/>
      <c r="BA10" s="61"/>
      <c r="BD10" s="61"/>
      <c r="BG10" s="61"/>
      <c r="BJ10" s="61"/>
      <c r="BM10" s="61"/>
      <c r="BP10" s="61"/>
    </row>
    <row r="11" spans="1:68" ht="27.75" thickTop="1" thickBot="1" x14ac:dyDescent="0.3">
      <c r="B11" s="278" t="s">
        <v>98</v>
      </c>
      <c r="C11" s="279"/>
      <c r="D11" s="279"/>
      <c r="E11" s="279"/>
      <c r="F11" s="279"/>
      <c r="G11" s="279"/>
      <c r="H11" s="280"/>
      <c r="I11" s="291">
        <f>'PROPUESTA ECONOMICA'!B8</f>
        <v>13</v>
      </c>
      <c r="J11" s="292"/>
      <c r="K11" s="293"/>
      <c r="L11" s="291">
        <f>'PROPUESTA ECONOMICA'!B9</f>
        <v>12</v>
      </c>
      <c r="M11" s="292"/>
      <c r="N11" s="293"/>
      <c r="O11" s="291">
        <f>'PROPUESTA ECONOMICA'!B10</f>
        <v>17</v>
      </c>
      <c r="P11" s="292"/>
      <c r="Q11" s="293"/>
      <c r="R11" s="291">
        <f>'PROPUESTA ECONOMICA'!B11</f>
        <v>2</v>
      </c>
      <c r="S11" s="292"/>
      <c r="T11" s="293"/>
      <c r="U11" s="291">
        <f>'PROPUESTA ECONOMICA'!B12</f>
        <v>3</v>
      </c>
      <c r="V11" s="292"/>
      <c r="W11" s="293"/>
      <c r="X11" s="291">
        <f>'PROPUESTA ECONOMICA'!B13</f>
        <v>18</v>
      </c>
      <c r="Y11" s="292"/>
      <c r="Z11" s="293"/>
      <c r="AA11" s="291">
        <f>'PROPUESTA ECONOMICA'!B14</f>
        <v>6</v>
      </c>
      <c r="AB11" s="292"/>
      <c r="AC11" s="293"/>
      <c r="AD11" s="291">
        <f>'PROPUESTA ECONOMICA'!B15</f>
        <v>11</v>
      </c>
      <c r="AE11" s="292"/>
      <c r="AF11" s="293"/>
      <c r="AG11" s="291" t="e">
        <f>'PROPUESTA ECONOMICA'!B16</f>
        <v>#N/A</v>
      </c>
      <c r="AH11" s="292"/>
      <c r="AI11" s="293"/>
      <c r="AJ11" s="291">
        <f>'PROPUESTA ECONOMICA'!B17</f>
        <v>19</v>
      </c>
      <c r="AK11" s="292"/>
      <c r="AL11" s="293"/>
      <c r="AM11" s="291">
        <f>'PROPUESTA ECONOMICA'!B18</f>
        <v>7</v>
      </c>
      <c r="AN11" s="292"/>
      <c r="AO11" s="293"/>
      <c r="AP11" s="291">
        <f>'PROPUESTA ECONOMICA'!B19</f>
        <v>4</v>
      </c>
      <c r="AQ11" s="292"/>
      <c r="AR11" s="293"/>
      <c r="AS11" s="291">
        <f>'PROPUESTA ECONOMICA'!B20</f>
        <v>14</v>
      </c>
      <c r="AT11" s="292"/>
      <c r="AU11" s="293"/>
      <c r="AV11" s="291">
        <f>'PROPUESTA ECONOMICA'!B21</f>
        <v>9</v>
      </c>
      <c r="AW11" s="292"/>
      <c r="AX11" s="293"/>
      <c r="AY11" s="291">
        <f>'PROPUESTA ECONOMICA'!B22</f>
        <v>4</v>
      </c>
      <c r="AZ11" s="292"/>
      <c r="BA11" s="293"/>
      <c r="BB11" s="291">
        <f>'PROPUESTA ECONOMICA'!B23</f>
        <v>16</v>
      </c>
      <c r="BC11" s="292"/>
      <c r="BD11" s="293"/>
      <c r="BE11" s="291">
        <f>'PROPUESTA ECONOMICA'!B24</f>
        <v>10</v>
      </c>
      <c r="BF11" s="292"/>
      <c r="BG11" s="293"/>
      <c r="BH11" s="291">
        <f>'PROPUESTA ECONOMICA'!B25</f>
        <v>1</v>
      </c>
      <c r="BI11" s="292"/>
      <c r="BJ11" s="293"/>
      <c r="BK11" s="291">
        <f>'PROPUESTA ECONOMICA'!B26</f>
        <v>15</v>
      </c>
      <c r="BL11" s="292"/>
      <c r="BM11" s="293"/>
      <c r="BN11" s="291">
        <f>'PROPUESTA ECONOMICA'!B27</f>
        <v>8</v>
      </c>
      <c r="BO11" s="292"/>
      <c r="BP11" s="293"/>
    </row>
    <row r="12" spans="1:68" ht="40.5" customHeight="1" thickTop="1" thickBot="1" x14ac:dyDescent="0.3">
      <c r="A12" s="219"/>
      <c r="B12" s="220"/>
      <c r="C12" s="221"/>
      <c r="D12" s="221"/>
      <c r="E12" s="221"/>
      <c r="F12" s="221"/>
      <c r="G12" s="221"/>
      <c r="H12" s="222">
        <f>'[2]DATOS ENTRADA'!C11</f>
        <v>43539</v>
      </c>
      <c r="I12" s="287" t="str">
        <f>'PROPUESTA ECONOMICA'!C8</f>
        <v>CONSORCIO LA PAZ</v>
      </c>
      <c r="J12" s="288"/>
      <c r="K12" s="289"/>
      <c r="L12" s="287" t="str">
        <f>'PROPUESTA ECONOMICA'!C9</f>
        <v>LYDCO INGENIERIA SAS 005</v>
      </c>
      <c r="M12" s="288"/>
      <c r="N12" s="289"/>
      <c r="O12" s="287" t="str">
        <f>'PROPUESTA ECONOMICA'!C10</f>
        <v>GRD-FDLC-LP-005-2019</v>
      </c>
      <c r="P12" s="288"/>
      <c r="Q12" s="289"/>
      <c r="R12" s="287" t="str">
        <f>'PROPUESTA ECONOMICA'!C11</f>
        <v>CONSORCIO CONSTRUVALOR</v>
      </c>
      <c r="S12" s="288"/>
      <c r="T12" s="289"/>
      <c r="U12" s="287" t="str">
        <f>'PROPUESTA ECONOMICA'!C12</f>
        <v>CONSORCIO CANDELARIA005
-2019 FDLC -LP005-2019</v>
      </c>
      <c r="V12" s="288"/>
      <c r="W12" s="289"/>
      <c r="X12" s="287" t="str">
        <f>'PROPUESTA ECONOMICA'!C13</f>
        <v>FDLC-LP-005-2019-
CONSORCIO VIAS BOGOTA 2019</v>
      </c>
      <c r="Y12" s="288"/>
      <c r="Z12" s="289"/>
      <c r="AA12" s="287" t="str">
        <f>'PROPUESTA ECONOMICA'!C14</f>
        <v>CONSORCIO VIAL CANDELARIA</v>
      </c>
      <c r="AB12" s="288"/>
      <c r="AC12" s="289"/>
      <c r="AD12" s="287" t="str">
        <f>'PROPUESTA ECONOMICA'!C15</f>
        <v>MSB FONDO LOCAL 
DE LA CANDELARIA</v>
      </c>
      <c r="AE12" s="288"/>
      <c r="AF12" s="289"/>
      <c r="AG12" s="290" t="str">
        <f>'PROPUESTA ECONOMICA'!C16</f>
        <v>FDLC-LP005-2019 CFD 
INGENIERIA</v>
      </c>
      <c r="AH12" s="288"/>
      <c r="AI12" s="289"/>
      <c r="AJ12" s="290" t="str">
        <f>'PROPUESTA ECONOMICA'!C17</f>
        <v>JEINCO FDLC -LP 005-2019</v>
      </c>
      <c r="AK12" s="288"/>
      <c r="AL12" s="289"/>
      <c r="AM12" s="290" t="str">
        <f>'PROPUESTA ECONOMICA'!C18</f>
        <v>GAMMA 
INGENIEROS ARQUITECTOS</v>
      </c>
      <c r="AN12" s="288"/>
      <c r="AO12" s="289"/>
      <c r="AP12" s="290" t="str">
        <f>'PROPUESTA ECONOMICA'!C19</f>
        <v>ESPACIO PUBLICO 
CANDELARIA EEI SAS</v>
      </c>
      <c r="AQ12" s="288"/>
      <c r="AR12" s="289"/>
      <c r="AS12" s="290" t="str">
        <f>'PROPUESTA ECONOMICA'!C20</f>
        <v>UT BOGOTA VIAL</v>
      </c>
      <c r="AT12" s="288"/>
      <c r="AU12" s="289"/>
      <c r="AV12" s="290" t="str">
        <f>'PROPUESTA ECONOMICA'!C21</f>
        <v>CANDELARIA BYP</v>
      </c>
      <c r="AW12" s="288"/>
      <c r="AX12" s="289"/>
      <c r="AY12" s="290" t="str">
        <f>'PROPUESTA ECONOMICA'!C22</f>
        <v>CON &amp; CON</v>
      </c>
      <c r="AZ12" s="288"/>
      <c r="BA12" s="289"/>
      <c r="BB12" s="290" t="str">
        <f>'PROPUESTA ECONOMICA'!C23</f>
        <v>CONSORCIO VMJ-R&amp;E 
VIAS 2019 CALLE 10</v>
      </c>
      <c r="BC12" s="288"/>
      <c r="BD12" s="289"/>
      <c r="BE12" s="290" t="str">
        <f>'PROPUESTA ECONOMICA'!C24</f>
        <v>UT ARCARO CANDELARIA</v>
      </c>
      <c r="BF12" s="288"/>
      <c r="BG12" s="289"/>
      <c r="BH12" s="290" t="str">
        <f>'PROPUESTA ECONOMICA'!C25</f>
        <v>UT BJ</v>
      </c>
      <c r="BI12" s="288"/>
      <c r="BJ12" s="289"/>
      <c r="BK12" s="290" t="str">
        <f>'PROPUESTA ECONOMICA'!C26</f>
        <v>005-2019 CONSORCIO
 INGENIERIAIV</v>
      </c>
      <c r="BL12" s="288"/>
      <c r="BM12" s="289"/>
      <c r="BN12" s="290" t="str">
        <f>'PROPUESTA ECONOMICA'!C27</f>
        <v>CONSORCIO DIR</v>
      </c>
      <c r="BO12" s="288"/>
      <c r="BP12" s="289"/>
    </row>
    <row r="13" spans="1:68" ht="49.5" customHeight="1" thickBot="1" x14ac:dyDescent="0.3">
      <c r="B13" s="74" t="s">
        <v>99</v>
      </c>
      <c r="C13" s="75" t="s">
        <v>78</v>
      </c>
      <c r="D13" s="75" t="s">
        <v>79</v>
      </c>
      <c r="E13" s="75" t="s">
        <v>80</v>
      </c>
      <c r="F13" s="76" t="s">
        <v>91</v>
      </c>
      <c r="G13" s="76" t="s">
        <v>100</v>
      </c>
      <c r="H13" s="77" t="s">
        <v>101</v>
      </c>
      <c r="I13" s="57" t="s">
        <v>90</v>
      </c>
      <c r="J13" s="58" t="s">
        <v>81</v>
      </c>
      <c r="K13" s="58" t="s">
        <v>92</v>
      </c>
      <c r="L13" s="57" t="s">
        <v>90</v>
      </c>
      <c r="M13" s="58" t="s">
        <v>81</v>
      </c>
      <c r="N13" s="58" t="s">
        <v>92</v>
      </c>
      <c r="O13" s="57" t="s">
        <v>90</v>
      </c>
      <c r="P13" s="58" t="s">
        <v>81</v>
      </c>
      <c r="Q13" s="58" t="s">
        <v>92</v>
      </c>
      <c r="R13" s="57" t="s">
        <v>90</v>
      </c>
      <c r="S13" s="58" t="s">
        <v>81</v>
      </c>
      <c r="T13" s="58" t="s">
        <v>92</v>
      </c>
      <c r="U13" s="57" t="s">
        <v>90</v>
      </c>
      <c r="V13" s="58" t="s">
        <v>81</v>
      </c>
      <c r="W13" s="58" t="s">
        <v>92</v>
      </c>
      <c r="X13" s="57" t="s">
        <v>90</v>
      </c>
      <c r="Y13" s="58" t="s">
        <v>81</v>
      </c>
      <c r="Z13" s="58" t="s">
        <v>92</v>
      </c>
      <c r="AA13" s="57" t="s">
        <v>90</v>
      </c>
      <c r="AB13" s="58" t="s">
        <v>81</v>
      </c>
      <c r="AC13" s="58" t="s">
        <v>92</v>
      </c>
      <c r="AD13" s="57" t="s">
        <v>90</v>
      </c>
      <c r="AE13" s="58" t="s">
        <v>81</v>
      </c>
      <c r="AF13" s="58" t="s">
        <v>92</v>
      </c>
      <c r="AG13" s="57" t="s">
        <v>90</v>
      </c>
      <c r="AH13" s="58" t="s">
        <v>81</v>
      </c>
      <c r="AI13" s="58" t="s">
        <v>92</v>
      </c>
      <c r="AJ13" s="57" t="s">
        <v>90</v>
      </c>
      <c r="AK13" s="58" t="s">
        <v>81</v>
      </c>
      <c r="AL13" s="58" t="s">
        <v>92</v>
      </c>
      <c r="AM13" s="57" t="s">
        <v>90</v>
      </c>
      <c r="AN13" s="58" t="s">
        <v>81</v>
      </c>
      <c r="AO13" s="58" t="s">
        <v>92</v>
      </c>
      <c r="AP13" s="57" t="s">
        <v>90</v>
      </c>
      <c r="AQ13" s="58" t="s">
        <v>81</v>
      </c>
      <c r="AR13" s="58" t="s">
        <v>92</v>
      </c>
      <c r="AS13" s="57" t="s">
        <v>90</v>
      </c>
      <c r="AT13" s="58" t="s">
        <v>81</v>
      </c>
      <c r="AU13" s="58" t="s">
        <v>92</v>
      </c>
      <c r="AV13" s="57" t="s">
        <v>90</v>
      </c>
      <c r="AW13" s="58" t="s">
        <v>81</v>
      </c>
      <c r="AX13" s="58" t="s">
        <v>92</v>
      </c>
      <c r="AY13" s="57" t="s">
        <v>90</v>
      </c>
      <c r="AZ13" s="58" t="s">
        <v>81</v>
      </c>
      <c r="BA13" s="58" t="s">
        <v>92</v>
      </c>
      <c r="BB13" s="57" t="s">
        <v>90</v>
      </c>
      <c r="BC13" s="58" t="s">
        <v>81</v>
      </c>
      <c r="BD13" s="58" t="s">
        <v>92</v>
      </c>
      <c r="BE13" s="57" t="s">
        <v>90</v>
      </c>
      <c r="BF13" s="58" t="s">
        <v>81</v>
      </c>
      <c r="BG13" s="58" t="s">
        <v>92</v>
      </c>
      <c r="BH13" s="57" t="s">
        <v>90</v>
      </c>
      <c r="BI13" s="58" t="s">
        <v>81</v>
      </c>
      <c r="BJ13" s="58" t="s">
        <v>92</v>
      </c>
      <c r="BK13" s="57" t="s">
        <v>90</v>
      </c>
      <c r="BL13" s="58" t="s">
        <v>81</v>
      </c>
      <c r="BM13" s="58" t="s">
        <v>92</v>
      </c>
      <c r="BN13" s="57" t="s">
        <v>90</v>
      </c>
      <c r="BO13" s="58" t="s">
        <v>81</v>
      </c>
      <c r="BP13" s="58" t="s">
        <v>92</v>
      </c>
    </row>
    <row r="14" spans="1:68" ht="20.25" customHeight="1" thickBot="1" x14ac:dyDescent="0.3">
      <c r="B14" s="78"/>
      <c r="C14" s="79">
        <v>1</v>
      </c>
      <c r="D14" s="80" t="s">
        <v>82</v>
      </c>
      <c r="E14" s="81"/>
      <c r="F14" s="82"/>
      <c r="G14" s="82"/>
      <c r="H14" s="188">
        <f>SUM(H16:H32)</f>
        <v>166975853</v>
      </c>
      <c r="J14" s="197">
        <f>SUM(J16:J32)</f>
        <v>164372122</v>
      </c>
      <c r="K14" s="59" t="str">
        <f>IF(J14&lt;=$H14,"VÁLIDA","NO VÁLIDA")</f>
        <v>VÁLIDA</v>
      </c>
      <c r="M14" s="197">
        <f>SUM(M16:M32)</f>
        <v>165139178</v>
      </c>
      <c r="N14" s="59" t="str">
        <f>IF(M14&lt;=$H14,"VÁLIDA","NO VÁLIDA")</f>
        <v>VÁLIDA</v>
      </c>
      <c r="P14" s="197">
        <f>SUM(P16:P32)</f>
        <v>166975853</v>
      </c>
      <c r="Q14" s="59" t="str">
        <f>IF(P14&lt;=$H14,"VÁLIDA","NO VÁLIDA")</f>
        <v>VÁLIDA</v>
      </c>
      <c r="S14" s="197">
        <f>SUM(S16:S32)</f>
        <v>164521629</v>
      </c>
      <c r="T14" s="59" t="str">
        <f>IF(S14&lt;=$H14,"VÁLIDA","NO VÁLIDA")</f>
        <v>VÁLIDA</v>
      </c>
      <c r="V14" s="197">
        <f>SUM(V16:V32)</f>
        <v>166975853</v>
      </c>
      <c r="W14" s="59" t="str">
        <f>IF(V14&lt;=$H14,"VÁLIDA","NO VÁLIDA")</f>
        <v>VÁLIDA</v>
      </c>
      <c r="Y14" s="197">
        <f>SUM(Y16:Y32)</f>
        <v>164298993</v>
      </c>
      <c r="Z14" s="59" t="str">
        <f>IF(Y14&lt;=$H14,"VÁLIDA","NO VÁLIDA")</f>
        <v>VÁLIDA</v>
      </c>
      <c r="AB14" s="197">
        <f>SUM(AB16:AB32)</f>
        <v>165139178</v>
      </c>
      <c r="AC14" s="59" t="str">
        <f>IF(AB14&lt;=$H14,"VÁLIDA","NO VÁLIDA")</f>
        <v>VÁLIDA</v>
      </c>
      <c r="AE14" s="197">
        <f>SUM(AE16:AE32)</f>
        <v>162080743</v>
      </c>
      <c r="AF14" s="59" t="str">
        <f>IF(AE14&lt;=$H14,"VÁLIDA","NO VÁLIDA")</f>
        <v>VÁLIDA</v>
      </c>
      <c r="AH14" s="197">
        <f>SUM(AH16:AH32)</f>
        <v>0</v>
      </c>
      <c r="AI14" s="59" t="str">
        <f>IF(AH14&lt;=$H14,"VÁLIDA","NO VÁLIDA")</f>
        <v>VÁLIDA</v>
      </c>
      <c r="AJ14" s="197"/>
      <c r="AK14" s="197">
        <f>SUM(AK16:AK32)</f>
        <v>155288152</v>
      </c>
      <c r="AL14" s="59" t="str">
        <f>IF(AK14&lt;=$H14,"VÁLIDA","NO VÁLIDA")</f>
        <v>VÁLIDA</v>
      </c>
      <c r="AM14" s="197"/>
      <c r="AN14" s="197">
        <f>SUM(AN16:AN32)</f>
        <v>166557404</v>
      </c>
      <c r="AO14" s="59" t="str">
        <f>IF(AN14&lt;=$H14,"VÁLIDA","NO VÁLIDA")</f>
        <v>VÁLIDA</v>
      </c>
      <c r="AQ14" s="197">
        <f>SUM(AQ16:AQ32)</f>
        <v>166975853</v>
      </c>
      <c r="AR14" s="59" t="str">
        <f>IF(AQ14&lt;=$H14,"VÁLIDA","NO VÁLIDA")</f>
        <v>VÁLIDA</v>
      </c>
      <c r="AT14" s="197">
        <f>SUM(AT16:AT32)</f>
        <v>163759800</v>
      </c>
      <c r="AU14" s="59" t="str">
        <f>IF(AT14&lt;=$H14,"VÁLIDA","NO VÁLIDA")</f>
        <v>VÁLIDA</v>
      </c>
      <c r="AW14" s="197">
        <f>SUM(AW16:AW32)</f>
        <v>221879365</v>
      </c>
      <c r="AX14" s="59" t="str">
        <f>IF(AW14&lt;=$H14,"VÁLIDA","NO VÁLIDA")</f>
        <v>NO VÁLIDA</v>
      </c>
      <c r="AZ14" s="197">
        <f>SUM(AZ16:AZ32)</f>
        <v>166975853</v>
      </c>
      <c r="BA14" s="59" t="str">
        <f>IF(AZ14&lt;=$H14,"VÁLIDA","NO VÁLIDA")</f>
        <v>VÁLIDA</v>
      </c>
      <c r="BC14" s="197">
        <f>SUM(BC16:BC32)</f>
        <v>160112735.68295673</v>
      </c>
      <c r="BD14" s="59" t="str">
        <f>IF(BC14&lt;=$H14,"VÁLIDA","NO VÁLIDA")</f>
        <v>VÁLIDA</v>
      </c>
      <c r="BF14" s="197">
        <f>SUM(BF16:BF32)</f>
        <v>163370012</v>
      </c>
      <c r="BG14" s="59" t="str">
        <f>IF(BF14&lt;=$H14,"VÁLIDA","NO VÁLIDA")</f>
        <v>VÁLIDA</v>
      </c>
      <c r="BI14" s="197">
        <f>SUM(BI16:BI32)</f>
        <v>165306094.47</v>
      </c>
      <c r="BJ14" s="59" t="str">
        <f>IF(BI14&lt;=$H14,"VÁLIDA","NO VÁLIDA")</f>
        <v>VÁLIDA</v>
      </c>
      <c r="BL14" s="197">
        <f>SUM(BL16:BL32)</f>
        <v>165640122</v>
      </c>
      <c r="BM14" s="59" t="str">
        <f>IF(BL14&lt;=$H14,"VÁLIDA","NO VÁLIDA")</f>
        <v>VÁLIDA</v>
      </c>
      <c r="BO14" s="197">
        <f>SUM(BO16:BO32)</f>
        <v>163988119</v>
      </c>
      <c r="BP14" s="59" t="str">
        <f>IF(BO14&lt;=$H14,"VÁLIDA","NO VÁLIDA")</f>
        <v>VÁLIDA</v>
      </c>
    </row>
    <row r="15" spans="1:68" ht="20.25" customHeight="1" thickBot="1" x14ac:dyDescent="0.3">
      <c r="B15" s="84"/>
      <c r="C15" s="85"/>
      <c r="D15" s="281" t="s">
        <v>102</v>
      </c>
      <c r="E15" s="281"/>
      <c r="F15" s="281"/>
      <c r="G15" s="281"/>
      <c r="H15" s="282"/>
      <c r="I15" s="86"/>
      <c r="J15" s="86"/>
      <c r="K15" s="59"/>
      <c r="L15" s="86"/>
      <c r="M15" s="86"/>
      <c r="N15" s="59"/>
      <c r="O15" s="86"/>
      <c r="P15" s="86"/>
      <c r="Q15" s="59"/>
      <c r="R15" s="86"/>
      <c r="S15" s="86"/>
      <c r="T15" s="59"/>
      <c r="U15" s="86"/>
      <c r="V15" s="86"/>
      <c r="W15" s="59"/>
      <c r="X15" s="86"/>
      <c r="Y15" s="86"/>
      <c r="Z15" s="59"/>
      <c r="AA15" s="86"/>
      <c r="AB15" s="86"/>
      <c r="AC15" s="59"/>
      <c r="AD15" s="86"/>
      <c r="AE15" s="86"/>
      <c r="AF15" s="59"/>
      <c r="AG15" s="86"/>
      <c r="AH15" s="86"/>
      <c r="AI15" s="59"/>
      <c r="AJ15" s="86"/>
      <c r="AK15" s="86"/>
      <c r="AL15" s="59"/>
      <c r="AM15" s="86"/>
      <c r="AN15" s="86"/>
      <c r="AO15" s="59"/>
      <c r="AP15" s="86"/>
      <c r="AQ15" s="86"/>
      <c r="AR15" s="59"/>
      <c r="AS15" s="86"/>
      <c r="AT15" s="86"/>
      <c r="AU15" s="59"/>
      <c r="AV15" s="86"/>
      <c r="AW15" s="86"/>
      <c r="AX15" s="59"/>
      <c r="AY15" s="86"/>
      <c r="AZ15" s="86"/>
      <c r="BA15" s="59"/>
      <c r="BB15" s="86"/>
      <c r="BC15" s="86"/>
      <c r="BD15" s="59"/>
      <c r="BE15" s="86"/>
      <c r="BF15" s="86"/>
      <c r="BG15" s="59"/>
      <c r="BH15" s="86"/>
      <c r="BI15" s="86"/>
      <c r="BJ15" s="59"/>
      <c r="BK15" s="86"/>
      <c r="BL15" s="86"/>
      <c r="BM15" s="59"/>
      <c r="BN15" s="86"/>
      <c r="BO15" s="86"/>
      <c r="BP15" s="59"/>
    </row>
    <row r="16" spans="1:68" s="167" customFormat="1" ht="27" customHeight="1" x14ac:dyDescent="0.2">
      <c r="B16" s="87">
        <v>3007</v>
      </c>
      <c r="C16" s="88">
        <f>C14+0.01</f>
        <v>1.01</v>
      </c>
      <c r="D16" s="89" t="str">
        <f>VLOOKUP(B16,[2]ITEMS!$B$2:$E$2466,2,FALSE)</f>
        <v>REPLANTEO GENERAL</v>
      </c>
      <c r="E16" s="90" t="str">
        <f>VLOOKUP(B16,[2]ITEMS!$B$2:$E$2466,3,FALSE)</f>
        <v>M2</v>
      </c>
      <c r="F16" s="91">
        <v>1890</v>
      </c>
      <c r="G16" s="92">
        <f>VLOOKUP(B16,[2]ITEMS!$B$2:$E$2466,4,FALSE)</f>
        <v>569</v>
      </c>
      <c r="H16" s="92">
        <f>F16*G16</f>
        <v>1075410</v>
      </c>
      <c r="I16" s="190">
        <v>560</v>
      </c>
      <c r="J16" s="224">
        <f>I16*$F16</f>
        <v>1058400</v>
      </c>
      <c r="K16" s="225" t="str">
        <f t="shared" ref="K16:K40" si="0">IF(J16&lt;=$H16,"VÁLIDA","NO VÁLIDA")</f>
        <v>VÁLIDA</v>
      </c>
      <c r="L16" s="190">
        <v>563</v>
      </c>
      <c r="M16" s="224">
        <f>L16*$F16</f>
        <v>1064070</v>
      </c>
      <c r="N16" s="225" t="str">
        <f t="shared" ref="N16:N40" si="1">IF(M16&lt;=$H16,"VÁLIDA","NO VÁLIDA")</f>
        <v>VÁLIDA</v>
      </c>
      <c r="O16" s="190">
        <v>569</v>
      </c>
      <c r="P16" s="224">
        <f>O16*$F16</f>
        <v>1075410</v>
      </c>
      <c r="Q16" s="225" t="str">
        <f t="shared" ref="Q16:Q40" si="2">IF(P16&lt;=$H16,"VÁLIDA","NO VÁLIDA")</f>
        <v>VÁLIDA</v>
      </c>
      <c r="R16" s="190">
        <v>561</v>
      </c>
      <c r="S16" s="224">
        <f>R16*$F16</f>
        <v>1060290</v>
      </c>
      <c r="T16" s="225" t="str">
        <f t="shared" ref="T16:T40" si="3">IF(S16&lt;=$H16,"VÁLIDA","NO VÁLIDA")</f>
        <v>VÁLIDA</v>
      </c>
      <c r="U16" s="190">
        <v>569</v>
      </c>
      <c r="V16" s="224">
        <f>U16*$F16</f>
        <v>1075410</v>
      </c>
      <c r="W16" s="225" t="str">
        <f t="shared" ref="W16:W40" si="4">IF(V16&lt;=$H16,"VÁLIDA","NO VÁLIDA")</f>
        <v>VÁLIDA</v>
      </c>
      <c r="X16" s="190">
        <v>559</v>
      </c>
      <c r="Y16" s="224">
        <f>X16*$F16</f>
        <v>1056510</v>
      </c>
      <c r="Z16" s="225" t="str">
        <f t="shared" ref="Z16:Z40" si="5">IF(Y16&lt;=$H16,"VÁLIDA","NO VÁLIDA")</f>
        <v>VÁLIDA</v>
      </c>
      <c r="AA16" s="190">
        <v>563</v>
      </c>
      <c r="AB16" s="224">
        <f>AA16*$F16</f>
        <v>1064070</v>
      </c>
      <c r="AC16" s="225" t="str">
        <f t="shared" ref="AC16:AC40" si="6">IF(AB16&lt;=$H16,"VÁLIDA","NO VÁLIDA")</f>
        <v>VÁLIDA</v>
      </c>
      <c r="AD16" s="190">
        <v>569</v>
      </c>
      <c r="AE16" s="224">
        <f>AD16*$F16</f>
        <v>1075410</v>
      </c>
      <c r="AF16" s="225" t="str">
        <f t="shared" ref="AF16:AF40" si="7">IF(AE16&lt;=$H16,"VÁLIDA","NO VÁLIDA")</f>
        <v>VÁLIDA</v>
      </c>
      <c r="AH16" s="224">
        <f>AG16*$F16</f>
        <v>0</v>
      </c>
      <c r="AI16" s="225" t="str">
        <f t="shared" ref="AI16:AI40" si="8">IF(AH16&lt;=$H16,"VÁLIDA","NO VÁLIDA")</f>
        <v>VÁLIDA</v>
      </c>
      <c r="AJ16" s="224">
        <v>529</v>
      </c>
      <c r="AK16" s="224">
        <f>AJ16*$F16</f>
        <v>999810</v>
      </c>
      <c r="AL16" s="225" t="str">
        <f t="shared" ref="AL16:AL40" si="9">IF(AK16&lt;=$H16,"VÁLIDA","NO VÁLIDA")</f>
        <v>VÁLIDA</v>
      </c>
      <c r="AM16" s="224">
        <v>568</v>
      </c>
      <c r="AN16" s="224">
        <f>AM16*$F16</f>
        <v>1073520</v>
      </c>
      <c r="AO16" s="225" t="str">
        <f t="shared" ref="AO16:AO40" si="10">IF(AN16&lt;=$H16,"VÁLIDA","NO VÁLIDA")</f>
        <v>VÁLIDA</v>
      </c>
      <c r="AP16" s="224">
        <v>569</v>
      </c>
      <c r="AQ16" s="224">
        <f>AP16*$F16</f>
        <v>1075410</v>
      </c>
      <c r="AR16" s="225" t="str">
        <f t="shared" ref="AR16:AR40" si="11">IF(AQ16&lt;=$H16,"VÁLIDA","NO VÁLIDA")</f>
        <v>VÁLIDA</v>
      </c>
      <c r="AS16" s="224">
        <v>560</v>
      </c>
      <c r="AT16" s="224">
        <f>AS16*$F16</f>
        <v>1058400</v>
      </c>
      <c r="AU16" s="225" t="str">
        <f t="shared" ref="AU16:AU40" si="12">IF(AT16&lt;=$H16,"VÁLIDA","NO VÁLIDA")</f>
        <v>VÁLIDA</v>
      </c>
      <c r="AV16" s="224">
        <v>756</v>
      </c>
      <c r="AW16" s="224">
        <f>AV16*$F16</f>
        <v>1428840</v>
      </c>
      <c r="AX16" s="225" t="str">
        <f t="shared" ref="AX16:AX40" si="13">IF(AW16&lt;=$H16,"VÁLIDA","NO VÁLIDA")</f>
        <v>NO VÁLIDA</v>
      </c>
      <c r="AY16" s="224">
        <v>569</v>
      </c>
      <c r="AZ16" s="224">
        <f>AY16*$F16</f>
        <v>1075410</v>
      </c>
      <c r="BA16" s="225" t="str">
        <f t="shared" ref="BA16:BA40" si="14">IF(AZ16&lt;=$H16,"VÁLIDA","NO VÁLIDA")</f>
        <v>VÁLIDA</v>
      </c>
      <c r="BB16" s="224">
        <v>545.61270367400004</v>
      </c>
      <c r="BC16" s="224">
        <f>BB16*$F16</f>
        <v>1031208.0099438601</v>
      </c>
      <c r="BD16" s="225" t="str">
        <f t="shared" ref="BD16:BD40" si="15">IF(BC16&lt;=$H16,"VÁLIDA","NO VÁLIDA")</f>
        <v>VÁLIDA</v>
      </c>
      <c r="BE16" s="224">
        <v>557</v>
      </c>
      <c r="BF16" s="224">
        <f>BE16*$F16</f>
        <v>1052730</v>
      </c>
      <c r="BG16" s="225" t="str">
        <f t="shared" ref="BG16:BG40" si="16">IF(BF16&lt;=$H16,"VÁLIDA","NO VÁLIDA")</f>
        <v>VÁLIDA</v>
      </c>
      <c r="BH16" s="224">
        <v>563.30999999999995</v>
      </c>
      <c r="BI16" s="224">
        <f>BH16*$F16</f>
        <v>1064655.8999999999</v>
      </c>
      <c r="BJ16" s="225" t="str">
        <f t="shared" ref="BJ16:BJ40" si="17">IF(BI16&lt;=$H16,"VÁLIDA","NO VÁLIDA")</f>
        <v>VÁLIDA</v>
      </c>
      <c r="BK16" s="224">
        <v>564</v>
      </c>
      <c r="BL16" s="224">
        <f>BK16*$F16</f>
        <v>1065960</v>
      </c>
      <c r="BM16" s="225" t="str">
        <f t="shared" ref="BM16:BM40" si="18">IF(BL16&lt;=$H16,"VÁLIDA","NO VÁLIDA")</f>
        <v>VÁLIDA</v>
      </c>
      <c r="BN16" s="224">
        <v>558</v>
      </c>
      <c r="BO16" s="224">
        <f>BN16*$F16</f>
        <v>1054620</v>
      </c>
      <c r="BP16" s="225" t="str">
        <f t="shared" ref="BP16:BP40" si="19">IF(BO16&lt;=$H16,"VÁLIDA","NO VÁLIDA")</f>
        <v>VÁLIDA</v>
      </c>
    </row>
    <row r="17" spans="2:68" s="167" customFormat="1" ht="36" x14ac:dyDescent="0.2">
      <c r="B17" s="93">
        <v>3021</v>
      </c>
      <c r="C17" s="94">
        <f t="shared" ref="C17:C32" si="20">C16+0.01</f>
        <v>1.02</v>
      </c>
      <c r="D17" s="95" t="str">
        <f>VLOOKUP(B17,[2]ITEMS!$B$4:$E$2466,2,FALSE)</f>
        <v>DEMOLICION PAVIMENTO ASFALTICO (Espesor Variable. Incluye Cargue). No incluye transporte y disposición final de sobrantes. Rendimiento estimado para espesores max. 0.15m</v>
      </c>
      <c r="E17" s="96" t="str">
        <f>VLOOKUP(B17,[2]ITEMS!$B$4:$E$2466,3,FALSE)</f>
        <v>M2</v>
      </c>
      <c r="F17" s="97">
        <v>10</v>
      </c>
      <c r="G17" s="98">
        <f>VLOOKUP(B17,[2]ITEMS!$B$4:$E$2466,4,FALSE)</f>
        <v>5039</v>
      </c>
      <c r="H17" s="98">
        <f t="shared" ref="H17:H39" si="21">F17*G17</f>
        <v>50390</v>
      </c>
      <c r="I17" s="190">
        <v>4960</v>
      </c>
      <c r="J17" s="224">
        <f t="shared" ref="J17:J39" si="22">I17*$F17</f>
        <v>49600</v>
      </c>
      <c r="K17" s="225" t="str">
        <f t="shared" si="0"/>
        <v>VÁLIDA</v>
      </c>
      <c r="L17" s="190">
        <v>4984</v>
      </c>
      <c r="M17" s="224">
        <f t="shared" ref="M17:M39" si="23">L17*$F17</f>
        <v>49840</v>
      </c>
      <c r="N17" s="225" t="str">
        <f t="shared" si="1"/>
        <v>VÁLIDA</v>
      </c>
      <c r="O17" s="190">
        <v>5039</v>
      </c>
      <c r="P17" s="224">
        <f t="shared" ref="P17:P39" si="24">O17*$F17</f>
        <v>50390</v>
      </c>
      <c r="Q17" s="225" t="str">
        <f t="shared" si="2"/>
        <v>VÁLIDA</v>
      </c>
      <c r="R17" s="190">
        <v>4965</v>
      </c>
      <c r="S17" s="224">
        <f t="shared" ref="S17:S39" si="25">R17*$F17</f>
        <v>49650</v>
      </c>
      <c r="T17" s="225" t="str">
        <f t="shared" si="3"/>
        <v>VÁLIDA</v>
      </c>
      <c r="U17" s="190">
        <v>5039</v>
      </c>
      <c r="V17" s="224">
        <f t="shared" ref="V17:V39" si="26">U17*$F17</f>
        <v>50390</v>
      </c>
      <c r="W17" s="225" t="str">
        <f t="shared" si="4"/>
        <v>VÁLIDA</v>
      </c>
      <c r="X17" s="190">
        <v>4958</v>
      </c>
      <c r="Y17" s="224">
        <f t="shared" ref="Y17:Y39" si="27">X17*$F17</f>
        <v>49580</v>
      </c>
      <c r="Z17" s="225" t="str">
        <f t="shared" si="5"/>
        <v>VÁLIDA</v>
      </c>
      <c r="AA17" s="190">
        <v>4984</v>
      </c>
      <c r="AB17" s="224">
        <f t="shared" ref="AB17:AB39" si="28">AA17*$F17</f>
        <v>49840</v>
      </c>
      <c r="AC17" s="225" t="str">
        <f t="shared" si="6"/>
        <v>VÁLIDA</v>
      </c>
      <c r="AD17" s="190">
        <v>5039</v>
      </c>
      <c r="AE17" s="224">
        <f t="shared" ref="AE17:AE39" si="29">AD17*$F17</f>
        <v>50390</v>
      </c>
      <c r="AF17" s="225" t="str">
        <f t="shared" si="7"/>
        <v>VÁLIDA</v>
      </c>
      <c r="AH17" s="224">
        <f t="shared" ref="AH17:AH39" si="30">AG17*$F17</f>
        <v>0</v>
      </c>
      <c r="AI17" s="225" t="str">
        <f t="shared" si="8"/>
        <v>VÁLIDA</v>
      </c>
      <c r="AJ17" s="224">
        <v>4686</v>
      </c>
      <c r="AK17" s="224">
        <f t="shared" ref="AK17:AK39" si="31">AJ17*$F17</f>
        <v>46860</v>
      </c>
      <c r="AL17" s="225" t="str">
        <f t="shared" si="9"/>
        <v>VÁLIDA</v>
      </c>
      <c r="AM17" s="224">
        <v>5026</v>
      </c>
      <c r="AN17" s="224">
        <f t="shared" ref="AN17:AN39" si="32">AM17*$F17</f>
        <v>50260</v>
      </c>
      <c r="AO17" s="225" t="str">
        <f t="shared" si="10"/>
        <v>VÁLIDA</v>
      </c>
      <c r="AP17" s="224">
        <v>5039</v>
      </c>
      <c r="AQ17" s="224">
        <f t="shared" ref="AQ17:AQ39" si="33">AP17*$F17</f>
        <v>50390</v>
      </c>
      <c r="AR17" s="225" t="str">
        <f t="shared" si="11"/>
        <v>VÁLIDA</v>
      </c>
      <c r="AS17" s="224">
        <v>4900</v>
      </c>
      <c r="AT17" s="224">
        <f t="shared" ref="AT17:AT39" si="34">AS17*$F17</f>
        <v>49000</v>
      </c>
      <c r="AU17" s="225" t="str">
        <f t="shared" si="12"/>
        <v>VÁLIDA</v>
      </c>
      <c r="AV17" s="224">
        <v>6696</v>
      </c>
      <c r="AW17" s="224">
        <f t="shared" ref="AW17:AW39" si="35">AV17*$F17</f>
        <v>66960</v>
      </c>
      <c r="AX17" s="225" t="str">
        <f t="shared" si="13"/>
        <v>NO VÁLIDA</v>
      </c>
      <c r="AY17" s="224">
        <v>5039</v>
      </c>
      <c r="AZ17" s="224">
        <f t="shared" ref="AZ17:AZ39" si="36">AY17*$F17</f>
        <v>50390</v>
      </c>
      <c r="BA17" s="225" t="str">
        <f t="shared" si="14"/>
        <v>VÁLIDA</v>
      </c>
      <c r="BB17" s="224">
        <v>4831.8847342939998</v>
      </c>
      <c r="BC17" s="224">
        <f t="shared" ref="BC17:BC39" si="37">BB17*$F17</f>
        <v>48318.847342939996</v>
      </c>
      <c r="BD17" s="225" t="str">
        <f t="shared" si="15"/>
        <v>VÁLIDA</v>
      </c>
      <c r="BE17" s="224">
        <v>4930</v>
      </c>
      <c r="BF17" s="224">
        <f t="shared" ref="BF17:BF39" si="38">BE17*$F17</f>
        <v>49300</v>
      </c>
      <c r="BG17" s="225" t="str">
        <f t="shared" si="16"/>
        <v>VÁLIDA</v>
      </c>
      <c r="BH17" s="224">
        <v>4988.6099999999997</v>
      </c>
      <c r="BI17" s="224">
        <f t="shared" ref="BI17:BI39" si="39">BH17*$F17</f>
        <v>49886.1</v>
      </c>
      <c r="BJ17" s="225" t="str">
        <f t="shared" si="17"/>
        <v>VÁLIDA</v>
      </c>
      <c r="BK17" s="224">
        <v>4999</v>
      </c>
      <c r="BL17" s="224">
        <f t="shared" ref="BL17:BL39" si="40">BK17*$F17</f>
        <v>49990</v>
      </c>
      <c r="BM17" s="225" t="str">
        <f t="shared" si="18"/>
        <v>VÁLIDA</v>
      </c>
      <c r="BN17" s="224">
        <v>4949</v>
      </c>
      <c r="BO17" s="224">
        <f t="shared" ref="BO17:BO39" si="41">BN17*$F17</f>
        <v>49490</v>
      </c>
      <c r="BP17" s="225" t="str">
        <f t="shared" si="19"/>
        <v>VÁLIDA</v>
      </c>
    </row>
    <row r="18" spans="2:68" s="167" customFormat="1" ht="36" x14ac:dyDescent="0.2">
      <c r="B18" s="93">
        <v>3022</v>
      </c>
      <c r="C18" s="94">
        <f t="shared" si="20"/>
        <v>1.03</v>
      </c>
      <c r="D18" s="95" t="str">
        <f>VLOOKUP(B18,[2]ITEMS!$B$4:$E$2466,2,FALSE)</f>
        <v>DEMOLICION PISOS DE CONCRETO (incluye cargue). No incluye transporte y disposición final de sobrantes. Rendimiento estimado para espesores de 0.20m.</v>
      </c>
      <c r="E18" s="96" t="str">
        <f>VLOOKUP(B18,[2]ITEMS!$B$4:$E$2466,3,FALSE)</f>
        <v>M3</v>
      </c>
      <c r="F18" s="97">
        <v>720</v>
      </c>
      <c r="G18" s="98">
        <f>VLOOKUP(B18,[2]ITEMS!$B$4:$E$2466,4,FALSE)</f>
        <v>40211</v>
      </c>
      <c r="H18" s="98">
        <f t="shared" si="21"/>
        <v>28951920</v>
      </c>
      <c r="I18" s="190">
        <v>39584</v>
      </c>
      <c r="J18" s="224">
        <f t="shared" si="22"/>
        <v>28500480</v>
      </c>
      <c r="K18" s="225" t="str">
        <f t="shared" si="0"/>
        <v>VÁLIDA</v>
      </c>
      <c r="L18" s="190">
        <v>39769</v>
      </c>
      <c r="M18" s="224">
        <f t="shared" si="23"/>
        <v>28633680</v>
      </c>
      <c r="N18" s="225" t="str">
        <f t="shared" si="1"/>
        <v>VÁLIDA</v>
      </c>
      <c r="O18" s="190">
        <v>40211</v>
      </c>
      <c r="P18" s="224">
        <f t="shared" si="24"/>
        <v>28951920</v>
      </c>
      <c r="Q18" s="225" t="str">
        <f t="shared" si="2"/>
        <v>VÁLIDA</v>
      </c>
      <c r="R18" s="190">
        <v>39620</v>
      </c>
      <c r="S18" s="224">
        <f t="shared" si="25"/>
        <v>28526400</v>
      </c>
      <c r="T18" s="225" t="str">
        <f t="shared" si="3"/>
        <v>VÁLIDA</v>
      </c>
      <c r="U18" s="190">
        <v>40211</v>
      </c>
      <c r="V18" s="224">
        <f t="shared" si="26"/>
        <v>28951920</v>
      </c>
      <c r="W18" s="225" t="str">
        <f t="shared" si="4"/>
        <v>VÁLIDA</v>
      </c>
      <c r="X18" s="190">
        <v>39567</v>
      </c>
      <c r="Y18" s="224">
        <f t="shared" si="27"/>
        <v>28488240</v>
      </c>
      <c r="Z18" s="225" t="str">
        <f t="shared" si="5"/>
        <v>VÁLIDA</v>
      </c>
      <c r="AA18" s="190">
        <v>39769</v>
      </c>
      <c r="AB18" s="224">
        <f t="shared" si="28"/>
        <v>28633680</v>
      </c>
      <c r="AC18" s="225" t="str">
        <f t="shared" si="6"/>
        <v>VÁLIDA</v>
      </c>
      <c r="AD18" s="190">
        <v>39000</v>
      </c>
      <c r="AE18" s="224">
        <f t="shared" si="29"/>
        <v>28080000</v>
      </c>
      <c r="AF18" s="225" t="str">
        <f t="shared" si="7"/>
        <v>VÁLIDA</v>
      </c>
      <c r="AH18" s="224">
        <f t="shared" si="30"/>
        <v>0</v>
      </c>
      <c r="AI18" s="225" t="str">
        <f t="shared" si="8"/>
        <v>VÁLIDA</v>
      </c>
      <c r="AJ18" s="224">
        <v>37396</v>
      </c>
      <c r="AK18" s="224">
        <f t="shared" si="31"/>
        <v>26925120</v>
      </c>
      <c r="AL18" s="225" t="str">
        <f t="shared" si="9"/>
        <v>VÁLIDA</v>
      </c>
      <c r="AM18" s="224">
        <v>40110</v>
      </c>
      <c r="AN18" s="224">
        <f t="shared" si="32"/>
        <v>28879200</v>
      </c>
      <c r="AO18" s="225" t="str">
        <f t="shared" si="10"/>
        <v>VÁLIDA</v>
      </c>
      <c r="AP18" s="224">
        <v>40211</v>
      </c>
      <c r="AQ18" s="224">
        <f t="shared" si="33"/>
        <v>28951920</v>
      </c>
      <c r="AR18" s="225" t="str">
        <f t="shared" si="11"/>
        <v>VÁLIDA</v>
      </c>
      <c r="AS18" s="224">
        <v>39300</v>
      </c>
      <c r="AT18" s="224">
        <f t="shared" si="34"/>
        <v>28296000</v>
      </c>
      <c r="AU18" s="225" t="str">
        <f t="shared" si="12"/>
        <v>VÁLIDA</v>
      </c>
      <c r="AV18" s="224">
        <v>53433</v>
      </c>
      <c r="AW18" s="224">
        <f t="shared" si="35"/>
        <v>38471760</v>
      </c>
      <c r="AX18" s="225" t="str">
        <f t="shared" si="13"/>
        <v>NO VÁLIDA</v>
      </c>
      <c r="AY18" s="224">
        <v>40211</v>
      </c>
      <c r="AZ18" s="224">
        <f t="shared" si="36"/>
        <v>28951920</v>
      </c>
      <c r="BA18" s="225" t="str">
        <f t="shared" si="14"/>
        <v>VÁLIDA</v>
      </c>
      <c r="BB18" s="224">
        <v>38558.229222205999</v>
      </c>
      <c r="BC18" s="224">
        <f t="shared" si="37"/>
        <v>27761925.03998832</v>
      </c>
      <c r="BD18" s="225" t="str">
        <f t="shared" si="15"/>
        <v>VÁLIDA</v>
      </c>
      <c r="BE18" s="224">
        <v>39342</v>
      </c>
      <c r="BF18" s="224">
        <f t="shared" si="38"/>
        <v>28326240</v>
      </c>
      <c r="BG18" s="225" t="str">
        <f t="shared" si="16"/>
        <v>VÁLIDA</v>
      </c>
      <c r="BH18" s="224">
        <v>39808.89</v>
      </c>
      <c r="BI18" s="224">
        <f t="shared" si="39"/>
        <v>28662400.800000001</v>
      </c>
      <c r="BJ18" s="225" t="str">
        <f t="shared" si="17"/>
        <v>VÁLIDA</v>
      </c>
      <c r="BK18" s="224">
        <v>39889</v>
      </c>
      <c r="BL18" s="224">
        <f t="shared" si="40"/>
        <v>28720080</v>
      </c>
      <c r="BM18" s="225" t="str">
        <f t="shared" si="18"/>
        <v>VÁLIDA</v>
      </c>
      <c r="BN18" s="224">
        <v>39492</v>
      </c>
      <c r="BO18" s="224">
        <f t="shared" si="41"/>
        <v>28434240</v>
      </c>
      <c r="BP18" s="225" t="str">
        <f t="shared" si="19"/>
        <v>VÁLIDA</v>
      </c>
    </row>
    <row r="19" spans="2:68" s="167" customFormat="1" ht="27" customHeight="1" x14ac:dyDescent="0.2">
      <c r="B19" s="93">
        <v>3155</v>
      </c>
      <c r="C19" s="94">
        <f t="shared" si="20"/>
        <v>1.04</v>
      </c>
      <c r="D19" s="95" t="str">
        <f>VLOOKUP(B19,[2]ITEMS!$B$4:$E$2466,2,FALSE)</f>
        <v>DEMOLICION SUMIDERO EXISTENTE (Incluye Cargue)</v>
      </c>
      <c r="E19" s="96" t="str">
        <f>VLOOKUP(B19,[2]ITEMS!$B$4:$E$2466,3,FALSE)</f>
        <v>UN</v>
      </c>
      <c r="F19" s="97">
        <v>3</v>
      </c>
      <c r="G19" s="98">
        <f>VLOOKUP(B19,[2]ITEMS!$B$4:$E$2466,4,FALSE)</f>
        <v>134789</v>
      </c>
      <c r="H19" s="98">
        <f t="shared" si="21"/>
        <v>404367</v>
      </c>
      <c r="I19" s="190">
        <v>132689</v>
      </c>
      <c r="J19" s="224">
        <f t="shared" si="22"/>
        <v>398067</v>
      </c>
      <c r="K19" s="225" t="str">
        <f t="shared" si="0"/>
        <v>VÁLIDA</v>
      </c>
      <c r="L19" s="190">
        <v>133306</v>
      </c>
      <c r="M19" s="224">
        <f t="shared" si="23"/>
        <v>399918</v>
      </c>
      <c r="N19" s="225" t="str">
        <f t="shared" si="1"/>
        <v>VÁLIDA</v>
      </c>
      <c r="O19" s="190">
        <v>134789</v>
      </c>
      <c r="P19" s="224">
        <f t="shared" si="24"/>
        <v>404367</v>
      </c>
      <c r="Q19" s="225" t="str">
        <f t="shared" si="2"/>
        <v>VÁLIDA</v>
      </c>
      <c r="R19" s="190">
        <v>132808</v>
      </c>
      <c r="S19" s="224">
        <f t="shared" si="25"/>
        <v>398424</v>
      </c>
      <c r="T19" s="225" t="str">
        <f t="shared" si="3"/>
        <v>VÁLIDA</v>
      </c>
      <c r="U19" s="190">
        <v>134789</v>
      </c>
      <c r="V19" s="224">
        <f t="shared" si="26"/>
        <v>404367</v>
      </c>
      <c r="W19" s="225" t="str">
        <f t="shared" si="4"/>
        <v>VÁLIDA</v>
      </c>
      <c r="X19" s="190">
        <v>132632</v>
      </c>
      <c r="Y19" s="224">
        <f t="shared" si="27"/>
        <v>397896</v>
      </c>
      <c r="Z19" s="225" t="str">
        <f t="shared" si="5"/>
        <v>VÁLIDA</v>
      </c>
      <c r="AA19" s="190">
        <v>133306</v>
      </c>
      <c r="AB19" s="224">
        <f t="shared" si="28"/>
        <v>399918</v>
      </c>
      <c r="AC19" s="225" t="str">
        <f t="shared" si="6"/>
        <v>VÁLIDA</v>
      </c>
      <c r="AD19" s="190">
        <v>134789</v>
      </c>
      <c r="AE19" s="224">
        <f t="shared" si="29"/>
        <v>404367</v>
      </c>
      <c r="AF19" s="225" t="str">
        <f t="shared" si="7"/>
        <v>VÁLIDA</v>
      </c>
      <c r="AH19" s="224">
        <f t="shared" si="30"/>
        <v>0</v>
      </c>
      <c r="AI19" s="225" t="str">
        <f t="shared" si="8"/>
        <v>VÁLIDA</v>
      </c>
      <c r="AJ19" s="224">
        <v>125354</v>
      </c>
      <c r="AK19" s="224">
        <f t="shared" si="31"/>
        <v>376062</v>
      </c>
      <c r="AL19" s="225" t="str">
        <f t="shared" si="9"/>
        <v>VÁLIDA</v>
      </c>
      <c r="AM19" s="224">
        <v>134452</v>
      </c>
      <c r="AN19" s="224">
        <f t="shared" si="32"/>
        <v>403356</v>
      </c>
      <c r="AO19" s="225" t="str">
        <f t="shared" si="10"/>
        <v>VÁLIDA</v>
      </c>
      <c r="AP19" s="224">
        <v>134789</v>
      </c>
      <c r="AQ19" s="224">
        <f t="shared" si="33"/>
        <v>404367</v>
      </c>
      <c r="AR19" s="225" t="str">
        <f t="shared" si="11"/>
        <v>VÁLIDA</v>
      </c>
      <c r="AS19" s="224">
        <v>132000</v>
      </c>
      <c r="AT19" s="224">
        <f t="shared" si="34"/>
        <v>396000</v>
      </c>
      <c r="AU19" s="225" t="str">
        <f t="shared" si="12"/>
        <v>VÁLIDA</v>
      </c>
      <c r="AV19" s="224">
        <v>179109</v>
      </c>
      <c r="AW19" s="224">
        <f t="shared" si="35"/>
        <v>537327</v>
      </c>
      <c r="AX19" s="225" t="str">
        <f t="shared" si="13"/>
        <v>NO VÁLIDA</v>
      </c>
      <c r="AY19" s="224">
        <v>134789</v>
      </c>
      <c r="AZ19" s="224">
        <f t="shared" si="36"/>
        <v>404367</v>
      </c>
      <c r="BA19" s="225" t="str">
        <f t="shared" si="14"/>
        <v>VÁLIDA</v>
      </c>
      <c r="BB19" s="224">
        <v>129248.841327794</v>
      </c>
      <c r="BC19" s="224">
        <f t="shared" si="37"/>
        <v>387746.52398338198</v>
      </c>
      <c r="BD19" s="225" t="str">
        <f t="shared" si="15"/>
        <v>VÁLIDA</v>
      </c>
      <c r="BE19" s="224">
        <v>131878</v>
      </c>
      <c r="BF19" s="224">
        <f t="shared" si="38"/>
        <v>395634</v>
      </c>
      <c r="BG19" s="225" t="str">
        <f t="shared" si="16"/>
        <v>VÁLIDA</v>
      </c>
      <c r="BH19" s="224">
        <v>133441.10999999999</v>
      </c>
      <c r="BI19" s="224">
        <f t="shared" si="39"/>
        <v>400323.32999999996</v>
      </c>
      <c r="BJ19" s="225" t="str">
        <f t="shared" si="17"/>
        <v>VÁLIDA</v>
      </c>
      <c r="BK19" s="224">
        <v>133711</v>
      </c>
      <c r="BL19" s="224">
        <f t="shared" si="40"/>
        <v>401133</v>
      </c>
      <c r="BM19" s="225" t="str">
        <f t="shared" si="18"/>
        <v>VÁLIDA</v>
      </c>
      <c r="BN19" s="224">
        <v>132381</v>
      </c>
      <c r="BO19" s="224">
        <f t="shared" si="41"/>
        <v>397143</v>
      </c>
      <c r="BP19" s="225" t="str">
        <f t="shared" si="19"/>
        <v>VÁLIDA</v>
      </c>
    </row>
    <row r="20" spans="2:68" s="167" customFormat="1" ht="27" customHeight="1" x14ac:dyDescent="0.2">
      <c r="B20" s="93"/>
      <c r="C20" s="94">
        <f t="shared" si="20"/>
        <v>1.05</v>
      </c>
      <c r="D20" s="95" t="s">
        <v>103</v>
      </c>
      <c r="E20" s="96" t="s">
        <v>88</v>
      </c>
      <c r="F20" s="97">
        <v>3</v>
      </c>
      <c r="G20" s="98">
        <v>106677</v>
      </c>
      <c r="H20" s="98">
        <f t="shared" si="21"/>
        <v>320031</v>
      </c>
      <c r="I20" s="190">
        <v>105015</v>
      </c>
      <c r="J20" s="224">
        <f t="shared" si="22"/>
        <v>315045</v>
      </c>
      <c r="K20" s="225" t="str">
        <f t="shared" si="0"/>
        <v>VÁLIDA</v>
      </c>
      <c r="L20" s="190">
        <v>105504</v>
      </c>
      <c r="M20" s="224">
        <f t="shared" si="23"/>
        <v>316512</v>
      </c>
      <c r="N20" s="225" t="str">
        <f t="shared" si="1"/>
        <v>VÁLIDA</v>
      </c>
      <c r="O20" s="190">
        <v>106677</v>
      </c>
      <c r="P20" s="224">
        <f t="shared" si="24"/>
        <v>320031</v>
      </c>
      <c r="Q20" s="225" t="str">
        <f t="shared" si="2"/>
        <v>VÁLIDA</v>
      </c>
      <c r="R20" s="190">
        <v>105109</v>
      </c>
      <c r="S20" s="224">
        <f t="shared" si="25"/>
        <v>315327</v>
      </c>
      <c r="T20" s="225" t="str">
        <f t="shared" si="3"/>
        <v>VÁLIDA</v>
      </c>
      <c r="U20" s="190">
        <v>106677</v>
      </c>
      <c r="V20" s="224">
        <f t="shared" si="26"/>
        <v>320031</v>
      </c>
      <c r="W20" s="225" t="str">
        <f t="shared" si="4"/>
        <v>VÁLIDA</v>
      </c>
      <c r="X20" s="190">
        <v>104970</v>
      </c>
      <c r="Y20" s="224">
        <f t="shared" si="27"/>
        <v>314910</v>
      </c>
      <c r="Z20" s="225" t="str">
        <f t="shared" si="5"/>
        <v>VÁLIDA</v>
      </c>
      <c r="AA20" s="190">
        <v>105504</v>
      </c>
      <c r="AB20" s="224">
        <f t="shared" si="28"/>
        <v>316512</v>
      </c>
      <c r="AC20" s="225" t="str">
        <f t="shared" si="6"/>
        <v>VÁLIDA</v>
      </c>
      <c r="AD20" s="190">
        <v>106677</v>
      </c>
      <c r="AE20" s="224">
        <f t="shared" si="29"/>
        <v>320031</v>
      </c>
      <c r="AF20" s="225" t="str">
        <f t="shared" si="7"/>
        <v>VÁLIDA</v>
      </c>
      <c r="AH20" s="224">
        <f t="shared" si="30"/>
        <v>0</v>
      </c>
      <c r="AI20" s="225" t="str">
        <f t="shared" si="8"/>
        <v>VÁLIDA</v>
      </c>
      <c r="AJ20" s="224">
        <v>99210</v>
      </c>
      <c r="AK20" s="224">
        <f t="shared" si="31"/>
        <v>297630</v>
      </c>
      <c r="AL20" s="225" t="str">
        <f t="shared" si="9"/>
        <v>VÁLIDA</v>
      </c>
      <c r="AM20" s="224">
        <v>106410</v>
      </c>
      <c r="AN20" s="224">
        <f t="shared" si="32"/>
        <v>319230</v>
      </c>
      <c r="AO20" s="225" t="str">
        <f t="shared" si="10"/>
        <v>VÁLIDA</v>
      </c>
      <c r="AP20" s="224">
        <v>106677</v>
      </c>
      <c r="AQ20" s="224">
        <f t="shared" si="33"/>
        <v>320031</v>
      </c>
      <c r="AR20" s="225" t="str">
        <f t="shared" si="11"/>
        <v>VÁLIDA</v>
      </c>
      <c r="AS20" s="224">
        <v>105000</v>
      </c>
      <c r="AT20" s="224">
        <f t="shared" si="34"/>
        <v>315000</v>
      </c>
      <c r="AU20" s="225" t="str">
        <f t="shared" si="12"/>
        <v>VÁLIDA</v>
      </c>
      <c r="AV20" s="224">
        <v>141753</v>
      </c>
      <c r="AW20" s="224">
        <f t="shared" si="35"/>
        <v>425259</v>
      </c>
      <c r="AX20" s="225" t="str">
        <f t="shared" si="13"/>
        <v>NO VÁLIDA</v>
      </c>
      <c r="AY20" s="224">
        <v>106677</v>
      </c>
      <c r="AZ20" s="224">
        <f t="shared" si="36"/>
        <v>320031</v>
      </c>
      <c r="BA20" s="225" t="str">
        <f t="shared" si="14"/>
        <v>VÁLIDA</v>
      </c>
      <c r="BB20" s="224">
        <v>102292.313514642</v>
      </c>
      <c r="BC20" s="224">
        <f t="shared" si="37"/>
        <v>306876.94054392597</v>
      </c>
      <c r="BD20" s="225" t="str">
        <f t="shared" si="15"/>
        <v>VÁLIDA</v>
      </c>
      <c r="BE20" s="224">
        <v>104373</v>
      </c>
      <c r="BF20" s="224">
        <f t="shared" si="38"/>
        <v>313119</v>
      </c>
      <c r="BG20" s="225" t="str">
        <f t="shared" si="16"/>
        <v>VÁLIDA</v>
      </c>
      <c r="BH20" s="224">
        <v>105610.23</v>
      </c>
      <c r="BI20" s="224">
        <f t="shared" si="39"/>
        <v>316830.69</v>
      </c>
      <c r="BJ20" s="225" t="str">
        <f t="shared" si="17"/>
        <v>VÁLIDA</v>
      </c>
      <c r="BK20" s="224">
        <v>105824</v>
      </c>
      <c r="BL20" s="224">
        <f t="shared" si="40"/>
        <v>317472</v>
      </c>
      <c r="BM20" s="225" t="str">
        <f t="shared" si="18"/>
        <v>VÁLIDA</v>
      </c>
      <c r="BN20" s="224">
        <v>104771</v>
      </c>
      <c r="BO20" s="224">
        <f t="shared" si="41"/>
        <v>314313</v>
      </c>
      <c r="BP20" s="225" t="str">
        <f t="shared" si="19"/>
        <v>VÁLIDA</v>
      </c>
    </row>
    <row r="21" spans="2:68" s="167" customFormat="1" ht="42" customHeight="1" x14ac:dyDescent="0.2">
      <c r="B21" s="93"/>
      <c r="C21" s="94">
        <f t="shared" si="20"/>
        <v>1.06</v>
      </c>
      <c r="D21" s="99" t="s">
        <v>104</v>
      </c>
      <c r="E21" s="96" t="s">
        <v>83</v>
      </c>
      <c r="F21" s="97">
        <v>18</v>
      </c>
      <c r="G21" s="98">
        <v>18622</v>
      </c>
      <c r="H21" s="98">
        <f t="shared" si="21"/>
        <v>335196</v>
      </c>
      <c r="I21" s="190">
        <v>18332</v>
      </c>
      <c r="J21" s="224">
        <f t="shared" si="22"/>
        <v>329976</v>
      </c>
      <c r="K21" s="225" t="str">
        <f t="shared" si="0"/>
        <v>VÁLIDA</v>
      </c>
      <c r="L21" s="190">
        <v>18417</v>
      </c>
      <c r="M21" s="224">
        <f t="shared" si="23"/>
        <v>331506</v>
      </c>
      <c r="N21" s="225" t="str">
        <f t="shared" si="1"/>
        <v>VÁLIDA</v>
      </c>
      <c r="O21" s="190">
        <v>18622</v>
      </c>
      <c r="P21" s="224">
        <f t="shared" si="24"/>
        <v>335196</v>
      </c>
      <c r="Q21" s="225" t="str">
        <f t="shared" si="2"/>
        <v>VÁLIDA</v>
      </c>
      <c r="R21" s="190">
        <v>18348</v>
      </c>
      <c r="S21" s="224">
        <f t="shared" si="25"/>
        <v>330264</v>
      </c>
      <c r="T21" s="225" t="str">
        <f t="shared" si="3"/>
        <v>VÁLIDA</v>
      </c>
      <c r="U21" s="190">
        <v>18622</v>
      </c>
      <c r="V21" s="224">
        <f t="shared" si="26"/>
        <v>335196</v>
      </c>
      <c r="W21" s="225" t="str">
        <f t="shared" si="4"/>
        <v>VÁLIDA</v>
      </c>
      <c r="X21" s="190">
        <v>18324</v>
      </c>
      <c r="Y21" s="224">
        <f t="shared" si="27"/>
        <v>329832</v>
      </c>
      <c r="Z21" s="225" t="str">
        <f t="shared" si="5"/>
        <v>VÁLIDA</v>
      </c>
      <c r="AA21" s="190">
        <v>18417</v>
      </c>
      <c r="AB21" s="224">
        <f t="shared" si="28"/>
        <v>331506</v>
      </c>
      <c r="AC21" s="225" t="str">
        <f t="shared" si="6"/>
        <v>VÁLIDA</v>
      </c>
      <c r="AD21" s="190">
        <v>18622</v>
      </c>
      <c r="AE21" s="224">
        <f t="shared" si="29"/>
        <v>335196</v>
      </c>
      <c r="AF21" s="225" t="str">
        <f t="shared" si="7"/>
        <v>VÁLIDA</v>
      </c>
      <c r="AH21" s="224">
        <f t="shared" si="30"/>
        <v>0</v>
      </c>
      <c r="AI21" s="225" t="str">
        <f t="shared" si="8"/>
        <v>VÁLIDA</v>
      </c>
      <c r="AJ21" s="224">
        <v>17318</v>
      </c>
      <c r="AK21" s="224">
        <f t="shared" si="31"/>
        <v>311724</v>
      </c>
      <c r="AL21" s="225" t="str">
        <f t="shared" si="9"/>
        <v>VÁLIDA</v>
      </c>
      <c r="AM21" s="224">
        <v>18575</v>
      </c>
      <c r="AN21" s="224">
        <f t="shared" si="32"/>
        <v>334350</v>
      </c>
      <c r="AO21" s="225" t="str">
        <f t="shared" si="10"/>
        <v>VÁLIDA</v>
      </c>
      <c r="AP21" s="224">
        <v>18622</v>
      </c>
      <c r="AQ21" s="224">
        <f t="shared" si="33"/>
        <v>335196</v>
      </c>
      <c r="AR21" s="225" t="str">
        <f t="shared" si="11"/>
        <v>VÁLIDA</v>
      </c>
      <c r="AS21" s="224">
        <v>18300</v>
      </c>
      <c r="AT21" s="224">
        <f t="shared" si="34"/>
        <v>329400</v>
      </c>
      <c r="AU21" s="225" t="str">
        <f t="shared" si="12"/>
        <v>VÁLIDA</v>
      </c>
      <c r="AV21" s="224">
        <v>24746</v>
      </c>
      <c r="AW21" s="224">
        <f t="shared" si="35"/>
        <v>445428</v>
      </c>
      <c r="AX21" s="225" t="str">
        <f t="shared" si="13"/>
        <v>NO VÁLIDA</v>
      </c>
      <c r="AY21" s="224">
        <v>18622</v>
      </c>
      <c r="AZ21" s="224">
        <f t="shared" si="36"/>
        <v>335196</v>
      </c>
      <c r="BA21" s="225" t="str">
        <f t="shared" si="14"/>
        <v>VÁLIDA</v>
      </c>
      <c r="BB21" s="224">
        <v>17856.590101612001</v>
      </c>
      <c r="BC21" s="224">
        <f t="shared" si="37"/>
        <v>321418.62182901602</v>
      </c>
      <c r="BD21" s="225" t="str">
        <f t="shared" si="15"/>
        <v>VÁLIDA</v>
      </c>
      <c r="BE21" s="224">
        <v>18220</v>
      </c>
      <c r="BF21" s="224">
        <f t="shared" si="38"/>
        <v>327960</v>
      </c>
      <c r="BG21" s="225" t="str">
        <f t="shared" si="16"/>
        <v>VÁLIDA</v>
      </c>
      <c r="BH21" s="224">
        <v>18435.78</v>
      </c>
      <c r="BI21" s="224">
        <f t="shared" si="39"/>
        <v>331844.03999999998</v>
      </c>
      <c r="BJ21" s="225" t="str">
        <f t="shared" si="17"/>
        <v>VÁLIDA</v>
      </c>
      <c r="BK21" s="224">
        <v>18473</v>
      </c>
      <c r="BL21" s="224">
        <f t="shared" si="40"/>
        <v>332514</v>
      </c>
      <c r="BM21" s="225" t="str">
        <f t="shared" si="18"/>
        <v>VÁLIDA</v>
      </c>
      <c r="BN21" s="224">
        <v>18289</v>
      </c>
      <c r="BO21" s="224">
        <f t="shared" si="41"/>
        <v>329202</v>
      </c>
      <c r="BP21" s="225" t="str">
        <f t="shared" si="19"/>
        <v>VÁLIDA</v>
      </c>
    </row>
    <row r="22" spans="2:68" s="167" customFormat="1" ht="50.25" customHeight="1" x14ac:dyDescent="0.2">
      <c r="B22" s="93">
        <v>3811</v>
      </c>
      <c r="C22" s="94">
        <f t="shared" si="20"/>
        <v>1.07</v>
      </c>
      <c r="D22" s="99" t="str">
        <f>VLOOKUP(B22,[2]ITEMS!$B$4:$E$2466,2,FALSE)</f>
        <v>CORTE DE PAVIMENTO - INCLUYE EQUIPO: CORTADORA DE CONCRETO INCLUYE OPERARIO Y COMBUSTIBLE.  INCLUYE DISCO DIAMANTADO ASFALTO-CONCRETO 350 mm, AGUA Y MANO DE OBRA</v>
      </c>
      <c r="E22" s="96" t="str">
        <f>VLOOKUP(B22,[2]ITEMS!$B$4:$E$2466,3,FALSE)</f>
        <v>M</v>
      </c>
      <c r="F22" s="97">
        <v>901</v>
      </c>
      <c r="G22" s="98">
        <f>VLOOKUP(B22,[2]ITEMS!$B$4:$E$2466,4,FALSE)</f>
        <v>1643</v>
      </c>
      <c r="H22" s="98">
        <f t="shared" si="21"/>
        <v>1480343</v>
      </c>
      <c r="I22" s="190">
        <v>1617</v>
      </c>
      <c r="J22" s="224">
        <f t="shared" si="22"/>
        <v>1456917</v>
      </c>
      <c r="K22" s="225" t="str">
        <f t="shared" si="0"/>
        <v>VÁLIDA</v>
      </c>
      <c r="L22" s="190">
        <v>1625</v>
      </c>
      <c r="M22" s="224">
        <f t="shared" si="23"/>
        <v>1464125</v>
      </c>
      <c r="N22" s="225" t="str">
        <f t="shared" si="1"/>
        <v>VÁLIDA</v>
      </c>
      <c r="O22" s="190">
        <v>1643</v>
      </c>
      <c r="P22" s="224">
        <f t="shared" si="24"/>
        <v>1480343</v>
      </c>
      <c r="Q22" s="225" t="str">
        <f t="shared" si="2"/>
        <v>VÁLIDA</v>
      </c>
      <c r="R22" s="190">
        <v>1619</v>
      </c>
      <c r="S22" s="224">
        <f t="shared" si="25"/>
        <v>1458719</v>
      </c>
      <c r="T22" s="225" t="str">
        <f t="shared" si="3"/>
        <v>VÁLIDA</v>
      </c>
      <c r="U22" s="190">
        <v>1643</v>
      </c>
      <c r="V22" s="224">
        <f t="shared" si="26"/>
        <v>1480343</v>
      </c>
      <c r="W22" s="225" t="str">
        <f t="shared" si="4"/>
        <v>VÁLIDA</v>
      </c>
      <c r="X22" s="190">
        <v>1616</v>
      </c>
      <c r="Y22" s="224">
        <f t="shared" si="27"/>
        <v>1456016</v>
      </c>
      <c r="Z22" s="225" t="str">
        <f t="shared" si="5"/>
        <v>VÁLIDA</v>
      </c>
      <c r="AA22" s="190">
        <v>1625</v>
      </c>
      <c r="AB22" s="224">
        <f t="shared" si="28"/>
        <v>1464125</v>
      </c>
      <c r="AC22" s="225" t="str">
        <f t="shared" si="6"/>
        <v>VÁLIDA</v>
      </c>
      <c r="AD22" s="190">
        <v>1643</v>
      </c>
      <c r="AE22" s="224">
        <f t="shared" si="29"/>
        <v>1480343</v>
      </c>
      <c r="AF22" s="225" t="str">
        <f t="shared" si="7"/>
        <v>VÁLIDA</v>
      </c>
      <c r="AH22" s="224">
        <f t="shared" si="30"/>
        <v>0</v>
      </c>
      <c r="AI22" s="225" t="str">
        <f t="shared" si="8"/>
        <v>VÁLIDA</v>
      </c>
      <c r="AJ22" s="224">
        <v>1528</v>
      </c>
      <c r="AK22" s="224">
        <f t="shared" si="31"/>
        <v>1376728</v>
      </c>
      <c r="AL22" s="225" t="str">
        <f t="shared" si="9"/>
        <v>VÁLIDA</v>
      </c>
      <c r="AM22" s="224">
        <v>1639</v>
      </c>
      <c r="AN22" s="224">
        <f t="shared" si="32"/>
        <v>1476739</v>
      </c>
      <c r="AO22" s="225" t="str">
        <f t="shared" si="10"/>
        <v>VÁLIDA</v>
      </c>
      <c r="AP22" s="224">
        <v>1643</v>
      </c>
      <c r="AQ22" s="224">
        <f t="shared" si="33"/>
        <v>1480343</v>
      </c>
      <c r="AR22" s="225" t="str">
        <f t="shared" si="11"/>
        <v>VÁLIDA</v>
      </c>
      <c r="AS22" s="224">
        <v>1600</v>
      </c>
      <c r="AT22" s="224">
        <f t="shared" si="34"/>
        <v>1441600</v>
      </c>
      <c r="AU22" s="225" t="str">
        <f t="shared" si="12"/>
        <v>VÁLIDA</v>
      </c>
      <c r="AV22" s="224">
        <v>2183</v>
      </c>
      <c r="AW22" s="224">
        <f t="shared" si="35"/>
        <v>1966883</v>
      </c>
      <c r="AX22" s="225" t="str">
        <f t="shared" si="13"/>
        <v>NO VÁLIDA</v>
      </c>
      <c r="AY22" s="224">
        <v>1643</v>
      </c>
      <c r="AZ22" s="224">
        <f t="shared" si="36"/>
        <v>1480343</v>
      </c>
      <c r="BA22" s="225" t="str">
        <f t="shared" si="14"/>
        <v>VÁLIDA</v>
      </c>
      <c r="BB22" s="224">
        <v>1575.4686680780001</v>
      </c>
      <c r="BC22" s="224">
        <f t="shared" si="37"/>
        <v>1419497.269938278</v>
      </c>
      <c r="BD22" s="225" t="str">
        <f t="shared" si="15"/>
        <v>VÁLIDA</v>
      </c>
      <c r="BE22" s="224">
        <v>1608</v>
      </c>
      <c r="BF22" s="224">
        <f t="shared" si="38"/>
        <v>1448808</v>
      </c>
      <c r="BG22" s="225" t="str">
        <f t="shared" si="16"/>
        <v>VÁLIDA</v>
      </c>
      <c r="BH22" s="224">
        <v>1626.57</v>
      </c>
      <c r="BI22" s="224">
        <f t="shared" si="39"/>
        <v>1465539.5699999998</v>
      </c>
      <c r="BJ22" s="225" t="str">
        <f t="shared" si="17"/>
        <v>VÁLIDA</v>
      </c>
      <c r="BK22" s="224">
        <v>1630</v>
      </c>
      <c r="BL22" s="224">
        <f t="shared" si="40"/>
        <v>1468630</v>
      </c>
      <c r="BM22" s="225" t="str">
        <f t="shared" si="18"/>
        <v>VÁLIDA</v>
      </c>
      <c r="BN22" s="224">
        <v>1613</v>
      </c>
      <c r="BO22" s="224">
        <f t="shared" si="41"/>
        <v>1453313</v>
      </c>
      <c r="BP22" s="225" t="str">
        <f t="shared" si="19"/>
        <v>VÁLIDA</v>
      </c>
    </row>
    <row r="23" spans="2:68" s="167" customFormat="1" ht="21" customHeight="1" x14ac:dyDescent="0.2">
      <c r="B23" s="93">
        <v>4581</v>
      </c>
      <c r="C23" s="94">
        <f t="shared" si="20"/>
        <v>1.08</v>
      </c>
      <c r="D23" s="99" t="str">
        <f>VLOOKUP(B23,[2]ITEMS!$B$4:$E$2466,2,FALSE)</f>
        <v>RETIRO DE ADOQUIN SOBRE MORTERO</v>
      </c>
      <c r="E23" s="96" t="str">
        <f>VLOOKUP(B23,[2]ITEMS!$B$4:$E$2466,3,FALSE)</f>
        <v>M2</v>
      </c>
      <c r="F23" s="97">
        <v>1763</v>
      </c>
      <c r="G23" s="98">
        <f>VLOOKUP(B23,[2]ITEMS!$B$4:$E$2466,4,FALSE)</f>
        <v>1903</v>
      </c>
      <c r="H23" s="98">
        <f t="shared" si="21"/>
        <v>3354989</v>
      </c>
      <c r="I23" s="191">
        <v>1873</v>
      </c>
      <c r="J23" s="224">
        <f t="shared" si="22"/>
        <v>3302099</v>
      </c>
      <c r="K23" s="225" t="str">
        <f t="shared" si="0"/>
        <v>VÁLIDA</v>
      </c>
      <c r="L23" s="191">
        <v>1882</v>
      </c>
      <c r="M23" s="224">
        <f t="shared" si="23"/>
        <v>3317966</v>
      </c>
      <c r="N23" s="225" t="str">
        <f t="shared" si="1"/>
        <v>VÁLIDA</v>
      </c>
      <c r="O23" s="191">
        <v>1903</v>
      </c>
      <c r="P23" s="224">
        <f t="shared" si="24"/>
        <v>3354989</v>
      </c>
      <c r="Q23" s="225" t="str">
        <f t="shared" si="2"/>
        <v>VÁLIDA</v>
      </c>
      <c r="R23" s="191">
        <v>1875</v>
      </c>
      <c r="S23" s="224">
        <f t="shared" si="25"/>
        <v>3305625</v>
      </c>
      <c r="T23" s="225" t="str">
        <f t="shared" si="3"/>
        <v>VÁLIDA</v>
      </c>
      <c r="U23" s="191">
        <v>1903</v>
      </c>
      <c r="V23" s="224">
        <f t="shared" si="26"/>
        <v>3354989</v>
      </c>
      <c r="W23" s="225" t="str">
        <f t="shared" si="4"/>
        <v>VÁLIDA</v>
      </c>
      <c r="X23" s="191">
        <v>1872</v>
      </c>
      <c r="Y23" s="224">
        <f t="shared" si="27"/>
        <v>3300336</v>
      </c>
      <c r="Z23" s="225" t="str">
        <f t="shared" si="5"/>
        <v>VÁLIDA</v>
      </c>
      <c r="AA23" s="191">
        <v>1882</v>
      </c>
      <c r="AB23" s="224">
        <f t="shared" si="28"/>
        <v>3317966</v>
      </c>
      <c r="AC23" s="225" t="str">
        <f t="shared" si="6"/>
        <v>VÁLIDA</v>
      </c>
      <c r="AD23" s="191">
        <v>1903</v>
      </c>
      <c r="AE23" s="224">
        <f t="shared" si="29"/>
        <v>3354989</v>
      </c>
      <c r="AF23" s="225" t="str">
        <f t="shared" si="7"/>
        <v>VÁLIDA</v>
      </c>
      <c r="AH23" s="224">
        <f t="shared" si="30"/>
        <v>0</v>
      </c>
      <c r="AI23" s="225" t="str">
        <f t="shared" si="8"/>
        <v>VÁLIDA</v>
      </c>
      <c r="AJ23" s="224">
        <v>1770</v>
      </c>
      <c r="AK23" s="224">
        <f t="shared" si="31"/>
        <v>3120510</v>
      </c>
      <c r="AL23" s="225" t="str">
        <f t="shared" si="9"/>
        <v>VÁLIDA</v>
      </c>
      <c r="AM23" s="224">
        <v>1898</v>
      </c>
      <c r="AN23" s="224">
        <f t="shared" si="32"/>
        <v>3346174</v>
      </c>
      <c r="AO23" s="225" t="str">
        <f t="shared" si="10"/>
        <v>VÁLIDA</v>
      </c>
      <c r="AP23" s="224">
        <v>1903</v>
      </c>
      <c r="AQ23" s="224">
        <f t="shared" si="33"/>
        <v>3354989</v>
      </c>
      <c r="AR23" s="225" t="str">
        <f t="shared" si="11"/>
        <v>VÁLIDA</v>
      </c>
      <c r="AS23" s="224">
        <v>1800</v>
      </c>
      <c r="AT23" s="224">
        <f t="shared" si="34"/>
        <v>3173400</v>
      </c>
      <c r="AU23" s="225" t="str">
        <f t="shared" si="12"/>
        <v>VÁLIDA</v>
      </c>
      <c r="AV23" s="224">
        <v>2529</v>
      </c>
      <c r="AW23" s="224">
        <f t="shared" si="35"/>
        <v>4458627</v>
      </c>
      <c r="AX23" s="225" t="str">
        <f t="shared" si="13"/>
        <v>NO VÁLIDA</v>
      </c>
      <c r="AY23" s="224">
        <v>1903</v>
      </c>
      <c r="AZ23" s="224">
        <f t="shared" si="36"/>
        <v>3354989</v>
      </c>
      <c r="BA23" s="225" t="str">
        <f t="shared" si="14"/>
        <v>VÁLIDA</v>
      </c>
      <c r="BB23" s="224">
        <v>1824.7820300379999</v>
      </c>
      <c r="BC23" s="224">
        <f t="shared" si="37"/>
        <v>3217090.7189569939</v>
      </c>
      <c r="BD23" s="225" t="str">
        <f t="shared" si="15"/>
        <v>VÁLIDA</v>
      </c>
      <c r="BE23" s="224">
        <v>1862</v>
      </c>
      <c r="BF23" s="224">
        <f t="shared" si="38"/>
        <v>3282706</v>
      </c>
      <c r="BG23" s="225" t="str">
        <f t="shared" si="16"/>
        <v>VÁLIDA</v>
      </c>
      <c r="BH23" s="224">
        <v>1883.97</v>
      </c>
      <c r="BI23" s="224">
        <f t="shared" si="39"/>
        <v>3321439.11</v>
      </c>
      <c r="BJ23" s="225" t="str">
        <f t="shared" si="17"/>
        <v>VÁLIDA</v>
      </c>
      <c r="BK23" s="224">
        <v>1888</v>
      </c>
      <c r="BL23" s="224">
        <f t="shared" si="40"/>
        <v>3328544</v>
      </c>
      <c r="BM23" s="225" t="str">
        <f t="shared" si="18"/>
        <v>VÁLIDA</v>
      </c>
      <c r="BN23" s="224">
        <v>1869</v>
      </c>
      <c r="BO23" s="224">
        <f t="shared" si="41"/>
        <v>3295047</v>
      </c>
      <c r="BP23" s="225" t="str">
        <f t="shared" si="19"/>
        <v>VÁLIDA</v>
      </c>
    </row>
    <row r="24" spans="2:68" s="167" customFormat="1" ht="21" customHeight="1" x14ac:dyDescent="0.2">
      <c r="B24" s="93"/>
      <c r="C24" s="94">
        <f t="shared" si="20"/>
        <v>1.0900000000000001</v>
      </c>
      <c r="D24" s="99" t="s">
        <v>105</v>
      </c>
      <c r="E24" s="96" t="s">
        <v>83</v>
      </c>
      <c r="F24" s="97">
        <v>435</v>
      </c>
      <c r="G24" s="98">
        <v>6233</v>
      </c>
      <c r="H24" s="98">
        <f t="shared" si="21"/>
        <v>2711355</v>
      </c>
      <c r="I24" s="191">
        <v>6136</v>
      </c>
      <c r="J24" s="224">
        <f t="shared" si="22"/>
        <v>2669160</v>
      </c>
      <c r="K24" s="225" t="str">
        <f t="shared" si="0"/>
        <v>VÁLIDA</v>
      </c>
      <c r="L24" s="191">
        <v>6164</v>
      </c>
      <c r="M24" s="224">
        <f t="shared" si="23"/>
        <v>2681340</v>
      </c>
      <c r="N24" s="225" t="str">
        <f t="shared" si="1"/>
        <v>VÁLIDA</v>
      </c>
      <c r="O24" s="191">
        <v>6233</v>
      </c>
      <c r="P24" s="224">
        <f t="shared" si="24"/>
        <v>2711355</v>
      </c>
      <c r="Q24" s="225" t="str">
        <f t="shared" si="2"/>
        <v>VÁLIDA</v>
      </c>
      <c r="R24" s="191">
        <v>6141</v>
      </c>
      <c r="S24" s="224">
        <f t="shared" si="25"/>
        <v>2671335</v>
      </c>
      <c r="T24" s="225" t="str">
        <f t="shared" si="3"/>
        <v>VÁLIDA</v>
      </c>
      <c r="U24" s="191">
        <v>6233</v>
      </c>
      <c r="V24" s="224">
        <f t="shared" si="26"/>
        <v>2711355</v>
      </c>
      <c r="W24" s="225" t="str">
        <f t="shared" si="4"/>
        <v>VÁLIDA</v>
      </c>
      <c r="X24" s="191">
        <v>6133</v>
      </c>
      <c r="Y24" s="224">
        <f t="shared" si="27"/>
        <v>2667855</v>
      </c>
      <c r="Z24" s="225" t="str">
        <f t="shared" si="5"/>
        <v>VÁLIDA</v>
      </c>
      <c r="AA24" s="191">
        <v>6164</v>
      </c>
      <c r="AB24" s="224">
        <f t="shared" si="28"/>
        <v>2681340</v>
      </c>
      <c r="AC24" s="225" t="str">
        <f t="shared" si="6"/>
        <v>VÁLIDA</v>
      </c>
      <c r="AD24" s="191">
        <v>6233</v>
      </c>
      <c r="AE24" s="224">
        <f t="shared" si="29"/>
        <v>2711355</v>
      </c>
      <c r="AF24" s="225" t="str">
        <f t="shared" si="7"/>
        <v>VÁLIDA</v>
      </c>
      <c r="AH24" s="224">
        <f t="shared" si="30"/>
        <v>0</v>
      </c>
      <c r="AI24" s="225" t="str">
        <f t="shared" si="8"/>
        <v>VÁLIDA</v>
      </c>
      <c r="AJ24" s="224">
        <v>5797</v>
      </c>
      <c r="AK24" s="224">
        <f t="shared" si="31"/>
        <v>2521695</v>
      </c>
      <c r="AL24" s="225" t="str">
        <f t="shared" si="9"/>
        <v>VÁLIDA</v>
      </c>
      <c r="AM24" s="224">
        <v>6217</v>
      </c>
      <c r="AN24" s="224">
        <f t="shared" si="32"/>
        <v>2704395</v>
      </c>
      <c r="AO24" s="225" t="str">
        <f t="shared" si="10"/>
        <v>VÁLIDA</v>
      </c>
      <c r="AP24" s="224">
        <v>6233</v>
      </c>
      <c r="AQ24" s="224">
        <f t="shared" si="33"/>
        <v>2711355</v>
      </c>
      <c r="AR24" s="225" t="str">
        <f t="shared" si="11"/>
        <v>VÁLIDA</v>
      </c>
      <c r="AS24" s="224">
        <v>6100</v>
      </c>
      <c r="AT24" s="224">
        <f t="shared" si="34"/>
        <v>2653500</v>
      </c>
      <c r="AU24" s="225" t="str">
        <f t="shared" si="12"/>
        <v>VÁLIDA</v>
      </c>
      <c r="AV24" s="224">
        <v>8282</v>
      </c>
      <c r="AW24" s="224">
        <f t="shared" si="35"/>
        <v>3602670</v>
      </c>
      <c r="AX24" s="225" t="str">
        <f t="shared" si="13"/>
        <v>NO VÁLIDA</v>
      </c>
      <c r="AY24" s="224">
        <v>6233</v>
      </c>
      <c r="AZ24" s="224">
        <f t="shared" si="36"/>
        <v>2711355</v>
      </c>
      <c r="BA24" s="225" t="str">
        <f t="shared" si="14"/>
        <v>VÁLIDA</v>
      </c>
      <c r="BB24" s="224">
        <v>5976.8084042179999</v>
      </c>
      <c r="BC24" s="224">
        <f t="shared" si="37"/>
        <v>2599911.6558348299</v>
      </c>
      <c r="BD24" s="225" t="str">
        <f t="shared" si="15"/>
        <v>VÁLIDA</v>
      </c>
      <c r="BE24" s="224">
        <v>6098</v>
      </c>
      <c r="BF24" s="224">
        <f t="shared" si="38"/>
        <v>2652630</v>
      </c>
      <c r="BG24" s="225" t="str">
        <f t="shared" si="16"/>
        <v>VÁLIDA</v>
      </c>
      <c r="BH24" s="224">
        <v>6170.67</v>
      </c>
      <c r="BI24" s="224">
        <f t="shared" si="39"/>
        <v>2684241.4500000002</v>
      </c>
      <c r="BJ24" s="225" t="str">
        <f t="shared" si="17"/>
        <v>VÁLIDA</v>
      </c>
      <c r="BK24" s="224">
        <v>6183</v>
      </c>
      <c r="BL24" s="224">
        <f t="shared" si="40"/>
        <v>2689605</v>
      </c>
      <c r="BM24" s="225" t="str">
        <f t="shared" si="18"/>
        <v>VÁLIDA</v>
      </c>
      <c r="BN24" s="224">
        <v>6121</v>
      </c>
      <c r="BO24" s="224">
        <f t="shared" si="41"/>
        <v>2662635</v>
      </c>
      <c r="BP24" s="225" t="str">
        <f t="shared" si="19"/>
        <v>VÁLIDA</v>
      </c>
    </row>
    <row r="25" spans="2:68" s="167" customFormat="1" ht="21" customHeight="1" x14ac:dyDescent="0.2">
      <c r="B25" s="93"/>
      <c r="C25" s="94">
        <f t="shared" si="20"/>
        <v>1.1000000000000001</v>
      </c>
      <c r="D25" s="99" t="s">
        <v>106</v>
      </c>
      <c r="E25" s="96" t="s">
        <v>83</v>
      </c>
      <c r="F25" s="97">
        <v>132</v>
      </c>
      <c r="G25" s="98">
        <v>4489</v>
      </c>
      <c r="H25" s="98">
        <f t="shared" si="21"/>
        <v>592548</v>
      </c>
      <c r="I25" s="191">
        <v>4419</v>
      </c>
      <c r="J25" s="224">
        <f t="shared" si="22"/>
        <v>583308</v>
      </c>
      <c r="K25" s="225" t="str">
        <f t="shared" si="0"/>
        <v>VÁLIDA</v>
      </c>
      <c r="L25" s="191">
        <v>4440</v>
      </c>
      <c r="M25" s="224">
        <f t="shared" si="23"/>
        <v>586080</v>
      </c>
      <c r="N25" s="225" t="str">
        <f t="shared" si="1"/>
        <v>VÁLIDA</v>
      </c>
      <c r="O25" s="191">
        <v>4489</v>
      </c>
      <c r="P25" s="224">
        <f t="shared" si="24"/>
        <v>592548</v>
      </c>
      <c r="Q25" s="225" t="str">
        <f t="shared" si="2"/>
        <v>VÁLIDA</v>
      </c>
      <c r="R25" s="191">
        <v>4423</v>
      </c>
      <c r="S25" s="224">
        <f t="shared" si="25"/>
        <v>583836</v>
      </c>
      <c r="T25" s="225" t="str">
        <f t="shared" si="3"/>
        <v>VÁLIDA</v>
      </c>
      <c r="U25" s="191">
        <v>4489</v>
      </c>
      <c r="V25" s="224">
        <f t="shared" si="26"/>
        <v>592548</v>
      </c>
      <c r="W25" s="225" t="str">
        <f t="shared" si="4"/>
        <v>VÁLIDA</v>
      </c>
      <c r="X25" s="191">
        <v>4417</v>
      </c>
      <c r="Y25" s="224">
        <f t="shared" si="27"/>
        <v>583044</v>
      </c>
      <c r="Z25" s="225" t="str">
        <f t="shared" si="5"/>
        <v>VÁLIDA</v>
      </c>
      <c r="AA25" s="191">
        <v>4440</v>
      </c>
      <c r="AB25" s="224">
        <f t="shared" si="28"/>
        <v>586080</v>
      </c>
      <c r="AC25" s="225" t="str">
        <f t="shared" si="6"/>
        <v>VÁLIDA</v>
      </c>
      <c r="AD25" s="191">
        <v>4489</v>
      </c>
      <c r="AE25" s="224">
        <f t="shared" si="29"/>
        <v>592548</v>
      </c>
      <c r="AF25" s="225" t="str">
        <f t="shared" si="7"/>
        <v>VÁLIDA</v>
      </c>
      <c r="AH25" s="224">
        <f t="shared" si="30"/>
        <v>0</v>
      </c>
      <c r="AI25" s="225" t="str">
        <f t="shared" si="8"/>
        <v>VÁLIDA</v>
      </c>
      <c r="AJ25" s="224">
        <v>4175</v>
      </c>
      <c r="AK25" s="224">
        <f t="shared" si="31"/>
        <v>551100</v>
      </c>
      <c r="AL25" s="225" t="str">
        <f t="shared" si="9"/>
        <v>VÁLIDA</v>
      </c>
      <c r="AM25" s="224">
        <v>4478</v>
      </c>
      <c r="AN25" s="224">
        <f t="shared" si="32"/>
        <v>591096</v>
      </c>
      <c r="AO25" s="225" t="str">
        <f t="shared" si="10"/>
        <v>VÁLIDA</v>
      </c>
      <c r="AP25" s="224">
        <v>4489</v>
      </c>
      <c r="AQ25" s="224">
        <f t="shared" si="33"/>
        <v>592548</v>
      </c>
      <c r="AR25" s="225" t="str">
        <f t="shared" si="11"/>
        <v>VÁLIDA</v>
      </c>
      <c r="AS25" s="224">
        <v>4400</v>
      </c>
      <c r="AT25" s="224">
        <f t="shared" si="34"/>
        <v>580800</v>
      </c>
      <c r="AU25" s="225" t="str">
        <f t="shared" si="12"/>
        <v>VÁLIDA</v>
      </c>
      <c r="AV25" s="224">
        <v>5966</v>
      </c>
      <c r="AW25" s="224">
        <f t="shared" si="35"/>
        <v>787512</v>
      </c>
      <c r="AX25" s="225" t="str">
        <f t="shared" si="13"/>
        <v>NO VÁLIDA</v>
      </c>
      <c r="AY25" s="224">
        <v>4489</v>
      </c>
      <c r="AZ25" s="224">
        <f t="shared" si="36"/>
        <v>592548</v>
      </c>
      <c r="BA25" s="225" t="str">
        <f t="shared" si="14"/>
        <v>VÁLIDA</v>
      </c>
      <c r="BB25" s="224">
        <v>4304.4910839940003</v>
      </c>
      <c r="BC25" s="224">
        <f t="shared" si="37"/>
        <v>568192.82308720809</v>
      </c>
      <c r="BD25" s="225" t="str">
        <f t="shared" si="15"/>
        <v>VÁLIDA</v>
      </c>
      <c r="BE25" s="224">
        <v>4392</v>
      </c>
      <c r="BF25" s="224">
        <f t="shared" si="38"/>
        <v>579744</v>
      </c>
      <c r="BG25" s="225" t="str">
        <f t="shared" si="16"/>
        <v>VÁLIDA</v>
      </c>
      <c r="BH25" s="224">
        <v>4444.1099999999997</v>
      </c>
      <c r="BI25" s="224">
        <f t="shared" si="39"/>
        <v>586622.5199999999</v>
      </c>
      <c r="BJ25" s="225" t="str">
        <f t="shared" si="17"/>
        <v>VÁLIDA</v>
      </c>
      <c r="BK25" s="224">
        <v>4453</v>
      </c>
      <c r="BL25" s="224">
        <f t="shared" si="40"/>
        <v>587796</v>
      </c>
      <c r="BM25" s="225" t="str">
        <f t="shared" si="18"/>
        <v>VÁLIDA</v>
      </c>
      <c r="BN25" s="224">
        <v>4408</v>
      </c>
      <c r="BO25" s="224">
        <f t="shared" si="41"/>
        <v>581856</v>
      </c>
      <c r="BP25" s="225" t="str">
        <f t="shared" si="19"/>
        <v>VÁLIDA</v>
      </c>
    </row>
    <row r="26" spans="2:68" s="167" customFormat="1" ht="33.75" customHeight="1" x14ac:dyDescent="0.2">
      <c r="B26" s="93">
        <v>4390</v>
      </c>
      <c r="C26" s="94">
        <f t="shared" si="20"/>
        <v>1.1100000000000001</v>
      </c>
      <c r="D26" s="99" t="str">
        <f>VLOOKUP(B26,[2]ITEMS!$B$4:$E$2466,2,FALSE)</f>
        <v>EXCAVACIÓN MANUAL EN MATERIAL COMÚN (INCL CARGUE, TRANSPORTE Y DISPOSICION FINAL)</v>
      </c>
      <c r="E26" s="96" t="str">
        <f>VLOOKUP(B26,[2]ITEMS!$B$4:$E$2466,3,FALSE)</f>
        <v>M3</v>
      </c>
      <c r="F26" s="97">
        <v>1405</v>
      </c>
      <c r="G26" s="98">
        <f>VLOOKUP(B26,[2]ITEMS!$B$4:$E$2466,4,FALSE)</f>
        <v>57807</v>
      </c>
      <c r="H26" s="98">
        <f t="shared" si="21"/>
        <v>81218835</v>
      </c>
      <c r="I26" s="191">
        <v>56906</v>
      </c>
      <c r="J26" s="224">
        <f t="shared" si="22"/>
        <v>79952930</v>
      </c>
      <c r="K26" s="225" t="str">
        <f t="shared" si="0"/>
        <v>VÁLIDA</v>
      </c>
      <c r="L26" s="191">
        <v>57171</v>
      </c>
      <c r="M26" s="224">
        <f t="shared" si="23"/>
        <v>80325255</v>
      </c>
      <c r="N26" s="225" t="str">
        <f t="shared" si="1"/>
        <v>VÁLIDA</v>
      </c>
      <c r="O26" s="191">
        <v>57807</v>
      </c>
      <c r="P26" s="224">
        <f t="shared" si="24"/>
        <v>81218835</v>
      </c>
      <c r="Q26" s="225" t="str">
        <f t="shared" si="2"/>
        <v>VÁLIDA</v>
      </c>
      <c r="R26" s="191">
        <v>56957</v>
      </c>
      <c r="S26" s="224">
        <f t="shared" si="25"/>
        <v>80024585</v>
      </c>
      <c r="T26" s="225" t="str">
        <f t="shared" si="3"/>
        <v>VÁLIDA</v>
      </c>
      <c r="U26" s="191">
        <v>57807</v>
      </c>
      <c r="V26" s="224">
        <f t="shared" si="26"/>
        <v>81218835</v>
      </c>
      <c r="W26" s="225" t="str">
        <f t="shared" si="4"/>
        <v>VÁLIDA</v>
      </c>
      <c r="X26" s="191">
        <v>56882</v>
      </c>
      <c r="Y26" s="224">
        <f t="shared" si="27"/>
        <v>79919210</v>
      </c>
      <c r="Z26" s="225" t="str">
        <f t="shared" si="5"/>
        <v>VÁLIDA</v>
      </c>
      <c r="AA26" s="191">
        <v>57171</v>
      </c>
      <c r="AB26" s="224">
        <f t="shared" si="28"/>
        <v>80325255</v>
      </c>
      <c r="AC26" s="225" t="str">
        <f t="shared" si="6"/>
        <v>VÁLIDA</v>
      </c>
      <c r="AD26" s="191">
        <v>55000</v>
      </c>
      <c r="AE26" s="224">
        <f t="shared" si="29"/>
        <v>77275000</v>
      </c>
      <c r="AF26" s="225" t="str">
        <f t="shared" si="7"/>
        <v>VÁLIDA</v>
      </c>
      <c r="AH26" s="224">
        <f t="shared" si="30"/>
        <v>0</v>
      </c>
      <c r="AI26" s="225" t="str">
        <f t="shared" si="8"/>
        <v>VÁLIDA</v>
      </c>
      <c r="AJ26" s="224">
        <v>53761</v>
      </c>
      <c r="AK26" s="224">
        <f t="shared" si="31"/>
        <v>75534205</v>
      </c>
      <c r="AL26" s="225" t="str">
        <f t="shared" si="9"/>
        <v>VÁLIDA</v>
      </c>
      <c r="AM26" s="224">
        <v>57662</v>
      </c>
      <c r="AN26" s="224">
        <f t="shared" si="32"/>
        <v>81015110</v>
      </c>
      <c r="AO26" s="225" t="str">
        <f t="shared" si="10"/>
        <v>VÁLIDA</v>
      </c>
      <c r="AP26" s="224">
        <v>57807</v>
      </c>
      <c r="AQ26" s="224">
        <f t="shared" si="33"/>
        <v>81218835</v>
      </c>
      <c r="AR26" s="225" t="str">
        <f t="shared" si="11"/>
        <v>VÁLIDA</v>
      </c>
      <c r="AS26" s="224">
        <v>57000</v>
      </c>
      <c r="AT26" s="224">
        <f t="shared" si="34"/>
        <v>80085000</v>
      </c>
      <c r="AU26" s="225" t="str">
        <f t="shared" si="12"/>
        <v>VÁLIDA</v>
      </c>
      <c r="AV26" s="224">
        <v>76814</v>
      </c>
      <c r="AW26" s="224">
        <f t="shared" si="35"/>
        <v>107923670</v>
      </c>
      <c r="AX26" s="225" t="str">
        <f t="shared" si="13"/>
        <v>NO VÁLIDA</v>
      </c>
      <c r="AY26" s="224">
        <v>57807</v>
      </c>
      <c r="AZ26" s="224">
        <f t="shared" si="36"/>
        <v>81218835</v>
      </c>
      <c r="BA26" s="225" t="str">
        <f t="shared" si="14"/>
        <v>VÁLIDA</v>
      </c>
      <c r="BB26" s="224">
        <v>55430.990441622002</v>
      </c>
      <c r="BC26" s="224">
        <f t="shared" si="37"/>
        <v>77880541.570478916</v>
      </c>
      <c r="BD26" s="225" t="str">
        <f t="shared" si="15"/>
        <v>VÁLIDA</v>
      </c>
      <c r="BE26" s="224">
        <v>56558</v>
      </c>
      <c r="BF26" s="224">
        <f t="shared" si="38"/>
        <v>79463990</v>
      </c>
      <c r="BG26" s="225" t="str">
        <f t="shared" si="16"/>
        <v>VÁLIDA</v>
      </c>
      <c r="BH26" s="224">
        <v>57228.93</v>
      </c>
      <c r="BI26" s="224">
        <f t="shared" si="39"/>
        <v>80406646.650000006</v>
      </c>
      <c r="BJ26" s="225" t="str">
        <f t="shared" si="17"/>
        <v>VÁLIDA</v>
      </c>
      <c r="BK26" s="224">
        <v>57345</v>
      </c>
      <c r="BL26" s="224">
        <f t="shared" si="40"/>
        <v>80569725</v>
      </c>
      <c r="BM26" s="225" t="str">
        <f t="shared" si="18"/>
        <v>VÁLIDA</v>
      </c>
      <c r="BN26" s="224">
        <v>56774</v>
      </c>
      <c r="BO26" s="224">
        <f t="shared" si="41"/>
        <v>79767470</v>
      </c>
      <c r="BP26" s="225" t="str">
        <f t="shared" si="19"/>
        <v>VÁLIDA</v>
      </c>
    </row>
    <row r="27" spans="2:68" s="167" customFormat="1" ht="36" x14ac:dyDescent="0.2">
      <c r="B27" s="93">
        <v>3012</v>
      </c>
      <c r="C27" s="94">
        <f t="shared" si="20"/>
        <v>1.1200000000000001</v>
      </c>
      <c r="D27" s="99" t="str">
        <f>VLOOKUP(B27,[2]ITEMS!$B$4:$E$2466,2,FALSE)</f>
        <v>DEMOLICION PISOS DE CONCRETO (Espesor variable. Incluye Cargue). No incluye transporte y disposición final de sobrantes. Rendimiento estimado para un espesor de 0.10m</v>
      </c>
      <c r="E27" s="96" t="str">
        <f>VLOOKUP(B27,[2]ITEMS!$B$4:$E$2466,3,FALSE)</f>
        <v>M2</v>
      </c>
      <c r="F27" s="97">
        <v>1213</v>
      </c>
      <c r="G27" s="98">
        <f>VLOOKUP(B27,[2]ITEMS!$B$4:$E$2466,4,FALSE)</f>
        <v>5430</v>
      </c>
      <c r="H27" s="98">
        <f t="shared" si="21"/>
        <v>6586590</v>
      </c>
      <c r="I27" s="191">
        <v>5345</v>
      </c>
      <c r="J27" s="224">
        <f t="shared" si="22"/>
        <v>6483485</v>
      </c>
      <c r="K27" s="225" t="str">
        <f t="shared" si="0"/>
        <v>VÁLIDA</v>
      </c>
      <c r="L27" s="191">
        <v>5370</v>
      </c>
      <c r="M27" s="224">
        <f t="shared" si="23"/>
        <v>6513810</v>
      </c>
      <c r="N27" s="225" t="str">
        <f t="shared" si="1"/>
        <v>VÁLIDA</v>
      </c>
      <c r="O27" s="191">
        <v>5430</v>
      </c>
      <c r="P27" s="224">
        <f t="shared" si="24"/>
        <v>6586590</v>
      </c>
      <c r="Q27" s="225" t="str">
        <f t="shared" si="2"/>
        <v>VÁLIDA</v>
      </c>
      <c r="R27" s="191">
        <v>5350</v>
      </c>
      <c r="S27" s="224">
        <f t="shared" si="25"/>
        <v>6489550</v>
      </c>
      <c r="T27" s="225" t="str">
        <f t="shared" si="3"/>
        <v>VÁLIDA</v>
      </c>
      <c r="U27" s="191">
        <v>5430</v>
      </c>
      <c r="V27" s="224">
        <f t="shared" si="26"/>
        <v>6586590</v>
      </c>
      <c r="W27" s="225" t="str">
        <f t="shared" si="4"/>
        <v>VÁLIDA</v>
      </c>
      <c r="X27" s="191">
        <v>5343</v>
      </c>
      <c r="Y27" s="224">
        <f t="shared" si="27"/>
        <v>6481059</v>
      </c>
      <c r="Z27" s="225" t="str">
        <f t="shared" si="5"/>
        <v>VÁLIDA</v>
      </c>
      <c r="AA27" s="191">
        <v>5370</v>
      </c>
      <c r="AB27" s="224">
        <f t="shared" si="28"/>
        <v>6513810</v>
      </c>
      <c r="AC27" s="225" t="str">
        <f t="shared" si="6"/>
        <v>VÁLIDA</v>
      </c>
      <c r="AD27" s="191">
        <v>5430</v>
      </c>
      <c r="AE27" s="224">
        <f t="shared" si="29"/>
        <v>6586590</v>
      </c>
      <c r="AF27" s="225" t="str">
        <f t="shared" si="7"/>
        <v>VÁLIDA</v>
      </c>
      <c r="AH27" s="224">
        <f t="shared" si="30"/>
        <v>0</v>
      </c>
      <c r="AI27" s="225" t="str">
        <f t="shared" si="8"/>
        <v>VÁLIDA</v>
      </c>
      <c r="AJ27" s="224">
        <v>5050</v>
      </c>
      <c r="AK27" s="224">
        <f t="shared" si="31"/>
        <v>6125650</v>
      </c>
      <c r="AL27" s="225" t="str">
        <f t="shared" si="9"/>
        <v>VÁLIDA</v>
      </c>
      <c r="AM27" s="224">
        <v>5416</v>
      </c>
      <c r="AN27" s="224">
        <f t="shared" si="32"/>
        <v>6569608</v>
      </c>
      <c r="AO27" s="225" t="str">
        <f t="shared" si="10"/>
        <v>VÁLIDA</v>
      </c>
      <c r="AP27" s="224">
        <v>5430</v>
      </c>
      <c r="AQ27" s="224">
        <f t="shared" si="33"/>
        <v>6586590</v>
      </c>
      <c r="AR27" s="225" t="str">
        <f t="shared" si="11"/>
        <v>VÁLIDA</v>
      </c>
      <c r="AS27" s="224">
        <v>5300</v>
      </c>
      <c r="AT27" s="224">
        <f t="shared" si="34"/>
        <v>6428900</v>
      </c>
      <c r="AU27" s="225" t="str">
        <f t="shared" si="12"/>
        <v>VÁLIDA</v>
      </c>
      <c r="AV27" s="224">
        <v>7216</v>
      </c>
      <c r="AW27" s="224">
        <f t="shared" si="35"/>
        <v>8753008</v>
      </c>
      <c r="AX27" s="225" t="str">
        <f t="shared" si="13"/>
        <v>NO VÁLIDA</v>
      </c>
      <c r="AY27" s="224">
        <v>5430</v>
      </c>
      <c r="AZ27" s="224">
        <f t="shared" si="36"/>
        <v>6586590</v>
      </c>
      <c r="BA27" s="225" t="str">
        <f t="shared" si="14"/>
        <v>VÁLIDA</v>
      </c>
      <c r="BB27" s="224">
        <v>5206.8136747799999</v>
      </c>
      <c r="BC27" s="224">
        <f t="shared" si="37"/>
        <v>6315864.9875081396</v>
      </c>
      <c r="BD27" s="225" t="str">
        <f t="shared" si="15"/>
        <v>VÁLIDA</v>
      </c>
      <c r="BE27" s="224">
        <v>5313</v>
      </c>
      <c r="BF27" s="224">
        <f t="shared" si="38"/>
        <v>6444669</v>
      </c>
      <c r="BG27" s="225" t="str">
        <f t="shared" si="16"/>
        <v>VÁLIDA</v>
      </c>
      <c r="BH27" s="224">
        <v>5375.7</v>
      </c>
      <c r="BI27" s="224">
        <f t="shared" si="39"/>
        <v>6520724.0999999996</v>
      </c>
      <c r="BJ27" s="225" t="str">
        <f t="shared" si="17"/>
        <v>VÁLIDA</v>
      </c>
      <c r="BK27" s="224">
        <v>5387</v>
      </c>
      <c r="BL27" s="224">
        <f t="shared" si="40"/>
        <v>6534431</v>
      </c>
      <c r="BM27" s="225" t="str">
        <f t="shared" si="18"/>
        <v>VÁLIDA</v>
      </c>
      <c r="BN27" s="224">
        <v>5333</v>
      </c>
      <c r="BO27" s="224">
        <f t="shared" si="41"/>
        <v>6468929</v>
      </c>
      <c r="BP27" s="225" t="str">
        <f t="shared" si="19"/>
        <v>VÁLIDA</v>
      </c>
    </row>
    <row r="28" spans="2:68" s="167" customFormat="1" ht="59.25" customHeight="1" x14ac:dyDescent="0.2">
      <c r="B28" s="93">
        <v>4813</v>
      </c>
      <c r="C28" s="94">
        <f t="shared" si="20"/>
        <v>1.1300000000000001</v>
      </c>
      <c r="D28" s="99" t="str">
        <f>VLOOKUP(B28,[2]ITEMS!$B$4:$E$2466,2,FALSE)</f>
        <v>RETIRO DE BOLARDO EN CONCRETO TIPO M-60. INCLUYE REPARACION DEL SITIO CON CONCRETO DE 1500PSI HECHO EN OBRA (40x40x10CM) Y SUBBASE GRANULAR SBG_200 e=0.35. NO INCLUYE RETIRO DE ESCOMBROS. INCLUYE DEMOLICION Y EXCAVACION.</v>
      </c>
      <c r="E28" s="96" t="str">
        <f>VLOOKUP(B28,[2]ITEMS!$B$4:$E$2466,3,FALSE)</f>
        <v>UN</v>
      </c>
      <c r="F28" s="97">
        <v>4</v>
      </c>
      <c r="G28" s="98">
        <f>VLOOKUP(B28,[2]ITEMS!$B$4:$E$2466,4,FALSE)</f>
        <v>17594</v>
      </c>
      <c r="H28" s="98">
        <f t="shared" si="21"/>
        <v>70376</v>
      </c>
      <c r="I28" s="191">
        <v>17320</v>
      </c>
      <c r="J28" s="224">
        <f t="shared" si="22"/>
        <v>69280</v>
      </c>
      <c r="K28" s="225" t="str">
        <f t="shared" si="0"/>
        <v>VÁLIDA</v>
      </c>
      <c r="L28" s="191">
        <v>17400</v>
      </c>
      <c r="M28" s="224">
        <f t="shared" si="23"/>
        <v>69600</v>
      </c>
      <c r="N28" s="225" t="str">
        <f t="shared" si="1"/>
        <v>VÁLIDA</v>
      </c>
      <c r="O28" s="191">
        <v>17594</v>
      </c>
      <c r="P28" s="224">
        <f t="shared" si="24"/>
        <v>70376</v>
      </c>
      <c r="Q28" s="225" t="str">
        <f t="shared" si="2"/>
        <v>VÁLIDA</v>
      </c>
      <c r="R28" s="191">
        <v>17335</v>
      </c>
      <c r="S28" s="224">
        <f t="shared" si="25"/>
        <v>69340</v>
      </c>
      <c r="T28" s="225" t="str">
        <f t="shared" si="3"/>
        <v>VÁLIDA</v>
      </c>
      <c r="U28" s="191">
        <v>17594</v>
      </c>
      <c r="V28" s="224">
        <f t="shared" si="26"/>
        <v>70376</v>
      </c>
      <c r="W28" s="225" t="str">
        <f t="shared" si="4"/>
        <v>VÁLIDA</v>
      </c>
      <c r="X28" s="191">
        <v>17312</v>
      </c>
      <c r="Y28" s="224">
        <f t="shared" si="27"/>
        <v>69248</v>
      </c>
      <c r="Z28" s="225" t="str">
        <f t="shared" si="5"/>
        <v>VÁLIDA</v>
      </c>
      <c r="AA28" s="191">
        <v>17400</v>
      </c>
      <c r="AB28" s="224">
        <f t="shared" si="28"/>
        <v>69600</v>
      </c>
      <c r="AC28" s="225" t="str">
        <f t="shared" si="6"/>
        <v>VÁLIDA</v>
      </c>
      <c r="AD28" s="191">
        <v>17594</v>
      </c>
      <c r="AE28" s="224">
        <f t="shared" si="29"/>
        <v>70376</v>
      </c>
      <c r="AF28" s="225" t="str">
        <f t="shared" si="7"/>
        <v>VÁLIDA</v>
      </c>
      <c r="AH28" s="224">
        <f t="shared" si="30"/>
        <v>0</v>
      </c>
      <c r="AI28" s="225" t="str">
        <f t="shared" si="8"/>
        <v>VÁLIDA</v>
      </c>
      <c r="AJ28" s="224">
        <v>16362</v>
      </c>
      <c r="AK28" s="224">
        <f t="shared" si="31"/>
        <v>65448</v>
      </c>
      <c r="AL28" s="225" t="str">
        <f t="shared" si="9"/>
        <v>VÁLIDA</v>
      </c>
      <c r="AM28" s="224">
        <v>17550</v>
      </c>
      <c r="AN28" s="224">
        <f t="shared" si="32"/>
        <v>70200</v>
      </c>
      <c r="AO28" s="225" t="str">
        <f t="shared" si="10"/>
        <v>VÁLIDA</v>
      </c>
      <c r="AP28" s="224">
        <v>17594</v>
      </c>
      <c r="AQ28" s="224">
        <f t="shared" si="33"/>
        <v>70376</v>
      </c>
      <c r="AR28" s="225" t="str">
        <f t="shared" si="11"/>
        <v>VÁLIDA</v>
      </c>
      <c r="AS28" s="224">
        <v>17300</v>
      </c>
      <c r="AT28" s="224">
        <f t="shared" si="34"/>
        <v>69200</v>
      </c>
      <c r="AU28" s="225" t="str">
        <f t="shared" si="12"/>
        <v>VÁLIDA</v>
      </c>
      <c r="AV28" s="224">
        <v>23379</v>
      </c>
      <c r="AW28" s="224">
        <f t="shared" si="35"/>
        <v>93516</v>
      </c>
      <c r="AX28" s="225" t="str">
        <f t="shared" si="13"/>
        <v>NO VÁLIDA</v>
      </c>
      <c r="AY28" s="224">
        <v>17594</v>
      </c>
      <c r="AZ28" s="224">
        <f t="shared" si="36"/>
        <v>70376</v>
      </c>
      <c r="BA28" s="225" t="str">
        <f t="shared" si="14"/>
        <v>VÁLIDA</v>
      </c>
      <c r="BB28" s="224">
        <v>16870.843424324001</v>
      </c>
      <c r="BC28" s="224">
        <f t="shared" si="37"/>
        <v>67483.373697296003</v>
      </c>
      <c r="BD28" s="225" t="str">
        <f t="shared" si="15"/>
        <v>VÁLIDA</v>
      </c>
      <c r="BE28" s="224">
        <v>17214</v>
      </c>
      <c r="BF28" s="224">
        <f t="shared" si="38"/>
        <v>68856</v>
      </c>
      <c r="BG28" s="225" t="str">
        <f t="shared" si="16"/>
        <v>VÁLIDA</v>
      </c>
      <c r="BH28" s="224">
        <v>17418.060000000001</v>
      </c>
      <c r="BI28" s="224">
        <f t="shared" si="39"/>
        <v>69672.240000000005</v>
      </c>
      <c r="BJ28" s="225" t="str">
        <f t="shared" si="17"/>
        <v>VÁLIDA</v>
      </c>
      <c r="BK28" s="224">
        <v>17453</v>
      </c>
      <c r="BL28" s="224">
        <f t="shared" si="40"/>
        <v>69812</v>
      </c>
      <c r="BM28" s="225" t="str">
        <f t="shared" si="18"/>
        <v>VÁLIDA</v>
      </c>
      <c r="BN28" s="224">
        <v>17279</v>
      </c>
      <c r="BO28" s="224">
        <f t="shared" si="41"/>
        <v>69116</v>
      </c>
      <c r="BP28" s="225" t="str">
        <f t="shared" si="19"/>
        <v>VÁLIDA</v>
      </c>
    </row>
    <row r="29" spans="2:68" s="167" customFormat="1" ht="20.25" customHeight="1" x14ac:dyDescent="0.2">
      <c r="B29" s="93"/>
      <c r="C29" s="94">
        <f t="shared" si="20"/>
        <v>1.1400000000000001</v>
      </c>
      <c r="D29" s="99" t="s">
        <v>107</v>
      </c>
      <c r="E29" s="96" t="s">
        <v>84</v>
      </c>
      <c r="F29" s="97">
        <v>469</v>
      </c>
      <c r="G29" s="98">
        <v>11115</v>
      </c>
      <c r="H29" s="98">
        <f t="shared" si="21"/>
        <v>5212935</v>
      </c>
      <c r="I29" s="191">
        <v>10942</v>
      </c>
      <c r="J29" s="224">
        <f t="shared" si="22"/>
        <v>5131798</v>
      </c>
      <c r="K29" s="225" t="str">
        <f t="shared" si="0"/>
        <v>VÁLIDA</v>
      </c>
      <c r="L29" s="191">
        <v>10993</v>
      </c>
      <c r="M29" s="224">
        <f t="shared" si="23"/>
        <v>5155717</v>
      </c>
      <c r="N29" s="225" t="str">
        <f t="shared" si="1"/>
        <v>VÁLIDA</v>
      </c>
      <c r="O29" s="191">
        <v>11115</v>
      </c>
      <c r="P29" s="224">
        <f t="shared" si="24"/>
        <v>5212935</v>
      </c>
      <c r="Q29" s="225" t="str">
        <f t="shared" si="2"/>
        <v>VÁLIDA</v>
      </c>
      <c r="R29" s="191">
        <v>10952</v>
      </c>
      <c r="S29" s="224">
        <f t="shared" si="25"/>
        <v>5136488</v>
      </c>
      <c r="T29" s="225" t="str">
        <f t="shared" si="3"/>
        <v>VÁLIDA</v>
      </c>
      <c r="U29" s="191">
        <v>11115</v>
      </c>
      <c r="V29" s="224">
        <f t="shared" si="26"/>
        <v>5212935</v>
      </c>
      <c r="W29" s="225" t="str">
        <f t="shared" si="4"/>
        <v>VÁLIDA</v>
      </c>
      <c r="X29" s="191">
        <v>10937</v>
      </c>
      <c r="Y29" s="224">
        <f t="shared" si="27"/>
        <v>5129453</v>
      </c>
      <c r="Z29" s="225" t="str">
        <f t="shared" si="5"/>
        <v>VÁLIDA</v>
      </c>
      <c r="AA29" s="191">
        <v>10993</v>
      </c>
      <c r="AB29" s="224">
        <f t="shared" si="28"/>
        <v>5155717</v>
      </c>
      <c r="AC29" s="225" t="str">
        <f t="shared" si="6"/>
        <v>VÁLIDA</v>
      </c>
      <c r="AD29" s="191">
        <v>11115</v>
      </c>
      <c r="AE29" s="224">
        <f t="shared" si="29"/>
        <v>5212935</v>
      </c>
      <c r="AF29" s="225" t="str">
        <f t="shared" si="7"/>
        <v>VÁLIDA</v>
      </c>
      <c r="AH29" s="224">
        <f t="shared" si="30"/>
        <v>0</v>
      </c>
      <c r="AI29" s="225" t="str">
        <f t="shared" si="8"/>
        <v>VÁLIDA</v>
      </c>
      <c r="AJ29" s="224">
        <v>10337</v>
      </c>
      <c r="AK29" s="224">
        <f t="shared" si="31"/>
        <v>4848053</v>
      </c>
      <c r="AL29" s="225" t="str">
        <f t="shared" si="9"/>
        <v>VÁLIDA</v>
      </c>
      <c r="AM29" s="224">
        <v>11087</v>
      </c>
      <c r="AN29" s="224">
        <f t="shared" si="32"/>
        <v>5199803</v>
      </c>
      <c r="AO29" s="225" t="str">
        <f t="shared" si="10"/>
        <v>VÁLIDA</v>
      </c>
      <c r="AP29" s="224">
        <v>11115</v>
      </c>
      <c r="AQ29" s="224">
        <f t="shared" si="33"/>
        <v>5212935</v>
      </c>
      <c r="AR29" s="225" t="str">
        <f t="shared" si="11"/>
        <v>VÁLIDA</v>
      </c>
      <c r="AS29" s="224">
        <v>10900</v>
      </c>
      <c r="AT29" s="224">
        <f t="shared" si="34"/>
        <v>5112100</v>
      </c>
      <c r="AU29" s="225" t="str">
        <f t="shared" si="12"/>
        <v>VÁLIDA</v>
      </c>
      <c r="AV29" s="224">
        <v>14769</v>
      </c>
      <c r="AW29" s="224">
        <f t="shared" si="35"/>
        <v>6926661</v>
      </c>
      <c r="AX29" s="225" t="str">
        <f t="shared" si="13"/>
        <v>NO VÁLIDA</v>
      </c>
      <c r="AY29" s="224">
        <v>11115</v>
      </c>
      <c r="AZ29" s="224">
        <f t="shared" si="36"/>
        <v>5212935</v>
      </c>
      <c r="BA29" s="225" t="str">
        <f t="shared" si="14"/>
        <v>VÁLIDA</v>
      </c>
      <c r="BB29" s="224">
        <v>10658.14622379</v>
      </c>
      <c r="BC29" s="224">
        <f t="shared" si="37"/>
        <v>4998670.5789575102</v>
      </c>
      <c r="BD29" s="225" t="str">
        <f t="shared" si="15"/>
        <v>VÁLIDA</v>
      </c>
      <c r="BE29" s="224">
        <v>10875</v>
      </c>
      <c r="BF29" s="224">
        <f t="shared" si="38"/>
        <v>5100375</v>
      </c>
      <c r="BG29" s="225" t="str">
        <f t="shared" si="16"/>
        <v>VÁLIDA</v>
      </c>
      <c r="BH29" s="224">
        <v>11003.85</v>
      </c>
      <c r="BI29" s="224">
        <f t="shared" si="39"/>
        <v>5160805.6500000004</v>
      </c>
      <c r="BJ29" s="225" t="str">
        <f t="shared" si="17"/>
        <v>VÁLIDA</v>
      </c>
      <c r="BK29" s="224">
        <v>11026</v>
      </c>
      <c r="BL29" s="224">
        <f t="shared" si="40"/>
        <v>5171194</v>
      </c>
      <c r="BM29" s="225" t="str">
        <f t="shared" si="18"/>
        <v>VÁLIDA</v>
      </c>
      <c r="BN29" s="224">
        <v>10916</v>
      </c>
      <c r="BO29" s="224">
        <f t="shared" si="41"/>
        <v>5119604</v>
      </c>
      <c r="BP29" s="225" t="str">
        <f t="shared" si="19"/>
        <v>VÁLIDA</v>
      </c>
    </row>
    <row r="30" spans="2:68" s="167" customFormat="1" ht="35.25" customHeight="1" x14ac:dyDescent="0.2">
      <c r="B30" s="93">
        <v>0</v>
      </c>
      <c r="C30" s="94">
        <f t="shared" si="20"/>
        <v>1.1500000000000001</v>
      </c>
      <c r="D30" s="99" t="s">
        <v>108</v>
      </c>
      <c r="E30" s="96" t="s">
        <v>84</v>
      </c>
      <c r="F30" s="97">
        <v>9</v>
      </c>
      <c r="G30" s="98">
        <v>97837</v>
      </c>
      <c r="H30" s="98">
        <f t="shared" si="21"/>
        <v>880533</v>
      </c>
      <c r="I30" s="191">
        <v>96313</v>
      </c>
      <c r="J30" s="224">
        <f t="shared" si="22"/>
        <v>866817</v>
      </c>
      <c r="K30" s="225" t="str">
        <f t="shared" si="0"/>
        <v>VÁLIDA</v>
      </c>
      <c r="L30" s="191">
        <v>96761</v>
      </c>
      <c r="M30" s="224">
        <f t="shared" si="23"/>
        <v>870849</v>
      </c>
      <c r="N30" s="225" t="str">
        <f t="shared" si="1"/>
        <v>VÁLIDA</v>
      </c>
      <c r="O30" s="191">
        <v>97837</v>
      </c>
      <c r="P30" s="224">
        <f t="shared" si="24"/>
        <v>880533</v>
      </c>
      <c r="Q30" s="225" t="str">
        <f t="shared" si="2"/>
        <v>VÁLIDA</v>
      </c>
      <c r="R30" s="191">
        <v>96399</v>
      </c>
      <c r="S30" s="224">
        <f t="shared" si="25"/>
        <v>867591</v>
      </c>
      <c r="T30" s="225" t="str">
        <f t="shared" si="3"/>
        <v>VÁLIDA</v>
      </c>
      <c r="U30" s="191">
        <v>97837</v>
      </c>
      <c r="V30" s="224">
        <f t="shared" si="26"/>
        <v>880533</v>
      </c>
      <c r="W30" s="225" t="str">
        <f t="shared" si="4"/>
        <v>VÁLIDA</v>
      </c>
      <c r="X30" s="191">
        <v>96271</v>
      </c>
      <c r="Y30" s="224">
        <f t="shared" si="27"/>
        <v>866439</v>
      </c>
      <c r="Z30" s="225" t="str">
        <f t="shared" si="5"/>
        <v>VÁLIDA</v>
      </c>
      <c r="AA30" s="191">
        <v>96761</v>
      </c>
      <c r="AB30" s="224">
        <f t="shared" si="28"/>
        <v>870849</v>
      </c>
      <c r="AC30" s="225" t="str">
        <f t="shared" si="6"/>
        <v>VÁLIDA</v>
      </c>
      <c r="AD30" s="191">
        <v>97837</v>
      </c>
      <c r="AE30" s="224">
        <f t="shared" si="29"/>
        <v>880533</v>
      </c>
      <c r="AF30" s="225" t="str">
        <f t="shared" si="7"/>
        <v>VÁLIDA</v>
      </c>
      <c r="AH30" s="224">
        <f t="shared" si="30"/>
        <v>0</v>
      </c>
      <c r="AI30" s="225" t="str">
        <f t="shared" si="8"/>
        <v>VÁLIDA</v>
      </c>
      <c r="AJ30" s="224">
        <v>90988</v>
      </c>
      <c r="AK30" s="224">
        <f t="shared" si="31"/>
        <v>818892</v>
      </c>
      <c r="AL30" s="225" t="str">
        <f t="shared" si="9"/>
        <v>VÁLIDA</v>
      </c>
      <c r="AM30" s="224">
        <v>97592</v>
      </c>
      <c r="AN30" s="224">
        <f t="shared" si="32"/>
        <v>878328</v>
      </c>
      <c r="AO30" s="225" t="str">
        <f t="shared" si="10"/>
        <v>VÁLIDA</v>
      </c>
      <c r="AP30" s="224">
        <v>97837</v>
      </c>
      <c r="AQ30" s="224">
        <f t="shared" si="33"/>
        <v>880533</v>
      </c>
      <c r="AR30" s="225" t="str">
        <f t="shared" si="11"/>
        <v>VÁLIDA</v>
      </c>
      <c r="AS30" s="224">
        <v>96000</v>
      </c>
      <c r="AT30" s="224">
        <f t="shared" si="34"/>
        <v>864000</v>
      </c>
      <c r="AU30" s="225" t="str">
        <f t="shared" si="12"/>
        <v>VÁLIDA</v>
      </c>
      <c r="AV30" s="224">
        <v>130006</v>
      </c>
      <c r="AW30" s="224">
        <f t="shared" si="35"/>
        <v>1170054</v>
      </c>
      <c r="AX30" s="225" t="str">
        <f t="shared" si="13"/>
        <v>NO VÁLIDA</v>
      </c>
      <c r="AY30" s="224">
        <v>97837</v>
      </c>
      <c r="AZ30" s="224">
        <f t="shared" si="36"/>
        <v>880533</v>
      </c>
      <c r="BA30" s="225" t="str">
        <f t="shared" si="14"/>
        <v>VÁLIDA</v>
      </c>
      <c r="BB30" s="224">
        <v>93815.659208002005</v>
      </c>
      <c r="BC30" s="224">
        <f t="shared" si="37"/>
        <v>844340.93287201808</v>
      </c>
      <c r="BD30" s="225" t="str">
        <f t="shared" si="15"/>
        <v>VÁLIDA</v>
      </c>
      <c r="BE30" s="224">
        <v>95724</v>
      </c>
      <c r="BF30" s="224">
        <f t="shared" si="38"/>
        <v>861516</v>
      </c>
      <c r="BG30" s="225" t="str">
        <f t="shared" si="16"/>
        <v>VÁLIDA</v>
      </c>
      <c r="BH30" s="224">
        <v>96858.63</v>
      </c>
      <c r="BI30" s="224">
        <f t="shared" si="39"/>
        <v>871727.67</v>
      </c>
      <c r="BJ30" s="225" t="str">
        <f t="shared" si="17"/>
        <v>VÁLIDA</v>
      </c>
      <c r="BK30" s="224">
        <v>97054</v>
      </c>
      <c r="BL30" s="224">
        <f t="shared" si="40"/>
        <v>873486</v>
      </c>
      <c r="BM30" s="225" t="str">
        <f t="shared" si="18"/>
        <v>VÁLIDA</v>
      </c>
      <c r="BN30" s="224">
        <v>96089</v>
      </c>
      <c r="BO30" s="224">
        <f t="shared" si="41"/>
        <v>864801</v>
      </c>
      <c r="BP30" s="225" t="str">
        <f t="shared" si="19"/>
        <v>VÁLIDA</v>
      </c>
    </row>
    <row r="31" spans="2:68" s="167" customFormat="1" ht="41.25" customHeight="1" x14ac:dyDescent="0.2">
      <c r="B31" s="93">
        <v>5642</v>
      </c>
      <c r="C31" s="94">
        <f t="shared" si="20"/>
        <v>1.1600000000000001</v>
      </c>
      <c r="D31" s="95" t="str">
        <f>VLOOKUP(B31,[2]ITEMS!$B$4:$E$2466,2,FALSE)</f>
        <v>PAÑETE LISO O RÚSTICO 1:4 PARA MUROS. LAVADO O RÚSTICO.  (Incluye suministro e instalación)</v>
      </c>
      <c r="E31" s="96" t="str">
        <f>VLOOKUP(B31,[2]ITEMS!$B$4:$E$2466,3,FALSE)</f>
        <v>M2</v>
      </c>
      <c r="F31" s="97">
        <v>100</v>
      </c>
      <c r="G31" s="98">
        <f>VLOOKUP(B31,[2]ITEMS!$B$4:$E$2466,4,FALSE)</f>
        <v>13384</v>
      </c>
      <c r="H31" s="98">
        <f t="shared" si="21"/>
        <v>1338400</v>
      </c>
      <c r="I31" s="191">
        <v>13175</v>
      </c>
      <c r="J31" s="224">
        <f t="shared" si="22"/>
        <v>1317500</v>
      </c>
      <c r="K31" s="225" t="str">
        <f t="shared" si="0"/>
        <v>VÁLIDA</v>
      </c>
      <c r="L31" s="191">
        <v>13237</v>
      </c>
      <c r="M31" s="224">
        <f t="shared" si="23"/>
        <v>1323700</v>
      </c>
      <c r="N31" s="225" t="str">
        <f t="shared" si="1"/>
        <v>VÁLIDA</v>
      </c>
      <c r="O31" s="191">
        <v>13384</v>
      </c>
      <c r="P31" s="224">
        <f t="shared" si="24"/>
        <v>1338400</v>
      </c>
      <c r="Q31" s="225" t="str">
        <f t="shared" si="2"/>
        <v>VÁLIDA</v>
      </c>
      <c r="R31" s="191">
        <v>13187</v>
      </c>
      <c r="S31" s="224">
        <f t="shared" si="25"/>
        <v>1318700</v>
      </c>
      <c r="T31" s="225" t="str">
        <f t="shared" si="3"/>
        <v>VÁLIDA</v>
      </c>
      <c r="U31" s="191">
        <v>13384</v>
      </c>
      <c r="V31" s="224">
        <f t="shared" si="26"/>
        <v>1338400</v>
      </c>
      <c r="W31" s="225" t="str">
        <f t="shared" si="4"/>
        <v>VÁLIDA</v>
      </c>
      <c r="X31" s="191">
        <v>13169</v>
      </c>
      <c r="Y31" s="224">
        <f t="shared" si="27"/>
        <v>1316900</v>
      </c>
      <c r="Z31" s="225" t="str">
        <f t="shared" si="5"/>
        <v>VÁLIDA</v>
      </c>
      <c r="AA31" s="191">
        <v>13237</v>
      </c>
      <c r="AB31" s="224">
        <f t="shared" si="28"/>
        <v>1323700</v>
      </c>
      <c r="AC31" s="225" t="str">
        <f t="shared" si="6"/>
        <v>VÁLIDA</v>
      </c>
      <c r="AD31" s="191">
        <v>13384</v>
      </c>
      <c r="AE31" s="224">
        <f t="shared" si="29"/>
        <v>1338400</v>
      </c>
      <c r="AF31" s="225" t="str">
        <f t="shared" si="7"/>
        <v>VÁLIDA</v>
      </c>
      <c r="AH31" s="224">
        <f t="shared" si="30"/>
        <v>0</v>
      </c>
      <c r="AI31" s="225" t="str">
        <f t="shared" si="8"/>
        <v>VÁLIDA</v>
      </c>
      <c r="AJ31" s="224">
        <v>12447</v>
      </c>
      <c r="AK31" s="224">
        <f t="shared" si="31"/>
        <v>1244700</v>
      </c>
      <c r="AL31" s="225" t="str">
        <f t="shared" si="9"/>
        <v>VÁLIDA</v>
      </c>
      <c r="AM31" s="224">
        <v>13351</v>
      </c>
      <c r="AN31" s="224">
        <f t="shared" si="32"/>
        <v>1335100</v>
      </c>
      <c r="AO31" s="225" t="str">
        <f t="shared" si="10"/>
        <v>VÁLIDA</v>
      </c>
      <c r="AP31" s="224">
        <v>13384</v>
      </c>
      <c r="AQ31" s="224">
        <f t="shared" si="33"/>
        <v>1338400</v>
      </c>
      <c r="AR31" s="225" t="str">
        <f t="shared" si="11"/>
        <v>VÁLIDA</v>
      </c>
      <c r="AS31" s="224">
        <v>13000</v>
      </c>
      <c r="AT31" s="224">
        <f t="shared" si="34"/>
        <v>1300000</v>
      </c>
      <c r="AU31" s="225" t="str">
        <f t="shared" si="12"/>
        <v>VÁLIDA</v>
      </c>
      <c r="AV31" s="224">
        <v>17785</v>
      </c>
      <c r="AW31" s="224">
        <f t="shared" si="35"/>
        <v>1778500</v>
      </c>
      <c r="AX31" s="225" t="str">
        <f t="shared" si="13"/>
        <v>NO VÁLIDA</v>
      </c>
      <c r="AY31" s="224">
        <v>13384</v>
      </c>
      <c r="AZ31" s="224">
        <f t="shared" si="36"/>
        <v>1338400</v>
      </c>
      <c r="BA31" s="225" t="str">
        <f t="shared" si="14"/>
        <v>VÁLIDA</v>
      </c>
      <c r="BB31" s="224">
        <v>12833.884755663999</v>
      </c>
      <c r="BC31" s="224">
        <f t="shared" si="37"/>
        <v>1283388.4755664</v>
      </c>
      <c r="BD31" s="225" t="str">
        <f t="shared" si="15"/>
        <v>VÁLIDA</v>
      </c>
      <c r="BE31" s="224">
        <v>13095</v>
      </c>
      <c r="BF31" s="224">
        <f t="shared" si="38"/>
        <v>1309500</v>
      </c>
      <c r="BG31" s="225" t="str">
        <f t="shared" si="16"/>
        <v>VÁLIDA</v>
      </c>
      <c r="BH31" s="224">
        <v>13250.16</v>
      </c>
      <c r="BI31" s="224">
        <f t="shared" si="39"/>
        <v>1325016</v>
      </c>
      <c r="BJ31" s="225" t="str">
        <f t="shared" si="17"/>
        <v>VÁLIDA</v>
      </c>
      <c r="BK31" s="224">
        <v>13277</v>
      </c>
      <c r="BL31" s="224">
        <f t="shared" si="40"/>
        <v>1327700</v>
      </c>
      <c r="BM31" s="225" t="str">
        <f t="shared" si="18"/>
        <v>VÁLIDA</v>
      </c>
      <c r="BN31" s="224">
        <v>13144</v>
      </c>
      <c r="BO31" s="224">
        <f t="shared" si="41"/>
        <v>1314400</v>
      </c>
      <c r="BP31" s="225" t="str">
        <f t="shared" si="19"/>
        <v>VÁLIDA</v>
      </c>
    </row>
    <row r="32" spans="2:68" s="167" customFormat="1" ht="36" customHeight="1" thickBot="1" x14ac:dyDescent="0.25">
      <c r="B32" s="93">
        <v>3017</v>
      </c>
      <c r="C32" s="94">
        <f t="shared" si="20"/>
        <v>1.1700000000000002</v>
      </c>
      <c r="D32" s="95" t="str">
        <f>VLOOKUP(B32,[2]ITEMS!$B$4:$E$2466,2,FALSE)</f>
        <v>TRANSPORTE Y DISPOSICIÓN FINAL DE ESCOMBROS EN SITIO AUTORIZADO (distancia de transporte 21 Km). A distancia mayor del acarreo libre (90 m) en sitio autorizado por la entidad Ambiental competente.</v>
      </c>
      <c r="E32" s="96" t="str">
        <f>VLOOKUP(B32,[2]ITEMS!$B$4:$E$2466,3,FALSE)</f>
        <v>M3</v>
      </c>
      <c r="F32" s="97">
        <v>1345</v>
      </c>
      <c r="G32" s="98">
        <f>VLOOKUP(B32,[2]ITEMS!$B$4:$E$2466,4,FALSE)</f>
        <v>24083</v>
      </c>
      <c r="H32" s="98">
        <f t="shared" si="21"/>
        <v>32391635</v>
      </c>
      <c r="I32" s="191">
        <v>23708</v>
      </c>
      <c r="J32" s="224">
        <f t="shared" si="22"/>
        <v>31887260</v>
      </c>
      <c r="K32" s="225" t="str">
        <f t="shared" si="0"/>
        <v>VÁLIDA</v>
      </c>
      <c r="L32" s="191">
        <v>23818</v>
      </c>
      <c r="M32" s="224">
        <f t="shared" si="23"/>
        <v>32035210</v>
      </c>
      <c r="N32" s="225" t="str">
        <f t="shared" si="1"/>
        <v>VÁLIDA</v>
      </c>
      <c r="O32" s="191">
        <v>24083</v>
      </c>
      <c r="P32" s="224">
        <f t="shared" si="24"/>
        <v>32391635</v>
      </c>
      <c r="Q32" s="225" t="str">
        <f t="shared" si="2"/>
        <v>VÁLIDA</v>
      </c>
      <c r="R32" s="191">
        <v>23729</v>
      </c>
      <c r="S32" s="224">
        <f t="shared" si="25"/>
        <v>31915505</v>
      </c>
      <c r="T32" s="225" t="str">
        <f t="shared" si="3"/>
        <v>VÁLIDA</v>
      </c>
      <c r="U32" s="191">
        <v>24083</v>
      </c>
      <c r="V32" s="224">
        <f t="shared" si="26"/>
        <v>32391635</v>
      </c>
      <c r="W32" s="225" t="str">
        <f t="shared" si="4"/>
        <v>VÁLIDA</v>
      </c>
      <c r="X32" s="191">
        <v>23697</v>
      </c>
      <c r="Y32" s="224">
        <f t="shared" si="27"/>
        <v>31872465</v>
      </c>
      <c r="Z32" s="225" t="str">
        <f t="shared" si="5"/>
        <v>VÁLIDA</v>
      </c>
      <c r="AA32" s="191">
        <v>23818</v>
      </c>
      <c r="AB32" s="224">
        <f t="shared" si="28"/>
        <v>32035210</v>
      </c>
      <c r="AC32" s="225" t="str">
        <f t="shared" si="6"/>
        <v>VÁLIDA</v>
      </c>
      <c r="AD32" s="191">
        <v>24024</v>
      </c>
      <c r="AE32" s="224">
        <f t="shared" si="29"/>
        <v>32312280</v>
      </c>
      <c r="AF32" s="225" t="str">
        <f t="shared" si="7"/>
        <v>VÁLIDA</v>
      </c>
      <c r="AH32" s="224">
        <f t="shared" si="30"/>
        <v>0</v>
      </c>
      <c r="AI32" s="225" t="str">
        <f t="shared" si="8"/>
        <v>VÁLIDA</v>
      </c>
      <c r="AJ32" s="224">
        <v>22397</v>
      </c>
      <c r="AK32" s="224">
        <f t="shared" si="31"/>
        <v>30123965</v>
      </c>
      <c r="AL32" s="225" t="str">
        <f t="shared" si="9"/>
        <v>VÁLIDA</v>
      </c>
      <c r="AM32" s="224">
        <v>24023</v>
      </c>
      <c r="AN32" s="224">
        <f t="shared" si="32"/>
        <v>32310935</v>
      </c>
      <c r="AO32" s="225" t="str">
        <f t="shared" si="10"/>
        <v>VÁLIDA</v>
      </c>
      <c r="AP32" s="224">
        <v>24083</v>
      </c>
      <c r="AQ32" s="224">
        <f t="shared" si="33"/>
        <v>32391635</v>
      </c>
      <c r="AR32" s="225" t="str">
        <f t="shared" si="11"/>
        <v>VÁLIDA</v>
      </c>
      <c r="AS32" s="224">
        <v>23500</v>
      </c>
      <c r="AT32" s="224">
        <f t="shared" si="34"/>
        <v>31607500</v>
      </c>
      <c r="AU32" s="225" t="str">
        <f t="shared" si="12"/>
        <v>VÁLIDA</v>
      </c>
      <c r="AV32" s="224">
        <v>32002</v>
      </c>
      <c r="AW32" s="224">
        <f t="shared" si="35"/>
        <v>43042690</v>
      </c>
      <c r="AX32" s="225" t="str">
        <f t="shared" si="13"/>
        <v>NO VÁLIDA</v>
      </c>
      <c r="AY32" s="224">
        <v>24083</v>
      </c>
      <c r="AZ32" s="224">
        <f t="shared" si="36"/>
        <v>32391635</v>
      </c>
      <c r="BA32" s="225" t="str">
        <f t="shared" si="14"/>
        <v>VÁLIDA</v>
      </c>
      <c r="BB32" s="224">
        <v>23093.129600318</v>
      </c>
      <c r="BC32" s="224">
        <f t="shared" si="37"/>
        <v>31060259.312427711</v>
      </c>
      <c r="BD32" s="225" t="str">
        <f t="shared" si="15"/>
        <v>VÁLIDA</v>
      </c>
      <c r="BE32" s="224">
        <v>23563</v>
      </c>
      <c r="BF32" s="224">
        <f t="shared" si="38"/>
        <v>31692235</v>
      </c>
      <c r="BG32" s="225" t="str">
        <f t="shared" si="16"/>
        <v>VÁLIDA</v>
      </c>
      <c r="BH32" s="224">
        <v>23842.17</v>
      </c>
      <c r="BI32" s="224">
        <f t="shared" si="39"/>
        <v>32067718.649999999</v>
      </c>
      <c r="BJ32" s="225" t="str">
        <f t="shared" si="17"/>
        <v>VÁLIDA</v>
      </c>
      <c r="BK32" s="224">
        <v>23890</v>
      </c>
      <c r="BL32" s="224">
        <f t="shared" si="40"/>
        <v>32132050</v>
      </c>
      <c r="BM32" s="225" t="str">
        <f t="shared" si="18"/>
        <v>VÁLIDA</v>
      </c>
      <c r="BN32" s="224">
        <v>23652</v>
      </c>
      <c r="BO32" s="224">
        <f t="shared" si="41"/>
        <v>31811940</v>
      </c>
      <c r="BP32" s="225" t="str">
        <f t="shared" si="19"/>
        <v>VÁLIDA</v>
      </c>
    </row>
    <row r="33" spans="2:68" s="167" customFormat="1" ht="27" customHeight="1" thickBot="1" x14ac:dyDescent="0.3">
      <c r="B33" s="78"/>
      <c r="C33" s="94"/>
      <c r="D33" s="100" t="s">
        <v>109</v>
      </c>
      <c r="E33" s="101"/>
      <c r="F33" s="82"/>
      <c r="G33" s="102"/>
      <c r="H33" s="83">
        <f>SUM(H34:H39)</f>
        <v>31013088</v>
      </c>
      <c r="I33" s="226"/>
      <c r="J33" s="192">
        <f>SUM(J34:J39)</f>
        <v>30528830</v>
      </c>
      <c r="K33" s="225" t="str">
        <f t="shared" si="0"/>
        <v>VÁLIDA</v>
      </c>
      <c r="L33" s="226"/>
      <c r="M33" s="192">
        <f>SUM(M34:M39)</f>
        <v>30672720</v>
      </c>
      <c r="N33" s="225" t="str">
        <f t="shared" si="1"/>
        <v>VÁLIDA</v>
      </c>
      <c r="O33" s="226"/>
      <c r="P33" s="192">
        <f>SUM(P34:P39)</f>
        <v>31013088</v>
      </c>
      <c r="Q33" s="225" t="str">
        <f t="shared" si="2"/>
        <v>VÁLIDA</v>
      </c>
      <c r="R33" s="226"/>
      <c r="S33" s="192">
        <f>SUM(S34:S39)</f>
        <v>30556286</v>
      </c>
      <c r="T33" s="225" t="str">
        <f t="shared" si="3"/>
        <v>VÁLIDA</v>
      </c>
      <c r="U33" s="226"/>
      <c r="V33" s="192">
        <f>SUM(V34:V39)</f>
        <v>31013088</v>
      </c>
      <c r="W33" s="225" t="str">
        <f t="shared" si="4"/>
        <v>VÁLIDA</v>
      </c>
      <c r="X33" s="226"/>
      <c r="Y33" s="192">
        <f>SUM(Y34:Y39)</f>
        <v>30516666</v>
      </c>
      <c r="Z33" s="225" t="str">
        <f t="shared" si="5"/>
        <v>VÁLIDA</v>
      </c>
      <c r="AA33" s="226"/>
      <c r="AB33" s="192">
        <f>SUM(AB34:AB39)</f>
        <v>30672720</v>
      </c>
      <c r="AC33" s="225" t="str">
        <f t="shared" si="6"/>
        <v>VÁLIDA</v>
      </c>
      <c r="AD33" s="226"/>
      <c r="AE33" s="192">
        <f>SUM(AE34:AE39)</f>
        <v>31013088</v>
      </c>
      <c r="AF33" s="225" t="str">
        <f t="shared" si="7"/>
        <v>VÁLIDA</v>
      </c>
      <c r="AH33" s="192">
        <f>SUM(AH34:AH39)</f>
        <v>0</v>
      </c>
      <c r="AI33" s="225" t="str">
        <f t="shared" si="8"/>
        <v>VÁLIDA</v>
      </c>
      <c r="AJ33" s="192"/>
      <c r="AK33" s="192">
        <f>SUM(AK34:AK39)</f>
        <v>28841751</v>
      </c>
      <c r="AL33" s="225" t="str">
        <f t="shared" si="9"/>
        <v>VÁLIDA</v>
      </c>
      <c r="AM33" s="192"/>
      <c r="AN33" s="192">
        <f>SUM(AN34:AN39)</f>
        <v>30935252</v>
      </c>
      <c r="AO33" s="225" t="str">
        <f t="shared" si="10"/>
        <v>VÁLIDA</v>
      </c>
      <c r="AP33" s="192"/>
      <c r="AQ33" s="192">
        <f>SUM(AQ34:AQ39)</f>
        <v>31013088</v>
      </c>
      <c r="AR33" s="225" t="str">
        <f t="shared" si="11"/>
        <v>VÁLIDA</v>
      </c>
      <c r="AS33" s="192"/>
      <c r="AT33" s="192">
        <f>SUM(AT34:AT39)</f>
        <v>30421200</v>
      </c>
      <c r="AU33" s="225" t="str">
        <f t="shared" si="12"/>
        <v>VÁLIDA</v>
      </c>
      <c r="AV33" s="192"/>
      <c r="AW33" s="192">
        <f>SUM(AW34:AW39)</f>
        <v>41209641.199999996</v>
      </c>
      <c r="AX33" s="225" t="str">
        <f t="shared" si="13"/>
        <v>NO VÁLIDA</v>
      </c>
      <c r="AY33" s="192"/>
      <c r="AZ33" s="192">
        <f>SUM(AZ34:AZ39)</f>
        <v>31013088</v>
      </c>
      <c r="BA33" s="225" t="str">
        <f t="shared" si="14"/>
        <v>VÁLIDA</v>
      </c>
      <c r="BB33" s="192"/>
      <c r="BC33" s="192">
        <f>SUM(BC34:BC39)</f>
        <v>29738373.977082048</v>
      </c>
      <c r="BD33" s="225" t="str">
        <f t="shared" si="15"/>
        <v>VÁLIDA</v>
      </c>
      <c r="BE33" s="192"/>
      <c r="BF33" s="192">
        <f>SUM(BF34:BF39)</f>
        <v>30343671</v>
      </c>
      <c r="BG33" s="225" t="str">
        <f t="shared" si="16"/>
        <v>VÁLIDA</v>
      </c>
      <c r="BH33" s="192"/>
      <c r="BI33" s="192">
        <f>SUM(BI34:BI39)</f>
        <v>30702957.120000001</v>
      </c>
      <c r="BJ33" s="225" t="str">
        <f t="shared" si="17"/>
        <v>VÁLIDA</v>
      </c>
      <c r="BK33" s="192"/>
      <c r="BL33" s="192">
        <f>SUM(BL34:BL39)</f>
        <v>30765054</v>
      </c>
      <c r="BM33" s="225" t="str">
        <f t="shared" si="18"/>
        <v>VÁLIDA</v>
      </c>
      <c r="BN33" s="192"/>
      <c r="BO33" s="192">
        <f>SUM(BO34:BO39)</f>
        <v>30457306</v>
      </c>
      <c r="BP33" s="225" t="str">
        <f t="shared" si="19"/>
        <v>VÁLIDA</v>
      </c>
    </row>
    <row r="34" spans="2:68" s="167" customFormat="1" ht="27" customHeight="1" x14ac:dyDescent="0.2">
      <c r="B34" s="103">
        <v>3024</v>
      </c>
      <c r="C34" s="94">
        <f>C32+0.01</f>
        <v>1.1800000000000002</v>
      </c>
      <c r="D34" s="95" t="str">
        <f>VLOOKUP(B34,[2]ITEMS!$B$4:$E$2466,2,FALSE)</f>
        <v>RELLENO PARA REDES EN ARENA DE PEÑA (Suministro, Extendido, Humedecimiento y Compactación)</v>
      </c>
      <c r="E34" s="96" t="str">
        <f>VLOOKUP(B34,[2]ITEMS!$B$4:$E$2466,3,FALSE)</f>
        <v>M3</v>
      </c>
      <c r="F34" s="97">
        <v>127</v>
      </c>
      <c r="G34" s="98">
        <f>VLOOKUP(B34,[2]ITEMS!$B$4:$E$2466,4,FALSE)</f>
        <v>91358</v>
      </c>
      <c r="H34" s="98">
        <f t="shared" si="21"/>
        <v>11602466</v>
      </c>
      <c r="I34" s="191">
        <v>89934</v>
      </c>
      <c r="J34" s="224">
        <f t="shared" si="22"/>
        <v>11421618</v>
      </c>
      <c r="K34" s="225" t="str">
        <f t="shared" si="0"/>
        <v>VÁLIDA</v>
      </c>
      <c r="L34" s="191">
        <v>90353</v>
      </c>
      <c r="M34" s="224">
        <f t="shared" si="23"/>
        <v>11474831</v>
      </c>
      <c r="N34" s="225" t="str">
        <f t="shared" si="1"/>
        <v>VÁLIDA</v>
      </c>
      <c r="O34" s="191">
        <v>91358</v>
      </c>
      <c r="P34" s="224">
        <f t="shared" si="24"/>
        <v>11602466</v>
      </c>
      <c r="Q34" s="225" t="str">
        <f t="shared" si="2"/>
        <v>VÁLIDA</v>
      </c>
      <c r="R34" s="191">
        <v>90015</v>
      </c>
      <c r="S34" s="224">
        <f t="shared" si="25"/>
        <v>11431905</v>
      </c>
      <c r="T34" s="225" t="str">
        <f t="shared" si="3"/>
        <v>VÁLIDA</v>
      </c>
      <c r="U34" s="191">
        <v>91358</v>
      </c>
      <c r="V34" s="224">
        <f t="shared" si="26"/>
        <v>11602466</v>
      </c>
      <c r="W34" s="225" t="str">
        <f t="shared" si="4"/>
        <v>VÁLIDA</v>
      </c>
      <c r="X34" s="191">
        <v>89896</v>
      </c>
      <c r="Y34" s="224">
        <f t="shared" si="27"/>
        <v>11416792</v>
      </c>
      <c r="Z34" s="225" t="str">
        <f t="shared" si="5"/>
        <v>VÁLIDA</v>
      </c>
      <c r="AA34" s="191">
        <v>90353</v>
      </c>
      <c r="AB34" s="224">
        <f t="shared" si="28"/>
        <v>11474831</v>
      </c>
      <c r="AC34" s="225" t="str">
        <f t="shared" si="6"/>
        <v>VÁLIDA</v>
      </c>
      <c r="AD34" s="191">
        <v>91358</v>
      </c>
      <c r="AE34" s="224">
        <f t="shared" si="29"/>
        <v>11602466</v>
      </c>
      <c r="AF34" s="225" t="str">
        <f t="shared" si="7"/>
        <v>VÁLIDA</v>
      </c>
      <c r="AH34" s="224">
        <f t="shared" si="30"/>
        <v>0</v>
      </c>
      <c r="AI34" s="225" t="str">
        <f t="shared" si="8"/>
        <v>VÁLIDA</v>
      </c>
      <c r="AJ34" s="224">
        <v>84963</v>
      </c>
      <c r="AK34" s="224">
        <f t="shared" si="31"/>
        <v>10790301</v>
      </c>
      <c r="AL34" s="225" t="str">
        <f t="shared" si="9"/>
        <v>VÁLIDA</v>
      </c>
      <c r="AM34" s="224">
        <v>91130</v>
      </c>
      <c r="AN34" s="224">
        <f t="shared" si="32"/>
        <v>11573510</v>
      </c>
      <c r="AO34" s="225" t="str">
        <f t="shared" si="10"/>
        <v>VÁLIDA</v>
      </c>
      <c r="AP34" s="224">
        <v>91358</v>
      </c>
      <c r="AQ34" s="224">
        <f t="shared" si="33"/>
        <v>11602466</v>
      </c>
      <c r="AR34" s="225" t="str">
        <f t="shared" si="11"/>
        <v>VÁLIDA</v>
      </c>
      <c r="AS34" s="224">
        <v>90000</v>
      </c>
      <c r="AT34" s="224">
        <f t="shared" si="34"/>
        <v>11430000</v>
      </c>
      <c r="AU34" s="225" t="str">
        <f t="shared" si="12"/>
        <v>VÁLIDA</v>
      </c>
      <c r="AV34" s="224">
        <v>121397.4</v>
      </c>
      <c r="AW34" s="224">
        <f t="shared" si="35"/>
        <v>15417469.799999999</v>
      </c>
      <c r="AX34" s="225" t="str">
        <f t="shared" si="13"/>
        <v>NO VÁLIDA</v>
      </c>
      <c r="AY34" s="224">
        <v>91358</v>
      </c>
      <c r="AZ34" s="224">
        <f t="shared" si="36"/>
        <v>11602466</v>
      </c>
      <c r="BA34" s="225" t="str">
        <f t="shared" si="14"/>
        <v>VÁLIDA</v>
      </c>
      <c r="BB34" s="224">
        <v>87602.962007467999</v>
      </c>
      <c r="BC34" s="224">
        <f t="shared" si="37"/>
        <v>11125576.174948435</v>
      </c>
      <c r="BD34" s="225" t="str">
        <f t="shared" si="15"/>
        <v>VÁLIDA</v>
      </c>
      <c r="BE34" s="224">
        <v>89385</v>
      </c>
      <c r="BF34" s="224">
        <f t="shared" si="38"/>
        <v>11351895</v>
      </c>
      <c r="BG34" s="225" t="str">
        <f t="shared" si="16"/>
        <v>VÁLIDA</v>
      </c>
      <c r="BH34" s="224">
        <v>90444.42</v>
      </c>
      <c r="BI34" s="224">
        <f t="shared" si="39"/>
        <v>11486441.34</v>
      </c>
      <c r="BJ34" s="225" t="str">
        <f t="shared" si="17"/>
        <v>VÁLIDA</v>
      </c>
      <c r="BK34" s="224">
        <v>90627</v>
      </c>
      <c r="BL34" s="224">
        <f t="shared" si="40"/>
        <v>11509629</v>
      </c>
      <c r="BM34" s="225" t="str">
        <f t="shared" si="18"/>
        <v>VÁLIDA</v>
      </c>
      <c r="BN34" s="224">
        <v>89726</v>
      </c>
      <c r="BO34" s="224">
        <f t="shared" si="41"/>
        <v>11395202</v>
      </c>
      <c r="BP34" s="225" t="str">
        <f t="shared" si="19"/>
        <v>VÁLIDA</v>
      </c>
    </row>
    <row r="35" spans="2:68" s="167" customFormat="1" ht="25.5" customHeight="1" x14ac:dyDescent="0.2">
      <c r="B35" s="103">
        <v>2307</v>
      </c>
      <c r="C35" s="94">
        <f>C34+0.01</f>
        <v>1.1900000000000002</v>
      </c>
      <c r="D35" s="95" t="s">
        <v>110</v>
      </c>
      <c r="E35" s="96" t="s">
        <v>85</v>
      </c>
      <c r="F35" s="97">
        <v>255</v>
      </c>
      <c r="G35" s="98">
        <v>40401</v>
      </c>
      <c r="H35" s="98">
        <f t="shared" si="21"/>
        <v>10302255</v>
      </c>
      <c r="I35" s="191">
        <v>39771</v>
      </c>
      <c r="J35" s="224">
        <f t="shared" si="22"/>
        <v>10141605</v>
      </c>
      <c r="K35" s="225" t="str">
        <f t="shared" si="0"/>
        <v>VÁLIDA</v>
      </c>
      <c r="L35" s="191">
        <v>39957</v>
      </c>
      <c r="M35" s="224">
        <f t="shared" si="23"/>
        <v>10189035</v>
      </c>
      <c r="N35" s="225" t="str">
        <f t="shared" si="1"/>
        <v>VÁLIDA</v>
      </c>
      <c r="O35" s="191">
        <v>40401</v>
      </c>
      <c r="P35" s="224">
        <f t="shared" si="24"/>
        <v>10302255</v>
      </c>
      <c r="Q35" s="225" t="str">
        <f t="shared" si="2"/>
        <v>VÁLIDA</v>
      </c>
      <c r="R35" s="191">
        <v>39807</v>
      </c>
      <c r="S35" s="224">
        <f t="shared" si="25"/>
        <v>10150785</v>
      </c>
      <c r="T35" s="225" t="str">
        <f t="shared" si="3"/>
        <v>VÁLIDA</v>
      </c>
      <c r="U35" s="191">
        <v>40401</v>
      </c>
      <c r="V35" s="224">
        <f t="shared" si="26"/>
        <v>10302255</v>
      </c>
      <c r="W35" s="225" t="str">
        <f t="shared" si="4"/>
        <v>VÁLIDA</v>
      </c>
      <c r="X35" s="191">
        <v>39754</v>
      </c>
      <c r="Y35" s="224">
        <f t="shared" si="27"/>
        <v>10137270</v>
      </c>
      <c r="Z35" s="225" t="str">
        <f t="shared" si="5"/>
        <v>VÁLIDA</v>
      </c>
      <c r="AA35" s="191">
        <v>39957</v>
      </c>
      <c r="AB35" s="224">
        <f t="shared" si="28"/>
        <v>10189035</v>
      </c>
      <c r="AC35" s="225" t="str">
        <f t="shared" si="6"/>
        <v>VÁLIDA</v>
      </c>
      <c r="AD35" s="191">
        <v>40401</v>
      </c>
      <c r="AE35" s="224">
        <f t="shared" si="29"/>
        <v>10302255</v>
      </c>
      <c r="AF35" s="225" t="str">
        <f t="shared" si="7"/>
        <v>VÁLIDA</v>
      </c>
      <c r="AH35" s="224">
        <f t="shared" si="30"/>
        <v>0</v>
      </c>
      <c r="AI35" s="225" t="str">
        <f t="shared" si="8"/>
        <v>VÁLIDA</v>
      </c>
      <c r="AJ35" s="224">
        <v>37573</v>
      </c>
      <c r="AK35" s="224">
        <f t="shared" si="31"/>
        <v>9581115</v>
      </c>
      <c r="AL35" s="225" t="str">
        <f t="shared" si="9"/>
        <v>VÁLIDA</v>
      </c>
      <c r="AM35" s="224">
        <v>40300</v>
      </c>
      <c r="AN35" s="224">
        <f t="shared" si="32"/>
        <v>10276500</v>
      </c>
      <c r="AO35" s="225" t="str">
        <f t="shared" si="10"/>
        <v>VÁLIDA</v>
      </c>
      <c r="AP35" s="224">
        <v>40401</v>
      </c>
      <c r="AQ35" s="224">
        <f t="shared" si="33"/>
        <v>10302255</v>
      </c>
      <c r="AR35" s="225" t="str">
        <f t="shared" si="11"/>
        <v>VÁLIDA</v>
      </c>
      <c r="AS35" s="224">
        <v>39500</v>
      </c>
      <c r="AT35" s="224">
        <f t="shared" si="34"/>
        <v>10072500</v>
      </c>
      <c r="AU35" s="225" t="str">
        <f t="shared" si="12"/>
        <v>VÁLIDA</v>
      </c>
      <c r="AV35" s="224">
        <v>53685.45</v>
      </c>
      <c r="AW35" s="224">
        <f t="shared" si="35"/>
        <v>13689789.75</v>
      </c>
      <c r="AX35" s="225" t="str">
        <f t="shared" si="13"/>
        <v>NO VÁLIDA</v>
      </c>
      <c r="AY35" s="224">
        <v>40401</v>
      </c>
      <c r="AZ35" s="224">
        <f t="shared" si="36"/>
        <v>10302255</v>
      </c>
      <c r="BA35" s="225" t="str">
        <f t="shared" si="14"/>
        <v>VÁLIDA</v>
      </c>
      <c r="BB35" s="224">
        <v>38740.419755946001</v>
      </c>
      <c r="BC35" s="224">
        <f t="shared" si="37"/>
        <v>9878807.0377662294</v>
      </c>
      <c r="BD35" s="225" t="str">
        <f t="shared" si="15"/>
        <v>VÁLIDA</v>
      </c>
      <c r="BE35" s="224">
        <v>39528</v>
      </c>
      <c r="BF35" s="224">
        <f t="shared" si="38"/>
        <v>10079640</v>
      </c>
      <c r="BG35" s="225" t="str">
        <f t="shared" si="16"/>
        <v>VÁLIDA</v>
      </c>
      <c r="BH35" s="224">
        <v>39996.99</v>
      </c>
      <c r="BI35" s="224">
        <f t="shared" si="39"/>
        <v>10199232.449999999</v>
      </c>
      <c r="BJ35" s="225" t="str">
        <f t="shared" si="17"/>
        <v>VÁLIDA</v>
      </c>
      <c r="BK35" s="224">
        <v>40078</v>
      </c>
      <c r="BL35" s="224">
        <f t="shared" si="40"/>
        <v>10219890</v>
      </c>
      <c r="BM35" s="225" t="str">
        <f t="shared" si="18"/>
        <v>VÁLIDA</v>
      </c>
      <c r="BN35" s="224">
        <v>39679</v>
      </c>
      <c r="BO35" s="224">
        <f t="shared" si="41"/>
        <v>10118145</v>
      </c>
      <c r="BP35" s="225" t="str">
        <f t="shared" si="19"/>
        <v>VÁLIDA</v>
      </c>
    </row>
    <row r="36" spans="2:68" s="167" customFormat="1" ht="27" customHeight="1" x14ac:dyDescent="0.2">
      <c r="B36" s="103">
        <v>3052</v>
      </c>
      <c r="C36" s="94">
        <f>C34+0.01</f>
        <v>1.1900000000000002</v>
      </c>
      <c r="D36" s="95" t="str">
        <f>VLOOKUP(B36,[2]ITEMS!$B$4:$E$2466,2,FALSE)</f>
        <v>RELLENO PARA REDES EN SUBBASE GRANULAR B-200 (Suministro, Extendido, Humedecimiento y Compactación)</v>
      </c>
      <c r="E36" s="96" t="str">
        <f>VLOOKUP(B36,[2]ITEMS!$B$4:$E$2466,3,FALSE)</f>
        <v>M3</v>
      </c>
      <c r="F36" s="97">
        <v>89</v>
      </c>
      <c r="G36" s="98">
        <f>VLOOKUP(B36,[2]ITEMS!$B$4:$E$2466,4,FALSE)</f>
        <v>63173</v>
      </c>
      <c r="H36" s="98">
        <f t="shared" si="21"/>
        <v>5622397</v>
      </c>
      <c r="I36" s="191">
        <v>62189</v>
      </c>
      <c r="J36" s="224">
        <f t="shared" si="22"/>
        <v>5534821</v>
      </c>
      <c r="K36" s="225" t="str">
        <f t="shared" si="0"/>
        <v>VÁLIDA</v>
      </c>
      <c r="L36" s="191">
        <v>62478</v>
      </c>
      <c r="M36" s="224">
        <f t="shared" si="23"/>
        <v>5560542</v>
      </c>
      <c r="N36" s="225" t="str">
        <f t="shared" si="1"/>
        <v>VÁLIDA</v>
      </c>
      <c r="O36" s="191">
        <v>63173</v>
      </c>
      <c r="P36" s="224">
        <f t="shared" si="24"/>
        <v>5622397</v>
      </c>
      <c r="Q36" s="225" t="str">
        <f t="shared" si="2"/>
        <v>VÁLIDA</v>
      </c>
      <c r="R36" s="191">
        <v>62244</v>
      </c>
      <c r="S36" s="224">
        <f t="shared" si="25"/>
        <v>5539716</v>
      </c>
      <c r="T36" s="225" t="str">
        <f t="shared" si="3"/>
        <v>VÁLIDA</v>
      </c>
      <c r="U36" s="191">
        <v>63173</v>
      </c>
      <c r="V36" s="224">
        <f t="shared" si="26"/>
        <v>5622397</v>
      </c>
      <c r="W36" s="225" t="str">
        <f t="shared" si="4"/>
        <v>VÁLIDA</v>
      </c>
      <c r="X36" s="224">
        <v>62162</v>
      </c>
      <c r="Y36" s="224">
        <f t="shared" si="27"/>
        <v>5532418</v>
      </c>
      <c r="Z36" s="225" t="str">
        <f t="shared" si="5"/>
        <v>VÁLIDA</v>
      </c>
      <c r="AA36" s="224">
        <v>62478</v>
      </c>
      <c r="AB36" s="224">
        <f t="shared" si="28"/>
        <v>5560542</v>
      </c>
      <c r="AC36" s="225" t="str">
        <f t="shared" si="6"/>
        <v>VÁLIDA</v>
      </c>
      <c r="AD36" s="224">
        <v>63173</v>
      </c>
      <c r="AE36" s="224">
        <f t="shared" si="29"/>
        <v>5622397</v>
      </c>
      <c r="AF36" s="225" t="str">
        <f t="shared" si="7"/>
        <v>VÁLIDA</v>
      </c>
      <c r="AH36" s="224">
        <f t="shared" si="30"/>
        <v>0</v>
      </c>
      <c r="AI36" s="225" t="str">
        <f t="shared" si="8"/>
        <v>VÁLIDA</v>
      </c>
      <c r="AJ36" s="224">
        <v>58751</v>
      </c>
      <c r="AK36" s="224">
        <f t="shared" si="31"/>
        <v>5228839</v>
      </c>
      <c r="AL36" s="225" t="str">
        <f t="shared" si="9"/>
        <v>VÁLIDA</v>
      </c>
      <c r="AM36" s="224">
        <v>63015</v>
      </c>
      <c r="AN36" s="224">
        <f t="shared" si="32"/>
        <v>5608335</v>
      </c>
      <c r="AO36" s="225" t="str">
        <f t="shared" si="10"/>
        <v>VÁLIDA</v>
      </c>
      <c r="AP36" s="224">
        <v>63173</v>
      </c>
      <c r="AQ36" s="224">
        <f t="shared" si="33"/>
        <v>5622397</v>
      </c>
      <c r="AR36" s="225" t="str">
        <f t="shared" si="11"/>
        <v>VÁLIDA</v>
      </c>
      <c r="AS36" s="224">
        <v>61800</v>
      </c>
      <c r="AT36" s="224">
        <f t="shared" si="34"/>
        <v>5500200</v>
      </c>
      <c r="AU36" s="225" t="str">
        <f t="shared" si="12"/>
        <v>VÁLIDA</v>
      </c>
      <c r="AV36" s="224">
        <v>83944.35</v>
      </c>
      <c r="AW36" s="224">
        <f t="shared" si="35"/>
        <v>7471047.1500000004</v>
      </c>
      <c r="AX36" s="225" t="str">
        <f t="shared" si="13"/>
        <v>NO VÁLIDA</v>
      </c>
      <c r="AY36" s="224">
        <v>63173</v>
      </c>
      <c r="AZ36" s="224">
        <f t="shared" si="36"/>
        <v>5622397</v>
      </c>
      <c r="BA36" s="225" t="str">
        <f t="shared" si="14"/>
        <v>VÁLIDA</v>
      </c>
      <c r="BB36" s="224">
        <v>60576.434673457996</v>
      </c>
      <c r="BC36" s="224">
        <f t="shared" si="37"/>
        <v>5391302.6859377613</v>
      </c>
      <c r="BD36" s="225" t="str">
        <f t="shared" si="15"/>
        <v>VÁLIDA</v>
      </c>
      <c r="BE36" s="224">
        <v>61808</v>
      </c>
      <c r="BF36" s="224">
        <f t="shared" si="38"/>
        <v>5500912</v>
      </c>
      <c r="BG36" s="225" t="str">
        <f t="shared" si="16"/>
        <v>VÁLIDA</v>
      </c>
      <c r="BH36" s="224">
        <v>62541.27</v>
      </c>
      <c r="BI36" s="224">
        <f t="shared" si="39"/>
        <v>5566173.0299999993</v>
      </c>
      <c r="BJ36" s="225" t="str">
        <f t="shared" si="17"/>
        <v>VÁLIDA</v>
      </c>
      <c r="BK36" s="224">
        <v>62668</v>
      </c>
      <c r="BL36" s="224">
        <f t="shared" si="40"/>
        <v>5577452</v>
      </c>
      <c r="BM36" s="225" t="str">
        <f t="shared" si="18"/>
        <v>VÁLIDA</v>
      </c>
      <c r="BN36" s="224">
        <v>62044</v>
      </c>
      <c r="BO36" s="224">
        <f t="shared" si="41"/>
        <v>5521916</v>
      </c>
      <c r="BP36" s="225" t="str">
        <f t="shared" si="19"/>
        <v>VÁLIDA</v>
      </c>
    </row>
    <row r="37" spans="2:68" s="167" customFormat="1" ht="19.5" customHeight="1" x14ac:dyDescent="0.2">
      <c r="B37" s="103">
        <v>3800</v>
      </c>
      <c r="C37" s="94">
        <f>C36+0.01</f>
        <v>1.2000000000000002</v>
      </c>
      <c r="D37" s="95" t="str">
        <f>VLOOKUP(B37,[2]ITEMS!$B$4:$E$2466,2,FALSE)</f>
        <v>NIVELACION Y COMPACTACIÓN DE SUBRASANTE</v>
      </c>
      <c r="E37" s="96" t="str">
        <f>VLOOKUP(B37,[2]ITEMS!$B$4:$E$2466,3,FALSE)</f>
        <v>M2</v>
      </c>
      <c r="F37" s="97">
        <v>1830</v>
      </c>
      <c r="G37" s="98">
        <f>VLOOKUP(B37,[2]ITEMS!$B$4:$E$2466,4,FALSE)</f>
        <v>1125</v>
      </c>
      <c r="H37" s="98">
        <f t="shared" si="21"/>
        <v>2058750</v>
      </c>
      <c r="I37" s="191">
        <v>1107</v>
      </c>
      <c r="J37" s="224">
        <f t="shared" si="22"/>
        <v>2025810</v>
      </c>
      <c r="K37" s="225" t="str">
        <f t="shared" si="0"/>
        <v>VÁLIDA</v>
      </c>
      <c r="L37" s="191">
        <v>1113</v>
      </c>
      <c r="M37" s="224">
        <f t="shared" si="23"/>
        <v>2036790</v>
      </c>
      <c r="N37" s="225" t="str">
        <f t="shared" si="1"/>
        <v>VÁLIDA</v>
      </c>
      <c r="O37" s="191">
        <v>1125</v>
      </c>
      <c r="P37" s="224">
        <f t="shared" si="24"/>
        <v>2058750</v>
      </c>
      <c r="Q37" s="225" t="str">
        <f t="shared" si="2"/>
        <v>VÁLIDA</v>
      </c>
      <c r="R37" s="191">
        <v>1108</v>
      </c>
      <c r="S37" s="224">
        <f t="shared" si="25"/>
        <v>2027640</v>
      </c>
      <c r="T37" s="225" t="str">
        <f t="shared" si="3"/>
        <v>VÁLIDA</v>
      </c>
      <c r="U37" s="191">
        <v>1125</v>
      </c>
      <c r="V37" s="224">
        <f t="shared" si="26"/>
        <v>2058750</v>
      </c>
      <c r="W37" s="225" t="str">
        <f t="shared" si="4"/>
        <v>VÁLIDA</v>
      </c>
      <c r="X37" s="191">
        <v>1107</v>
      </c>
      <c r="Y37" s="224">
        <f t="shared" si="27"/>
        <v>2025810</v>
      </c>
      <c r="Z37" s="225" t="str">
        <f t="shared" si="5"/>
        <v>VÁLIDA</v>
      </c>
      <c r="AA37" s="191">
        <v>1113</v>
      </c>
      <c r="AB37" s="224">
        <f t="shared" si="28"/>
        <v>2036790</v>
      </c>
      <c r="AC37" s="225" t="str">
        <f t="shared" si="6"/>
        <v>VÁLIDA</v>
      </c>
      <c r="AD37" s="191">
        <v>1125</v>
      </c>
      <c r="AE37" s="224">
        <f t="shared" si="29"/>
        <v>2058750</v>
      </c>
      <c r="AF37" s="225" t="str">
        <f t="shared" si="7"/>
        <v>VÁLIDA</v>
      </c>
      <c r="AH37" s="224">
        <f t="shared" si="30"/>
        <v>0</v>
      </c>
      <c r="AI37" s="225" t="str">
        <f t="shared" si="8"/>
        <v>VÁLIDA</v>
      </c>
      <c r="AJ37" s="224">
        <v>1046</v>
      </c>
      <c r="AK37" s="224">
        <f t="shared" si="31"/>
        <v>1914180</v>
      </c>
      <c r="AL37" s="225" t="str">
        <f t="shared" si="9"/>
        <v>VÁLIDA</v>
      </c>
      <c r="AM37" s="224">
        <v>1122</v>
      </c>
      <c r="AN37" s="224">
        <f t="shared" si="32"/>
        <v>2053260</v>
      </c>
      <c r="AO37" s="225" t="str">
        <f t="shared" si="10"/>
        <v>VÁLIDA</v>
      </c>
      <c r="AP37" s="224">
        <v>1125</v>
      </c>
      <c r="AQ37" s="224">
        <f t="shared" si="33"/>
        <v>2058750</v>
      </c>
      <c r="AR37" s="225" t="str">
        <f t="shared" si="11"/>
        <v>VÁLIDA</v>
      </c>
      <c r="AS37" s="224">
        <v>1100</v>
      </c>
      <c r="AT37" s="224">
        <f t="shared" si="34"/>
        <v>2013000</v>
      </c>
      <c r="AU37" s="225" t="str">
        <f t="shared" si="12"/>
        <v>VÁLIDA</v>
      </c>
      <c r="AV37" s="224">
        <v>1494.45</v>
      </c>
      <c r="AW37" s="224">
        <f t="shared" si="35"/>
        <v>2734843.5</v>
      </c>
      <c r="AX37" s="225" t="str">
        <f t="shared" si="13"/>
        <v>NO VÁLIDA</v>
      </c>
      <c r="AY37" s="224">
        <v>1125</v>
      </c>
      <c r="AZ37" s="224">
        <f t="shared" si="36"/>
        <v>2058750</v>
      </c>
      <c r="BA37" s="225" t="str">
        <f t="shared" si="14"/>
        <v>VÁLIDA</v>
      </c>
      <c r="BB37" s="224">
        <v>1078.7597392499999</v>
      </c>
      <c r="BC37" s="224">
        <f t="shared" si="37"/>
        <v>1974130.3228274998</v>
      </c>
      <c r="BD37" s="225" t="str">
        <f t="shared" si="15"/>
        <v>VÁLIDA</v>
      </c>
      <c r="BE37" s="224">
        <v>1101</v>
      </c>
      <c r="BF37" s="224">
        <f t="shared" si="38"/>
        <v>2014830</v>
      </c>
      <c r="BG37" s="225" t="str">
        <f t="shared" si="16"/>
        <v>VÁLIDA</v>
      </c>
      <c r="BH37" s="224">
        <v>1113.75</v>
      </c>
      <c r="BI37" s="224">
        <f t="shared" si="39"/>
        <v>2038162.5</v>
      </c>
      <c r="BJ37" s="225" t="str">
        <f t="shared" si="17"/>
        <v>VÁLIDA</v>
      </c>
      <c r="BK37" s="224">
        <v>1116</v>
      </c>
      <c r="BL37" s="224">
        <f t="shared" si="40"/>
        <v>2042280</v>
      </c>
      <c r="BM37" s="225" t="str">
        <f t="shared" si="18"/>
        <v>VÁLIDA</v>
      </c>
      <c r="BN37" s="224">
        <v>1104</v>
      </c>
      <c r="BO37" s="224">
        <f t="shared" si="41"/>
        <v>2020320</v>
      </c>
      <c r="BP37" s="225" t="str">
        <f t="shared" si="19"/>
        <v>VÁLIDA</v>
      </c>
    </row>
    <row r="38" spans="2:68" s="167" customFormat="1" ht="24.75" customHeight="1" x14ac:dyDescent="0.2">
      <c r="B38" s="103"/>
      <c r="C38" s="94"/>
      <c r="D38" s="95" t="s">
        <v>111</v>
      </c>
      <c r="E38" s="96" t="s">
        <v>85</v>
      </c>
      <c r="F38" s="97">
        <v>7</v>
      </c>
      <c r="G38" s="98">
        <v>47600</v>
      </c>
      <c r="H38" s="98">
        <f t="shared" si="21"/>
        <v>333200</v>
      </c>
      <c r="I38" s="191">
        <v>46858</v>
      </c>
      <c r="J38" s="224">
        <f t="shared" si="22"/>
        <v>328006</v>
      </c>
      <c r="K38" s="225" t="str">
        <f t="shared" si="0"/>
        <v>VÁLIDA</v>
      </c>
      <c r="L38" s="191">
        <v>47076</v>
      </c>
      <c r="M38" s="224">
        <f t="shared" si="23"/>
        <v>329532</v>
      </c>
      <c r="N38" s="225" t="str">
        <f t="shared" si="1"/>
        <v>VÁLIDA</v>
      </c>
      <c r="O38" s="191">
        <v>47600</v>
      </c>
      <c r="P38" s="224">
        <f t="shared" si="24"/>
        <v>333200</v>
      </c>
      <c r="Q38" s="225" t="str">
        <f t="shared" si="2"/>
        <v>VÁLIDA</v>
      </c>
      <c r="R38" s="191">
        <v>46900</v>
      </c>
      <c r="S38" s="224">
        <f t="shared" si="25"/>
        <v>328300</v>
      </c>
      <c r="T38" s="225" t="str">
        <f t="shared" si="3"/>
        <v>VÁLIDA</v>
      </c>
      <c r="U38" s="191">
        <v>47600</v>
      </c>
      <c r="V38" s="224">
        <f t="shared" si="26"/>
        <v>333200</v>
      </c>
      <c r="W38" s="225" t="str">
        <f t="shared" si="4"/>
        <v>VÁLIDA</v>
      </c>
      <c r="X38" s="191">
        <v>46838</v>
      </c>
      <c r="Y38" s="224">
        <f t="shared" si="27"/>
        <v>327866</v>
      </c>
      <c r="Z38" s="225" t="str">
        <f t="shared" si="5"/>
        <v>VÁLIDA</v>
      </c>
      <c r="AA38" s="191">
        <v>47076</v>
      </c>
      <c r="AB38" s="224">
        <f t="shared" si="28"/>
        <v>329532</v>
      </c>
      <c r="AC38" s="225" t="str">
        <f t="shared" si="6"/>
        <v>VÁLIDA</v>
      </c>
      <c r="AD38" s="191">
        <v>47600</v>
      </c>
      <c r="AE38" s="224">
        <f t="shared" si="29"/>
        <v>333200</v>
      </c>
      <c r="AF38" s="225" t="str">
        <f t="shared" si="7"/>
        <v>VÁLIDA</v>
      </c>
      <c r="AH38" s="224">
        <f t="shared" si="30"/>
        <v>0</v>
      </c>
      <c r="AI38" s="225" t="str">
        <f t="shared" si="8"/>
        <v>VÁLIDA</v>
      </c>
      <c r="AJ38" s="224">
        <v>44268</v>
      </c>
      <c r="AK38" s="224">
        <f t="shared" si="31"/>
        <v>309876</v>
      </c>
      <c r="AL38" s="225" t="str">
        <f t="shared" si="9"/>
        <v>VÁLIDA</v>
      </c>
      <c r="AM38" s="224">
        <v>47481</v>
      </c>
      <c r="AN38" s="224">
        <f t="shared" si="32"/>
        <v>332367</v>
      </c>
      <c r="AO38" s="225" t="str">
        <f t="shared" si="10"/>
        <v>VÁLIDA</v>
      </c>
      <c r="AP38" s="224">
        <v>47600</v>
      </c>
      <c r="AQ38" s="224">
        <f t="shared" si="33"/>
        <v>333200</v>
      </c>
      <c r="AR38" s="225" t="str">
        <f t="shared" si="11"/>
        <v>VÁLIDA</v>
      </c>
      <c r="AS38" s="224">
        <v>46500</v>
      </c>
      <c r="AT38" s="224">
        <f t="shared" si="34"/>
        <v>325500</v>
      </c>
      <c r="AU38" s="225" t="str">
        <f t="shared" si="12"/>
        <v>VÁLIDA</v>
      </c>
      <c r="AV38" s="224">
        <v>63251</v>
      </c>
      <c r="AW38" s="224">
        <f>AV38*$F38</f>
        <v>442757</v>
      </c>
      <c r="AX38" s="225" t="str">
        <f t="shared" si="13"/>
        <v>NO VÁLIDA</v>
      </c>
      <c r="AY38" s="224">
        <v>47600</v>
      </c>
      <c r="AZ38" s="224">
        <f t="shared" si="36"/>
        <v>333200</v>
      </c>
      <c r="BA38" s="225" t="str">
        <f t="shared" si="14"/>
        <v>VÁLIDA</v>
      </c>
      <c r="BB38" s="224">
        <v>45643.523189599997</v>
      </c>
      <c r="BC38" s="224">
        <f t="shared" si="37"/>
        <v>319504.6623272</v>
      </c>
      <c r="BD38" s="225" t="str">
        <f t="shared" si="15"/>
        <v>VÁLIDA</v>
      </c>
      <c r="BE38" s="224">
        <v>46572</v>
      </c>
      <c r="BF38" s="224">
        <f t="shared" si="38"/>
        <v>326004</v>
      </c>
      <c r="BG38" s="225" t="str">
        <f t="shared" si="16"/>
        <v>VÁLIDA</v>
      </c>
      <c r="BH38" s="224">
        <v>47124</v>
      </c>
      <c r="BI38" s="224">
        <f t="shared" si="39"/>
        <v>329868</v>
      </c>
      <c r="BJ38" s="225" t="str">
        <f t="shared" si="17"/>
        <v>VÁLIDA</v>
      </c>
      <c r="BK38" s="224">
        <v>47219</v>
      </c>
      <c r="BL38" s="224">
        <f t="shared" si="40"/>
        <v>330533</v>
      </c>
      <c r="BM38" s="225" t="str">
        <f t="shared" si="18"/>
        <v>VÁLIDA</v>
      </c>
      <c r="BN38" s="224">
        <v>46749</v>
      </c>
      <c r="BO38" s="224">
        <f t="shared" si="41"/>
        <v>327243</v>
      </c>
      <c r="BP38" s="225" t="str">
        <f t="shared" si="19"/>
        <v>VÁLIDA</v>
      </c>
    </row>
    <row r="39" spans="2:68" s="167" customFormat="1" ht="27" customHeight="1" thickBot="1" x14ac:dyDescent="0.25">
      <c r="B39" s="103">
        <v>4161</v>
      </c>
      <c r="C39" s="94">
        <f>C37+0.01</f>
        <v>1.2100000000000002</v>
      </c>
      <c r="D39" s="95" t="str">
        <f>VLOOKUP(B39,[2]ITEMS!$B$4:$E$2466,2,FALSE)</f>
        <v>SUBBASE GRANULAR CLASE A (SBG_A) (Suministro, Extendido, Nivelación, Humedecimiento y Compactación con vibrocompactador)</v>
      </c>
      <c r="E39" s="96" t="str">
        <f>VLOOKUP(B39,[2]ITEMS!$B$4:$E$2466,3,FALSE)</f>
        <v>M3</v>
      </c>
      <c r="F39" s="97">
        <v>10</v>
      </c>
      <c r="G39" s="98">
        <f>VLOOKUP(B39,[2]ITEMS!$B$4:$E$2466,4,FALSE)</f>
        <v>109402</v>
      </c>
      <c r="H39" s="98">
        <f t="shared" si="21"/>
        <v>1094020</v>
      </c>
      <c r="I39" s="191">
        <v>107697</v>
      </c>
      <c r="J39" s="224">
        <f t="shared" si="22"/>
        <v>1076970</v>
      </c>
      <c r="K39" s="225" t="str">
        <f t="shared" si="0"/>
        <v>VÁLIDA</v>
      </c>
      <c r="L39" s="191">
        <v>108199</v>
      </c>
      <c r="M39" s="224">
        <f t="shared" si="23"/>
        <v>1081990</v>
      </c>
      <c r="N39" s="225" t="str">
        <f t="shared" si="1"/>
        <v>VÁLIDA</v>
      </c>
      <c r="O39" s="191">
        <v>109402</v>
      </c>
      <c r="P39" s="224">
        <f t="shared" si="24"/>
        <v>1094020</v>
      </c>
      <c r="Q39" s="225" t="str">
        <f t="shared" si="2"/>
        <v>VÁLIDA</v>
      </c>
      <c r="R39" s="191">
        <v>107794</v>
      </c>
      <c r="S39" s="224">
        <f t="shared" si="25"/>
        <v>1077940</v>
      </c>
      <c r="T39" s="225" t="str">
        <f t="shared" si="3"/>
        <v>VÁLIDA</v>
      </c>
      <c r="U39" s="191">
        <v>109402</v>
      </c>
      <c r="V39" s="224">
        <f t="shared" si="26"/>
        <v>1094020</v>
      </c>
      <c r="W39" s="225" t="str">
        <f t="shared" si="4"/>
        <v>VÁLIDA</v>
      </c>
      <c r="X39" s="191">
        <v>107651</v>
      </c>
      <c r="Y39" s="224">
        <f t="shared" si="27"/>
        <v>1076510</v>
      </c>
      <c r="Z39" s="225" t="str">
        <f t="shared" si="5"/>
        <v>VÁLIDA</v>
      </c>
      <c r="AA39" s="191">
        <v>108199</v>
      </c>
      <c r="AB39" s="224">
        <f t="shared" si="28"/>
        <v>1081990</v>
      </c>
      <c r="AC39" s="225" t="str">
        <f t="shared" si="6"/>
        <v>VÁLIDA</v>
      </c>
      <c r="AD39" s="191">
        <v>109402</v>
      </c>
      <c r="AE39" s="224">
        <f t="shared" si="29"/>
        <v>1094020</v>
      </c>
      <c r="AF39" s="225" t="str">
        <f t="shared" si="7"/>
        <v>VÁLIDA</v>
      </c>
      <c r="AH39" s="224">
        <f t="shared" si="30"/>
        <v>0</v>
      </c>
      <c r="AI39" s="225" t="str">
        <f t="shared" si="8"/>
        <v>VÁLIDA</v>
      </c>
      <c r="AJ39" s="224">
        <v>101744</v>
      </c>
      <c r="AK39" s="224">
        <f t="shared" si="31"/>
        <v>1017440</v>
      </c>
      <c r="AL39" s="225" t="str">
        <f t="shared" si="9"/>
        <v>VÁLIDA</v>
      </c>
      <c r="AM39" s="224">
        <v>109128</v>
      </c>
      <c r="AN39" s="224">
        <f t="shared" si="32"/>
        <v>1091280</v>
      </c>
      <c r="AO39" s="225" t="str">
        <f t="shared" si="10"/>
        <v>VÁLIDA</v>
      </c>
      <c r="AP39" s="224">
        <v>109402</v>
      </c>
      <c r="AQ39" s="224">
        <f t="shared" si="33"/>
        <v>1094020</v>
      </c>
      <c r="AR39" s="225" t="str">
        <f t="shared" si="11"/>
        <v>VÁLIDA</v>
      </c>
      <c r="AS39" s="224">
        <v>108000</v>
      </c>
      <c r="AT39" s="224">
        <f t="shared" si="34"/>
        <v>1080000</v>
      </c>
      <c r="AU39" s="225" t="str">
        <f t="shared" si="12"/>
        <v>VÁLIDA</v>
      </c>
      <c r="AV39" s="224">
        <v>145373.4</v>
      </c>
      <c r="AW39" s="224">
        <f t="shared" si="35"/>
        <v>1453734</v>
      </c>
      <c r="AX39" s="225" t="str">
        <f t="shared" si="13"/>
        <v>NO VÁLIDA</v>
      </c>
      <c r="AY39" s="224">
        <v>109402</v>
      </c>
      <c r="AZ39" s="224">
        <f t="shared" si="36"/>
        <v>1094020</v>
      </c>
      <c r="BA39" s="225" t="str">
        <f t="shared" si="14"/>
        <v>VÁLIDA</v>
      </c>
      <c r="BB39" s="224">
        <v>104905.309327492</v>
      </c>
      <c r="BC39" s="224">
        <f t="shared" si="37"/>
        <v>1049053.09327492</v>
      </c>
      <c r="BD39" s="225" t="str">
        <f t="shared" si="15"/>
        <v>VÁLIDA</v>
      </c>
      <c r="BE39" s="224">
        <v>107039</v>
      </c>
      <c r="BF39" s="224">
        <f t="shared" si="38"/>
        <v>1070390</v>
      </c>
      <c r="BG39" s="225" t="str">
        <f t="shared" si="16"/>
        <v>VÁLIDA</v>
      </c>
      <c r="BH39" s="224">
        <v>108307.98</v>
      </c>
      <c r="BI39" s="224">
        <f t="shared" si="39"/>
        <v>1083079.8</v>
      </c>
      <c r="BJ39" s="225" t="str">
        <f t="shared" si="17"/>
        <v>VÁLIDA</v>
      </c>
      <c r="BK39" s="224">
        <v>108527</v>
      </c>
      <c r="BL39" s="224">
        <f t="shared" si="40"/>
        <v>1085270</v>
      </c>
      <c r="BM39" s="225" t="str">
        <f t="shared" si="18"/>
        <v>VÁLIDA</v>
      </c>
      <c r="BN39" s="224">
        <v>107448</v>
      </c>
      <c r="BO39" s="224">
        <f t="shared" si="41"/>
        <v>1074480</v>
      </c>
      <c r="BP39" s="225" t="str">
        <f t="shared" si="19"/>
        <v>VÁLIDA</v>
      </c>
    </row>
    <row r="40" spans="2:68" s="167" customFormat="1" ht="27" customHeight="1" thickBot="1" x14ac:dyDescent="0.3">
      <c r="B40" s="78"/>
      <c r="C40" s="104">
        <f>C33+1</f>
        <v>1</v>
      </c>
      <c r="D40" s="100" t="s">
        <v>112</v>
      </c>
      <c r="E40" s="101"/>
      <c r="F40" s="82"/>
      <c r="G40" s="102"/>
      <c r="H40" s="83">
        <f>SUM(H42:H57)</f>
        <v>1151601390.3499999</v>
      </c>
      <c r="I40" s="226"/>
      <c r="J40" s="192">
        <f>SUM(J42:J57)</f>
        <v>1133648316.5</v>
      </c>
      <c r="K40" s="225" t="str">
        <f t="shared" si="0"/>
        <v>VÁLIDA</v>
      </c>
      <c r="L40" s="226"/>
      <c r="M40" s="192">
        <f>SUM(M42:M57)</f>
        <v>1138933100.5</v>
      </c>
      <c r="N40" s="225" t="str">
        <f t="shared" si="1"/>
        <v>VÁLIDA</v>
      </c>
      <c r="O40" s="226"/>
      <c r="P40" s="192">
        <f>SUM(P42:P57)</f>
        <v>1084521390.3499999</v>
      </c>
      <c r="Q40" s="225" t="str">
        <f t="shared" si="2"/>
        <v>VÁLIDA</v>
      </c>
      <c r="R40" s="226"/>
      <c r="S40" s="192">
        <f>SUM(S42:S57)</f>
        <v>1134670053.55</v>
      </c>
      <c r="T40" s="225" t="str">
        <f t="shared" si="3"/>
        <v>VÁLIDA</v>
      </c>
      <c r="U40" s="226"/>
      <c r="V40" s="192">
        <f>SUM(V42:V57)</f>
        <v>1151601390.3499999</v>
      </c>
      <c r="W40" s="225" t="str">
        <f t="shared" si="4"/>
        <v>VÁLIDA</v>
      </c>
      <c r="X40" s="226"/>
      <c r="Y40" s="192">
        <f>SUM(Y42:Y57)</f>
        <v>1133167667.3</v>
      </c>
      <c r="Z40" s="225" t="str">
        <f t="shared" si="5"/>
        <v>VÁLIDA</v>
      </c>
      <c r="AA40" s="226"/>
      <c r="AB40" s="192">
        <f>SUM(AB42:AB57)</f>
        <v>1141386310.5</v>
      </c>
      <c r="AC40" s="225" t="str">
        <f t="shared" si="6"/>
        <v>VÁLIDA</v>
      </c>
      <c r="AD40" s="226"/>
      <c r="AE40" s="192">
        <f>SUM(AE42:AE57)</f>
        <v>1145735760.95</v>
      </c>
      <c r="AF40" s="225" t="str">
        <f t="shared" si="7"/>
        <v>VÁLIDA</v>
      </c>
      <c r="AH40" s="192">
        <f>SUM(AH42:AH57)</f>
        <v>0</v>
      </c>
      <c r="AI40" s="225" t="str">
        <f t="shared" si="8"/>
        <v>VÁLIDA</v>
      </c>
      <c r="AJ40" s="192"/>
      <c r="AK40" s="192">
        <f>SUM(AK42:AK57)</f>
        <v>1070994784.2</v>
      </c>
      <c r="AL40" s="225" t="str">
        <f t="shared" si="9"/>
        <v>VÁLIDA</v>
      </c>
      <c r="AM40" s="192"/>
      <c r="AN40" s="192">
        <f>SUM(AN42:AN57)</f>
        <v>1148733573</v>
      </c>
      <c r="AO40" s="225" t="str">
        <f t="shared" si="10"/>
        <v>VÁLIDA</v>
      </c>
      <c r="AP40" s="192"/>
      <c r="AQ40" s="192">
        <f>SUM(AQ42:AQ57)</f>
        <v>1151601390.3499999</v>
      </c>
      <c r="AR40" s="225" t="str">
        <f t="shared" si="11"/>
        <v>VÁLIDA</v>
      </c>
      <c r="AS40" s="192"/>
      <c r="AT40" s="192">
        <f>SUM(AT42:AT57)</f>
        <v>1127656800</v>
      </c>
      <c r="AU40" s="225" t="str">
        <f t="shared" si="12"/>
        <v>VÁLIDA</v>
      </c>
      <c r="AV40" s="192"/>
      <c r="AW40" s="192">
        <f>SUM(AW42:AW57)</f>
        <v>1530253939.4775</v>
      </c>
      <c r="AX40" s="225" t="str">
        <f t="shared" si="13"/>
        <v>NO VÁLIDA</v>
      </c>
      <c r="AY40" s="192"/>
      <c r="AZ40" s="192">
        <f>SUM(AZ42:AZ57)</f>
        <v>1151601390.3499999</v>
      </c>
      <c r="BA40" s="225" t="str">
        <f t="shared" si="14"/>
        <v>VÁLIDA</v>
      </c>
      <c r="BB40" s="192"/>
      <c r="BC40" s="192">
        <f>SUM(BC42:BC57)</f>
        <v>1104267747.1768031</v>
      </c>
      <c r="BD40" s="225" t="str">
        <f t="shared" si="15"/>
        <v>VÁLIDA</v>
      </c>
      <c r="BE40" s="192"/>
      <c r="BF40" s="192">
        <f>SUM(BF42:BF57)</f>
        <v>1126719367</v>
      </c>
      <c r="BG40" s="225" t="str">
        <f t="shared" si="16"/>
        <v>VÁLIDA</v>
      </c>
      <c r="BH40" s="192"/>
      <c r="BI40" s="192">
        <f>SUM(BI42:BI57)</f>
        <v>1140085376.4465001</v>
      </c>
      <c r="BJ40" s="225" t="str">
        <f t="shared" si="17"/>
        <v>VÁLIDA</v>
      </c>
      <c r="BK40" s="192"/>
      <c r="BL40" s="192">
        <f>SUM(BL42:BL57)</f>
        <v>1142388772.8</v>
      </c>
      <c r="BM40" s="225" t="str">
        <f t="shared" si="18"/>
        <v>VÁLIDA</v>
      </c>
      <c r="BN40" s="192"/>
      <c r="BO40" s="192">
        <f>SUM(BO42:BO57)</f>
        <v>1131017628.5</v>
      </c>
      <c r="BP40" s="225" t="str">
        <f t="shared" si="19"/>
        <v>VÁLIDA</v>
      </c>
    </row>
    <row r="41" spans="2:68" s="167" customFormat="1" ht="15.75" customHeight="1" x14ac:dyDescent="0.25">
      <c r="B41" s="105"/>
      <c r="C41" s="106"/>
      <c r="D41" s="107" t="s">
        <v>113</v>
      </c>
      <c r="E41" s="108"/>
      <c r="F41" s="109"/>
      <c r="G41" s="110"/>
      <c r="H41" s="110"/>
      <c r="I41" s="226"/>
      <c r="J41" s="227"/>
      <c r="K41" s="225"/>
      <c r="L41" s="226"/>
      <c r="M41" s="227"/>
      <c r="N41" s="225"/>
      <c r="O41" s="226"/>
      <c r="P41" s="227"/>
      <c r="Q41" s="225"/>
      <c r="R41" s="226"/>
      <c r="S41" s="227"/>
      <c r="T41" s="225"/>
      <c r="U41" s="226"/>
      <c r="V41" s="227"/>
      <c r="W41" s="225"/>
      <c r="X41" s="226"/>
      <c r="Y41" s="227"/>
      <c r="Z41" s="225"/>
      <c r="AA41" s="226"/>
      <c r="AB41" s="227"/>
      <c r="AC41" s="225"/>
      <c r="AD41" s="226"/>
      <c r="AE41" s="227"/>
      <c r="AF41" s="225"/>
      <c r="AH41" s="227"/>
      <c r="AI41" s="225"/>
      <c r="AJ41" s="227"/>
      <c r="AK41" s="227"/>
      <c r="AL41" s="225"/>
      <c r="AM41" s="227"/>
      <c r="AN41" s="227"/>
      <c r="AO41" s="225"/>
      <c r="AP41" s="227"/>
      <c r="AQ41" s="227"/>
      <c r="AR41" s="225"/>
      <c r="AS41" s="227"/>
      <c r="AT41" s="227"/>
      <c r="AU41" s="225"/>
      <c r="AV41" s="227"/>
      <c r="AW41" s="227"/>
      <c r="AX41" s="225"/>
      <c r="AY41" s="227"/>
      <c r="AZ41" s="227"/>
      <c r="BA41" s="225"/>
      <c r="BB41" s="227"/>
      <c r="BC41" s="227"/>
      <c r="BD41" s="225"/>
      <c r="BE41" s="227"/>
      <c r="BF41" s="227"/>
      <c r="BG41" s="225"/>
      <c r="BH41" s="227"/>
      <c r="BI41" s="227"/>
      <c r="BJ41" s="225"/>
      <c r="BK41" s="227"/>
      <c r="BL41" s="227"/>
      <c r="BM41" s="225"/>
      <c r="BN41" s="227"/>
      <c r="BO41" s="227"/>
      <c r="BP41" s="225"/>
    </row>
    <row r="42" spans="2:68" s="167" customFormat="1" ht="30.75" customHeight="1" x14ac:dyDescent="0.2">
      <c r="B42" s="103">
        <v>3837</v>
      </c>
      <c r="C42" s="94">
        <f>C40+0.01</f>
        <v>1.01</v>
      </c>
      <c r="D42" s="95" t="str">
        <f>VLOOKUP(B42,[2]ITEMS!$B$4:$E$2466,2,FALSE)</f>
        <v>SELLADO DE JUNTAS EN PAVIMENTO DE CONCRETO HIDRAULICO (Incluye Limpieza, Suministro e Instalación de Fondo y Sellante)</v>
      </c>
      <c r="E42" s="96" t="str">
        <f>VLOOKUP(B42,[2]ITEMS!$B$4:$E$2466,3,FALSE)</f>
        <v>M</v>
      </c>
      <c r="F42" s="97">
        <v>22</v>
      </c>
      <c r="G42" s="98">
        <f>VLOOKUP(B42,[2]ITEMS!$B$4:$E$2466,4,FALSE)</f>
        <v>7313</v>
      </c>
      <c r="H42" s="98">
        <f t="shared" ref="H42:H73" si="42">F42*G42</f>
        <v>160886</v>
      </c>
      <c r="I42" s="191">
        <v>7199</v>
      </c>
      <c r="J42" s="224">
        <f t="shared" ref="J42:J73" si="43">I42*$F42</f>
        <v>158378</v>
      </c>
      <c r="K42" s="225" t="str">
        <f t="shared" ref="K42:K66" si="44">IF(J42&lt;=$H42,"VÁLIDA","NO VÁLIDA")</f>
        <v>VÁLIDA</v>
      </c>
      <c r="L42" s="191">
        <v>7233</v>
      </c>
      <c r="M42" s="224">
        <f t="shared" ref="M42:M73" si="45">L42*$F42</f>
        <v>159126</v>
      </c>
      <c r="N42" s="225" t="str">
        <f t="shared" ref="N42:N66" si="46">IF(M42&lt;=$H42,"VÁLIDA","NO VÁLIDA")</f>
        <v>VÁLIDA</v>
      </c>
      <c r="O42" s="191">
        <v>7313</v>
      </c>
      <c r="P42" s="224">
        <f t="shared" ref="P42:P73" si="47">O42*$F42</f>
        <v>160886</v>
      </c>
      <c r="Q42" s="225" t="str">
        <f t="shared" ref="Q42:Q66" si="48">IF(P42&lt;=$H42,"VÁLIDA","NO VÁLIDA")</f>
        <v>VÁLIDA</v>
      </c>
      <c r="R42" s="191">
        <v>7205</v>
      </c>
      <c r="S42" s="224">
        <f t="shared" ref="S42:S73" si="49">R42*$F42</f>
        <v>158510</v>
      </c>
      <c r="T42" s="225" t="str">
        <f t="shared" ref="T42:T66" si="50">IF(S42&lt;=$H42,"VÁLIDA","NO VÁLIDA")</f>
        <v>VÁLIDA</v>
      </c>
      <c r="U42" s="191">
        <v>7313</v>
      </c>
      <c r="V42" s="224">
        <f t="shared" ref="V42:V73" si="51">U42*$F42</f>
        <v>160886</v>
      </c>
      <c r="W42" s="225" t="str">
        <f t="shared" ref="W42:W66" si="52">IF(V42&lt;=$H42,"VÁLIDA","NO VÁLIDA")</f>
        <v>VÁLIDA</v>
      </c>
      <c r="X42" s="191">
        <v>7195</v>
      </c>
      <c r="Y42" s="224">
        <f t="shared" ref="Y42:Y73" si="53">X42*$F42</f>
        <v>158290</v>
      </c>
      <c r="Z42" s="225" t="str">
        <f t="shared" ref="Z42:Z66" si="54">IF(Y42&lt;=$H42,"VÁLIDA","NO VÁLIDA")</f>
        <v>VÁLIDA</v>
      </c>
      <c r="AA42" s="191">
        <v>7233</v>
      </c>
      <c r="AB42" s="224">
        <f t="shared" ref="AB42:AB73" si="55">AA42*$F42</f>
        <v>159126</v>
      </c>
      <c r="AC42" s="225" t="str">
        <f t="shared" ref="AC42:AC66" si="56">IF(AB42&lt;=$H42,"VÁLIDA","NO VÁLIDA")</f>
        <v>VÁLIDA</v>
      </c>
      <c r="AD42" s="191">
        <v>7313</v>
      </c>
      <c r="AE42" s="224">
        <f t="shared" ref="AE42:AE73" si="57">AD42*$F42</f>
        <v>160886</v>
      </c>
      <c r="AF42" s="225" t="str">
        <f t="shared" ref="AF42:AF66" si="58">IF(AE42&lt;=$H42,"VÁLIDA","NO VÁLIDA")</f>
        <v>VÁLIDA</v>
      </c>
      <c r="AH42" s="224">
        <f t="shared" ref="AH42:AH73" si="59">AG42*$F42</f>
        <v>0</v>
      </c>
      <c r="AI42" s="225" t="str">
        <f t="shared" ref="AI42:AI66" si="60">IF(AH42&lt;=$H42,"VÁLIDA","NO VÁLIDA")</f>
        <v>VÁLIDA</v>
      </c>
      <c r="AJ42" s="224">
        <v>6801</v>
      </c>
      <c r="AK42" s="224">
        <f t="shared" ref="AK42:AK73" si="61">AJ42*$F42</f>
        <v>149622</v>
      </c>
      <c r="AL42" s="225" t="str">
        <f t="shared" ref="AL42:AL66" si="62">IF(AK42&lt;=$H42,"VÁLIDA","NO VÁLIDA")</f>
        <v>VÁLIDA</v>
      </c>
      <c r="AM42" s="224">
        <v>7295</v>
      </c>
      <c r="AN42" s="224">
        <f t="shared" ref="AN42:AN73" si="63">AM42*$F42</f>
        <v>160490</v>
      </c>
      <c r="AO42" s="225" t="str">
        <f t="shared" ref="AO42:AO66" si="64">IF(AN42&lt;=$H42,"VÁLIDA","NO VÁLIDA")</f>
        <v>VÁLIDA</v>
      </c>
      <c r="AP42" s="224">
        <v>7313</v>
      </c>
      <c r="AQ42" s="224">
        <f t="shared" ref="AQ42:AQ73" si="65">AP42*$F42</f>
        <v>160886</v>
      </c>
      <c r="AR42" s="225" t="str">
        <f t="shared" ref="AR42:AR66" si="66">IF(AQ42&lt;=$H42,"VÁLIDA","NO VÁLIDA")</f>
        <v>VÁLIDA</v>
      </c>
      <c r="AS42" s="224">
        <v>7100</v>
      </c>
      <c r="AT42" s="224">
        <f t="shared" ref="AT42:AT73" si="67">AS42*$F42</f>
        <v>156200</v>
      </c>
      <c r="AU42" s="225" t="str">
        <f t="shared" ref="AU42:AU66" si="68">IF(AT42&lt;=$H42,"VÁLIDA","NO VÁLIDA")</f>
        <v>VÁLIDA</v>
      </c>
      <c r="AV42" s="224">
        <v>9717.2999999999993</v>
      </c>
      <c r="AW42" s="224">
        <f t="shared" ref="AW42:AW73" si="69">AV42*$F42</f>
        <v>213780.59999999998</v>
      </c>
      <c r="AX42" s="225" t="str">
        <f t="shared" ref="AX42:AX66" si="70">IF(AW42&lt;=$H42,"VÁLIDA","NO VÁLIDA")</f>
        <v>NO VÁLIDA</v>
      </c>
      <c r="AY42" s="224">
        <v>7313</v>
      </c>
      <c r="AZ42" s="224">
        <f t="shared" ref="AZ42:AZ73" si="71">AY42*$F42</f>
        <v>160886</v>
      </c>
      <c r="BA42" s="225" t="str">
        <f t="shared" ref="BA42:BA66" si="72">IF(AZ42&lt;=$H42,"VÁLIDA","NO VÁLIDA")</f>
        <v>VÁLIDA</v>
      </c>
      <c r="BB42" s="224">
        <v>7012.4177538980002</v>
      </c>
      <c r="BC42" s="224">
        <f t="shared" ref="BC42:BC73" si="73">BB42*$F42</f>
        <v>154273.19058575601</v>
      </c>
      <c r="BD42" s="225" t="str">
        <f t="shared" ref="BD42:BD66" si="74">IF(BC42&lt;=$H42,"VÁLIDA","NO VÁLIDA")</f>
        <v>VÁLIDA</v>
      </c>
      <c r="BE42" s="224">
        <v>7155</v>
      </c>
      <c r="BF42" s="224">
        <f t="shared" ref="BF42:BF73" si="75">BE42*$F42</f>
        <v>157410</v>
      </c>
      <c r="BG42" s="225" t="str">
        <f t="shared" ref="BG42:BG66" si="76">IF(BF42&lt;=$H42,"VÁLIDA","NO VÁLIDA")</f>
        <v>VÁLIDA</v>
      </c>
      <c r="BH42" s="224">
        <v>7239.87</v>
      </c>
      <c r="BI42" s="224">
        <f t="shared" ref="BI42:BI73" si="77">BH42*$F42</f>
        <v>159277.13999999998</v>
      </c>
      <c r="BJ42" s="225" t="str">
        <f t="shared" ref="BJ42:BJ66" si="78">IF(BI42&lt;=$H42,"VÁLIDA","NO VÁLIDA")</f>
        <v>VÁLIDA</v>
      </c>
      <c r="BK42" s="224">
        <v>7254</v>
      </c>
      <c r="BL42" s="224">
        <f t="shared" ref="BL42:BL73" si="79">BK42*$F42</f>
        <v>159588</v>
      </c>
      <c r="BM42" s="225" t="str">
        <f t="shared" ref="BM42:BM66" si="80">IF(BL42&lt;=$H42,"VÁLIDA","NO VÁLIDA")</f>
        <v>VÁLIDA</v>
      </c>
      <c r="BN42" s="224">
        <v>7182</v>
      </c>
      <c r="BO42" s="224">
        <f t="shared" ref="BO42:BO73" si="81">BN42*$F42</f>
        <v>158004</v>
      </c>
      <c r="BP42" s="225" t="str">
        <f t="shared" ref="BP42:BP66" si="82">IF(BO42&lt;=$H42,"VÁLIDA","NO VÁLIDA")</f>
        <v>VÁLIDA</v>
      </c>
    </row>
    <row r="43" spans="2:68" s="167" customFormat="1" ht="48" x14ac:dyDescent="0.2">
      <c r="B43" s="103">
        <v>6095</v>
      </c>
      <c r="C43" s="94">
        <f>C42+0.01</f>
        <v>1.02</v>
      </c>
      <c r="D43" s="95" t="str">
        <f>VLOOKUP(B43,[2]ITEMS!$B$4:$E$2466,2,FALSE)</f>
        <v>PISO EN CONCRETO MR 43 (315 Kg/Cm2) GRAVA COMÚN ACELERADO A 7 DÍAS, ESTAMPADO PARA POMPEYANOS, e=0.23m (INCLUYE SUMINISTRO Y COLOCACIÓN DE CONCRETO, JUEGO DE MOLDES,  DESMOLDANTE EN POLVO, CURADOR PARA CONCRETO, CORTE Y SELLADO DE JUNTAS.</v>
      </c>
      <c r="E43" s="96" t="str">
        <f>VLOOKUP(B43,[2]ITEMS!$B$4:$E$2466,3,FALSE)</f>
        <v>M2</v>
      </c>
      <c r="F43" s="97">
        <v>114</v>
      </c>
      <c r="G43" s="98">
        <f>VLOOKUP(B43,[2]ITEMS!$B$4:$E$2466,4,FALSE)</f>
        <v>290921</v>
      </c>
      <c r="H43" s="98">
        <f t="shared" si="42"/>
        <v>33164994</v>
      </c>
      <c r="I43" s="191">
        <v>286388</v>
      </c>
      <c r="J43" s="224">
        <f t="shared" si="43"/>
        <v>32648232</v>
      </c>
      <c r="K43" s="225" t="str">
        <f t="shared" si="44"/>
        <v>VÁLIDA</v>
      </c>
      <c r="L43" s="191">
        <v>287721</v>
      </c>
      <c r="M43" s="224">
        <f t="shared" si="45"/>
        <v>32800194</v>
      </c>
      <c r="N43" s="225" t="str">
        <f t="shared" si="46"/>
        <v>VÁLIDA</v>
      </c>
      <c r="O43" s="191">
        <v>290921</v>
      </c>
      <c r="P43" s="224">
        <f t="shared" si="47"/>
        <v>33164994</v>
      </c>
      <c r="Q43" s="225" t="str">
        <f t="shared" si="48"/>
        <v>VÁLIDA</v>
      </c>
      <c r="R43" s="191">
        <v>286644</v>
      </c>
      <c r="S43" s="224">
        <f t="shared" si="49"/>
        <v>32677416</v>
      </c>
      <c r="T43" s="225" t="str">
        <f t="shared" si="50"/>
        <v>VÁLIDA</v>
      </c>
      <c r="U43" s="191">
        <v>290921</v>
      </c>
      <c r="V43" s="224">
        <f t="shared" si="51"/>
        <v>33164994</v>
      </c>
      <c r="W43" s="225" t="str">
        <f t="shared" si="52"/>
        <v>VÁLIDA</v>
      </c>
      <c r="X43" s="191">
        <v>286266</v>
      </c>
      <c r="Y43" s="224">
        <f t="shared" si="53"/>
        <v>32634324</v>
      </c>
      <c r="Z43" s="225" t="str">
        <f t="shared" si="54"/>
        <v>VÁLIDA</v>
      </c>
      <c r="AA43" s="191">
        <v>287721</v>
      </c>
      <c r="AB43" s="224">
        <f t="shared" si="55"/>
        <v>32800194</v>
      </c>
      <c r="AC43" s="225" t="str">
        <f t="shared" si="56"/>
        <v>VÁLIDA</v>
      </c>
      <c r="AD43" s="191">
        <v>276000</v>
      </c>
      <c r="AE43" s="224">
        <f t="shared" si="57"/>
        <v>31464000</v>
      </c>
      <c r="AF43" s="225" t="str">
        <f t="shared" si="58"/>
        <v>VÁLIDA</v>
      </c>
      <c r="AH43" s="224">
        <f t="shared" si="59"/>
        <v>0</v>
      </c>
      <c r="AI43" s="225" t="str">
        <f t="shared" si="60"/>
        <v>VÁLIDA</v>
      </c>
      <c r="AJ43" s="224">
        <v>270557</v>
      </c>
      <c r="AK43" s="224">
        <f t="shared" si="61"/>
        <v>30843498</v>
      </c>
      <c r="AL43" s="225" t="str">
        <f t="shared" si="62"/>
        <v>VÁLIDA</v>
      </c>
      <c r="AM43" s="224">
        <v>290194</v>
      </c>
      <c r="AN43" s="224">
        <f t="shared" si="63"/>
        <v>33082116</v>
      </c>
      <c r="AO43" s="225" t="str">
        <f t="shared" si="64"/>
        <v>VÁLIDA</v>
      </c>
      <c r="AP43" s="224">
        <v>290921</v>
      </c>
      <c r="AQ43" s="224">
        <f t="shared" si="65"/>
        <v>33164994</v>
      </c>
      <c r="AR43" s="225" t="str">
        <f t="shared" si="66"/>
        <v>VÁLIDA</v>
      </c>
      <c r="AS43" s="224">
        <v>286000</v>
      </c>
      <c r="AT43" s="224">
        <f t="shared" si="67"/>
        <v>32604000</v>
      </c>
      <c r="AU43" s="225" t="str">
        <f t="shared" si="68"/>
        <v>VÁLIDA</v>
      </c>
      <c r="AV43" s="224">
        <v>386577.9</v>
      </c>
      <c r="AW43" s="224">
        <f t="shared" si="69"/>
        <v>44069880.600000001</v>
      </c>
      <c r="AX43" s="225" t="str">
        <f t="shared" si="70"/>
        <v>NO VÁLIDA</v>
      </c>
      <c r="AY43" s="224">
        <v>290921</v>
      </c>
      <c r="AZ43" s="224">
        <f t="shared" si="71"/>
        <v>33164994</v>
      </c>
      <c r="BA43" s="225" t="str">
        <f t="shared" si="72"/>
        <v>VÁLIDA</v>
      </c>
      <c r="BB43" s="224">
        <v>278963.43297986599</v>
      </c>
      <c r="BC43" s="224">
        <f t="shared" si="73"/>
        <v>31801831.359704722</v>
      </c>
      <c r="BD43" s="225" t="str">
        <f t="shared" si="74"/>
        <v>VÁLIDA</v>
      </c>
      <c r="BE43" s="224">
        <v>284637</v>
      </c>
      <c r="BF43" s="224">
        <f t="shared" si="75"/>
        <v>32448618</v>
      </c>
      <c r="BG43" s="225" t="str">
        <f t="shared" si="76"/>
        <v>VÁLIDA</v>
      </c>
      <c r="BH43" s="224">
        <v>288011.78999999998</v>
      </c>
      <c r="BI43" s="224">
        <f t="shared" si="77"/>
        <v>32833344.059999999</v>
      </c>
      <c r="BJ43" s="225" t="str">
        <f t="shared" si="78"/>
        <v>VÁLIDA</v>
      </c>
      <c r="BK43" s="224">
        <v>288594</v>
      </c>
      <c r="BL43" s="224">
        <f t="shared" si="79"/>
        <v>32899716</v>
      </c>
      <c r="BM43" s="225" t="str">
        <f t="shared" si="80"/>
        <v>VÁLIDA</v>
      </c>
      <c r="BN43" s="224">
        <v>285725</v>
      </c>
      <c r="BO43" s="224">
        <f t="shared" si="81"/>
        <v>32572650</v>
      </c>
      <c r="BP43" s="225" t="str">
        <f t="shared" si="82"/>
        <v>VÁLIDA</v>
      </c>
    </row>
    <row r="44" spans="2:68" s="167" customFormat="1" ht="15.75" customHeight="1" x14ac:dyDescent="0.2">
      <c r="B44" s="103">
        <v>3649</v>
      </c>
      <c r="C44" s="94">
        <f>C43+0.01</f>
        <v>1.03</v>
      </c>
      <c r="D44" s="95" t="str">
        <f>VLOOKUP(B44,[2]ITEMS!$B$4:$E$2466,2,FALSE)</f>
        <v>CONCRETO 2500 PSI (Hecho en Obra con arena de río y triturado de 3/4")</v>
      </c>
      <c r="E44" s="96" t="str">
        <f>VLOOKUP(B44,[2]ITEMS!$B$4:$E$2466,3,FALSE)</f>
        <v>M3</v>
      </c>
      <c r="F44" s="97">
        <v>75</v>
      </c>
      <c r="G44" s="98">
        <f>VLOOKUP(B44,[2]ITEMS!$B$4:$E$2466,4,FALSE)</f>
        <v>259269</v>
      </c>
      <c r="H44" s="98">
        <f t="shared" si="42"/>
        <v>19445175</v>
      </c>
      <c r="I44" s="191">
        <v>255229</v>
      </c>
      <c r="J44" s="224">
        <f t="shared" si="43"/>
        <v>19142175</v>
      </c>
      <c r="K44" s="225" t="str">
        <f t="shared" si="44"/>
        <v>VÁLIDA</v>
      </c>
      <c r="L44" s="191">
        <v>256417</v>
      </c>
      <c r="M44" s="224">
        <f t="shared" si="45"/>
        <v>19231275</v>
      </c>
      <c r="N44" s="225" t="str">
        <f t="shared" si="46"/>
        <v>VÁLIDA</v>
      </c>
      <c r="O44" s="191">
        <v>259269</v>
      </c>
      <c r="P44" s="224">
        <f t="shared" si="47"/>
        <v>19445175</v>
      </c>
      <c r="Q44" s="225" t="str">
        <f t="shared" si="48"/>
        <v>VÁLIDA</v>
      </c>
      <c r="R44" s="191">
        <v>255458</v>
      </c>
      <c r="S44" s="224">
        <f t="shared" si="49"/>
        <v>19159350</v>
      </c>
      <c r="T44" s="225" t="str">
        <f t="shared" si="50"/>
        <v>VÁLIDA</v>
      </c>
      <c r="U44" s="191">
        <v>259269</v>
      </c>
      <c r="V44" s="224">
        <f t="shared" si="51"/>
        <v>19445175</v>
      </c>
      <c r="W44" s="225" t="str">
        <f t="shared" si="52"/>
        <v>VÁLIDA</v>
      </c>
      <c r="X44" s="191">
        <v>255120</v>
      </c>
      <c r="Y44" s="224">
        <f t="shared" si="53"/>
        <v>19134000</v>
      </c>
      <c r="Z44" s="225" t="str">
        <f t="shared" si="54"/>
        <v>VÁLIDA</v>
      </c>
      <c r="AA44" s="191">
        <v>256417</v>
      </c>
      <c r="AB44" s="224">
        <f t="shared" si="55"/>
        <v>19231275</v>
      </c>
      <c r="AC44" s="225" t="str">
        <f t="shared" si="56"/>
        <v>VÁLIDA</v>
      </c>
      <c r="AD44" s="191">
        <v>259000</v>
      </c>
      <c r="AE44" s="224">
        <f t="shared" si="57"/>
        <v>19425000</v>
      </c>
      <c r="AF44" s="225" t="str">
        <f t="shared" si="58"/>
        <v>VÁLIDA</v>
      </c>
      <c r="AH44" s="224">
        <f t="shared" si="59"/>
        <v>0</v>
      </c>
      <c r="AI44" s="225" t="str">
        <f t="shared" si="60"/>
        <v>VÁLIDA</v>
      </c>
      <c r="AJ44" s="224">
        <v>241120</v>
      </c>
      <c r="AK44" s="224">
        <f t="shared" si="61"/>
        <v>18084000</v>
      </c>
      <c r="AL44" s="225" t="str">
        <f t="shared" si="62"/>
        <v>VÁLIDA</v>
      </c>
      <c r="AM44" s="224">
        <v>258621</v>
      </c>
      <c r="AN44" s="224">
        <f t="shared" si="63"/>
        <v>19396575</v>
      </c>
      <c r="AO44" s="225" t="str">
        <f t="shared" si="64"/>
        <v>VÁLIDA</v>
      </c>
      <c r="AP44" s="224">
        <v>259269</v>
      </c>
      <c r="AQ44" s="224">
        <f t="shared" si="65"/>
        <v>19445175</v>
      </c>
      <c r="AR44" s="225" t="str">
        <f t="shared" si="66"/>
        <v>VÁLIDA</v>
      </c>
      <c r="AS44" s="224">
        <v>255000</v>
      </c>
      <c r="AT44" s="224">
        <f t="shared" si="67"/>
        <v>19125000</v>
      </c>
      <c r="AU44" s="225" t="str">
        <f t="shared" si="68"/>
        <v>VÁLIDA</v>
      </c>
      <c r="AV44" s="224">
        <v>344517.3</v>
      </c>
      <c r="AW44" s="224">
        <f t="shared" si="69"/>
        <v>25838797.5</v>
      </c>
      <c r="AX44" s="225" t="str">
        <f t="shared" si="70"/>
        <v>NO VÁLIDA</v>
      </c>
      <c r="AY44" s="224">
        <v>259269</v>
      </c>
      <c r="AZ44" s="224">
        <f t="shared" si="71"/>
        <v>19445175</v>
      </c>
      <c r="BA44" s="225" t="str">
        <f t="shared" si="72"/>
        <v>VÁLIDA</v>
      </c>
      <c r="BB44" s="224">
        <v>248612.407853874</v>
      </c>
      <c r="BC44" s="224">
        <f t="shared" si="73"/>
        <v>18645930.589040551</v>
      </c>
      <c r="BD44" s="225" t="str">
        <f t="shared" si="74"/>
        <v>VÁLIDA</v>
      </c>
      <c r="BE44" s="224">
        <v>253669</v>
      </c>
      <c r="BF44" s="224">
        <f t="shared" si="75"/>
        <v>19025175</v>
      </c>
      <c r="BG44" s="225" t="str">
        <f t="shared" si="76"/>
        <v>VÁLIDA</v>
      </c>
      <c r="BH44" s="224">
        <v>256676.31</v>
      </c>
      <c r="BI44" s="224">
        <f t="shared" si="77"/>
        <v>19250723.25</v>
      </c>
      <c r="BJ44" s="225" t="str">
        <f t="shared" si="78"/>
        <v>VÁLIDA</v>
      </c>
      <c r="BK44" s="224">
        <v>257195</v>
      </c>
      <c r="BL44" s="224">
        <f t="shared" si="79"/>
        <v>19289625</v>
      </c>
      <c r="BM44" s="225" t="str">
        <f t="shared" si="80"/>
        <v>VÁLIDA</v>
      </c>
      <c r="BN44" s="224">
        <v>254638</v>
      </c>
      <c r="BO44" s="224">
        <f t="shared" si="81"/>
        <v>19097850</v>
      </c>
      <c r="BP44" s="225" t="str">
        <f t="shared" si="82"/>
        <v>VÁLIDA</v>
      </c>
    </row>
    <row r="45" spans="2:68" s="167" customFormat="1" ht="27" customHeight="1" x14ac:dyDescent="0.2">
      <c r="B45" s="103"/>
      <c r="C45" s="94">
        <f>C44+0.01</f>
        <v>1.04</v>
      </c>
      <c r="D45" s="95" t="s">
        <v>114</v>
      </c>
      <c r="E45" s="96" t="s">
        <v>115</v>
      </c>
      <c r="F45" s="97">
        <v>720</v>
      </c>
      <c r="G45" s="98">
        <v>4326</v>
      </c>
      <c r="H45" s="98">
        <f t="shared" si="42"/>
        <v>3114720</v>
      </c>
      <c r="I45" s="191">
        <v>4259</v>
      </c>
      <c r="J45" s="224">
        <f t="shared" si="43"/>
        <v>3066480</v>
      </c>
      <c r="K45" s="225" t="str">
        <f t="shared" si="44"/>
        <v>VÁLIDA</v>
      </c>
      <c r="L45" s="191">
        <v>4278</v>
      </c>
      <c r="M45" s="224">
        <f t="shared" si="45"/>
        <v>3080160</v>
      </c>
      <c r="N45" s="225" t="str">
        <f t="shared" si="46"/>
        <v>VÁLIDA</v>
      </c>
      <c r="O45" s="191">
        <v>4326</v>
      </c>
      <c r="P45" s="224">
        <f t="shared" si="47"/>
        <v>3114720</v>
      </c>
      <c r="Q45" s="225" t="str">
        <f t="shared" si="48"/>
        <v>VÁLIDA</v>
      </c>
      <c r="R45" s="191">
        <v>4262</v>
      </c>
      <c r="S45" s="224">
        <f t="shared" si="49"/>
        <v>3068640</v>
      </c>
      <c r="T45" s="225" t="str">
        <f t="shared" si="50"/>
        <v>VÁLIDA</v>
      </c>
      <c r="U45" s="191">
        <v>4326</v>
      </c>
      <c r="V45" s="224">
        <f t="shared" si="51"/>
        <v>3114720</v>
      </c>
      <c r="W45" s="225" t="str">
        <f t="shared" si="52"/>
        <v>VÁLIDA</v>
      </c>
      <c r="X45" s="191">
        <v>4256</v>
      </c>
      <c r="Y45" s="224">
        <f t="shared" si="53"/>
        <v>3064320</v>
      </c>
      <c r="Z45" s="225" t="str">
        <f t="shared" si="54"/>
        <v>VÁLIDA</v>
      </c>
      <c r="AA45" s="191">
        <v>4278</v>
      </c>
      <c r="AB45" s="224">
        <f t="shared" si="55"/>
        <v>3080160</v>
      </c>
      <c r="AC45" s="225" t="str">
        <f t="shared" si="56"/>
        <v>VÁLIDA</v>
      </c>
      <c r="AD45" s="191">
        <v>4326</v>
      </c>
      <c r="AE45" s="224">
        <f t="shared" si="57"/>
        <v>3114720</v>
      </c>
      <c r="AF45" s="225" t="str">
        <f t="shared" si="58"/>
        <v>VÁLIDA</v>
      </c>
      <c r="AH45" s="224">
        <f t="shared" si="59"/>
        <v>0</v>
      </c>
      <c r="AI45" s="225" t="str">
        <f t="shared" si="60"/>
        <v>VÁLIDA</v>
      </c>
      <c r="AJ45" s="224">
        <v>4023</v>
      </c>
      <c r="AK45" s="224">
        <f t="shared" si="61"/>
        <v>2896560</v>
      </c>
      <c r="AL45" s="225" t="str">
        <f t="shared" si="62"/>
        <v>VÁLIDA</v>
      </c>
      <c r="AM45" s="224">
        <v>4315</v>
      </c>
      <c r="AN45" s="224">
        <f t="shared" si="63"/>
        <v>3106800</v>
      </c>
      <c r="AO45" s="225" t="str">
        <f t="shared" si="64"/>
        <v>VÁLIDA</v>
      </c>
      <c r="AP45" s="224">
        <v>4326</v>
      </c>
      <c r="AQ45" s="224">
        <f t="shared" si="65"/>
        <v>3114720</v>
      </c>
      <c r="AR45" s="225" t="str">
        <f t="shared" si="66"/>
        <v>VÁLIDA</v>
      </c>
      <c r="AS45" s="224">
        <v>4200</v>
      </c>
      <c r="AT45" s="224">
        <f t="shared" si="67"/>
        <v>3024000</v>
      </c>
      <c r="AU45" s="225" t="str">
        <f t="shared" si="68"/>
        <v>VÁLIDA</v>
      </c>
      <c r="AV45" s="224">
        <v>5748.3</v>
      </c>
      <c r="AW45" s="224">
        <f t="shared" si="69"/>
        <v>4138776</v>
      </c>
      <c r="AX45" s="225" t="str">
        <f t="shared" si="70"/>
        <v>NO VÁLIDA</v>
      </c>
      <c r="AY45" s="224">
        <v>4326</v>
      </c>
      <c r="AZ45" s="224">
        <f t="shared" si="71"/>
        <v>3114720</v>
      </c>
      <c r="BA45" s="225" t="str">
        <f t="shared" si="72"/>
        <v>VÁLIDA</v>
      </c>
      <c r="BB45" s="224">
        <v>4148.1907839960004</v>
      </c>
      <c r="BC45" s="224">
        <f t="shared" si="73"/>
        <v>2986697.3644771203</v>
      </c>
      <c r="BD45" s="225" t="str">
        <f t="shared" si="74"/>
        <v>VÁLIDA</v>
      </c>
      <c r="BE45" s="224">
        <v>4233</v>
      </c>
      <c r="BF45" s="224">
        <f t="shared" si="75"/>
        <v>3047760</v>
      </c>
      <c r="BG45" s="225" t="str">
        <f t="shared" si="76"/>
        <v>VÁLIDA</v>
      </c>
      <c r="BH45" s="224">
        <v>4282.74</v>
      </c>
      <c r="BI45" s="224">
        <f t="shared" si="77"/>
        <v>3083572.8</v>
      </c>
      <c r="BJ45" s="225" t="str">
        <f t="shared" si="78"/>
        <v>VÁLIDA</v>
      </c>
      <c r="BK45" s="224">
        <v>4291</v>
      </c>
      <c r="BL45" s="224">
        <f t="shared" si="79"/>
        <v>3089520</v>
      </c>
      <c r="BM45" s="225" t="str">
        <f t="shared" si="80"/>
        <v>VÁLIDA</v>
      </c>
      <c r="BN45" s="224">
        <v>4248</v>
      </c>
      <c r="BO45" s="224">
        <f t="shared" si="81"/>
        <v>3058560</v>
      </c>
      <c r="BP45" s="225" t="str">
        <f t="shared" si="82"/>
        <v>VÁLIDA</v>
      </c>
    </row>
    <row r="46" spans="2:68" s="167" customFormat="1" ht="27" customHeight="1" x14ac:dyDescent="0.2">
      <c r="B46" s="103"/>
      <c r="C46" s="94">
        <f>C45+0.01</f>
        <v>1.05</v>
      </c>
      <c r="D46" s="95" t="s">
        <v>116</v>
      </c>
      <c r="E46" s="96" t="s">
        <v>85</v>
      </c>
      <c r="F46" s="97">
        <v>170</v>
      </c>
      <c r="G46" s="98">
        <v>28326</v>
      </c>
      <c r="H46" s="98">
        <f t="shared" si="42"/>
        <v>4815420</v>
      </c>
      <c r="I46" s="191">
        <v>27885</v>
      </c>
      <c r="J46" s="224">
        <f t="shared" si="43"/>
        <v>4740450</v>
      </c>
      <c r="K46" s="225" t="str">
        <f t="shared" si="44"/>
        <v>VÁLIDA</v>
      </c>
      <c r="L46" s="191">
        <v>28014</v>
      </c>
      <c r="M46" s="224">
        <f t="shared" si="45"/>
        <v>4762380</v>
      </c>
      <c r="N46" s="225" t="str">
        <f t="shared" si="46"/>
        <v>VÁLIDA</v>
      </c>
      <c r="O46" s="191">
        <v>28326</v>
      </c>
      <c r="P46" s="224">
        <f t="shared" si="47"/>
        <v>4815420</v>
      </c>
      <c r="Q46" s="225" t="str">
        <f t="shared" si="48"/>
        <v>VÁLIDA</v>
      </c>
      <c r="R46" s="191">
        <v>27910</v>
      </c>
      <c r="S46" s="224">
        <f t="shared" si="49"/>
        <v>4744700</v>
      </c>
      <c r="T46" s="225" t="str">
        <f t="shared" si="50"/>
        <v>VÁLIDA</v>
      </c>
      <c r="U46" s="191">
        <v>28326</v>
      </c>
      <c r="V46" s="224">
        <f t="shared" si="51"/>
        <v>4815420</v>
      </c>
      <c r="W46" s="225" t="str">
        <f t="shared" si="52"/>
        <v>VÁLIDA</v>
      </c>
      <c r="X46" s="191">
        <v>27872</v>
      </c>
      <c r="Y46" s="224">
        <f t="shared" si="53"/>
        <v>4738240</v>
      </c>
      <c r="Z46" s="225" t="str">
        <f t="shared" si="54"/>
        <v>VÁLIDA</v>
      </c>
      <c r="AA46" s="191">
        <v>28014</v>
      </c>
      <c r="AB46" s="224">
        <f t="shared" si="55"/>
        <v>4762380</v>
      </c>
      <c r="AC46" s="225" t="str">
        <f t="shared" si="56"/>
        <v>VÁLIDA</v>
      </c>
      <c r="AD46" s="191">
        <v>28326</v>
      </c>
      <c r="AE46" s="224">
        <f t="shared" si="57"/>
        <v>4815420</v>
      </c>
      <c r="AF46" s="225" t="str">
        <f t="shared" si="58"/>
        <v>VÁLIDA</v>
      </c>
      <c r="AH46" s="224">
        <f t="shared" si="59"/>
        <v>0</v>
      </c>
      <c r="AI46" s="225" t="str">
        <f t="shared" si="60"/>
        <v>VÁLIDA</v>
      </c>
      <c r="AJ46" s="224">
        <v>26343</v>
      </c>
      <c r="AK46" s="224">
        <f t="shared" si="61"/>
        <v>4478310</v>
      </c>
      <c r="AL46" s="225" t="str">
        <f t="shared" si="62"/>
        <v>VÁLIDA</v>
      </c>
      <c r="AM46" s="224">
        <v>28255</v>
      </c>
      <c r="AN46" s="224">
        <f t="shared" si="63"/>
        <v>4803350</v>
      </c>
      <c r="AO46" s="225" t="str">
        <f t="shared" si="64"/>
        <v>VÁLIDA</v>
      </c>
      <c r="AP46" s="224">
        <v>28326</v>
      </c>
      <c r="AQ46" s="224">
        <f t="shared" si="65"/>
        <v>4815420</v>
      </c>
      <c r="AR46" s="225" t="str">
        <f t="shared" si="66"/>
        <v>VÁLIDA</v>
      </c>
      <c r="AS46" s="224">
        <v>27700</v>
      </c>
      <c r="AT46" s="224">
        <f t="shared" si="67"/>
        <v>4709000</v>
      </c>
      <c r="AU46" s="225" t="str">
        <f t="shared" si="68"/>
        <v>VÁLIDA</v>
      </c>
      <c r="AV46" s="224">
        <v>37639.35</v>
      </c>
      <c r="AW46" s="224">
        <f t="shared" si="69"/>
        <v>6398689.5</v>
      </c>
      <c r="AX46" s="225" t="str">
        <f t="shared" si="70"/>
        <v>NO VÁLIDA</v>
      </c>
      <c r="AY46" s="224">
        <v>28326</v>
      </c>
      <c r="AZ46" s="224">
        <f t="shared" si="71"/>
        <v>4815420</v>
      </c>
      <c r="BA46" s="225" t="str">
        <f t="shared" si="72"/>
        <v>VÁLIDA</v>
      </c>
      <c r="BB46" s="224">
        <v>27161.731887996</v>
      </c>
      <c r="BC46" s="224">
        <f t="shared" si="73"/>
        <v>4617494.4209593199</v>
      </c>
      <c r="BD46" s="225" t="str">
        <f t="shared" si="74"/>
        <v>VÁLIDA</v>
      </c>
      <c r="BE46" s="224">
        <v>27714</v>
      </c>
      <c r="BF46" s="224">
        <f t="shared" si="75"/>
        <v>4711380</v>
      </c>
      <c r="BG46" s="225" t="str">
        <f t="shared" si="76"/>
        <v>VÁLIDA</v>
      </c>
      <c r="BH46" s="224">
        <v>28042.739999999998</v>
      </c>
      <c r="BI46" s="224">
        <f t="shared" si="77"/>
        <v>4767265.8</v>
      </c>
      <c r="BJ46" s="225" t="str">
        <f t="shared" si="78"/>
        <v>VÁLIDA</v>
      </c>
      <c r="BK46" s="224">
        <v>28099</v>
      </c>
      <c r="BL46" s="224">
        <f t="shared" si="79"/>
        <v>4776830</v>
      </c>
      <c r="BM46" s="225" t="str">
        <f t="shared" si="80"/>
        <v>VÁLIDA</v>
      </c>
      <c r="BN46" s="224">
        <v>27820</v>
      </c>
      <c r="BO46" s="224">
        <f t="shared" si="81"/>
        <v>4729400</v>
      </c>
      <c r="BP46" s="225" t="str">
        <f t="shared" si="82"/>
        <v>VÁLIDA</v>
      </c>
    </row>
    <row r="47" spans="2:68" s="167" customFormat="1" ht="31.5" customHeight="1" x14ac:dyDescent="0.2">
      <c r="B47" s="103">
        <v>6204</v>
      </c>
      <c r="C47" s="94">
        <f>C46+0.01</f>
        <v>1.06</v>
      </c>
      <c r="D47" s="95" t="str">
        <f>VLOOKUP(B47,[2]ITEMS!$B$4:$E$2466,2,FALSE)</f>
        <v>SELLO DE JUNTAS CON ICOPOR Y SIKAFLEX 1A SELLADO DE JUNTAS (300cc) (Incluye suministro e instalación)</v>
      </c>
      <c r="E47" s="96" t="str">
        <f>VLOOKUP(B47,[2]ITEMS!$B$4:$E$2466,3,FALSE)</f>
        <v>M</v>
      </c>
      <c r="F47" s="97">
        <v>720</v>
      </c>
      <c r="G47" s="98">
        <f>VLOOKUP(B47,[2]ITEMS!$B$4:$E$2466,4,FALSE)</f>
        <v>14916</v>
      </c>
      <c r="H47" s="98">
        <f t="shared" si="42"/>
        <v>10739520</v>
      </c>
      <c r="I47" s="191">
        <v>14684</v>
      </c>
      <c r="J47" s="224">
        <f t="shared" si="43"/>
        <v>10572480</v>
      </c>
      <c r="K47" s="225" t="str">
        <f t="shared" si="44"/>
        <v>VÁLIDA</v>
      </c>
      <c r="L47" s="191">
        <v>14752</v>
      </c>
      <c r="M47" s="224">
        <f t="shared" si="45"/>
        <v>10621440</v>
      </c>
      <c r="N47" s="225" t="str">
        <f t="shared" si="46"/>
        <v>VÁLIDA</v>
      </c>
      <c r="O47" s="191">
        <v>14916</v>
      </c>
      <c r="P47" s="224">
        <f t="shared" si="47"/>
        <v>10739520</v>
      </c>
      <c r="Q47" s="225" t="str">
        <f t="shared" si="48"/>
        <v>VÁLIDA</v>
      </c>
      <c r="R47" s="191">
        <v>14697</v>
      </c>
      <c r="S47" s="224">
        <f t="shared" si="49"/>
        <v>10581840</v>
      </c>
      <c r="T47" s="225" t="str">
        <f t="shared" si="50"/>
        <v>VÁLIDA</v>
      </c>
      <c r="U47" s="191">
        <v>14916</v>
      </c>
      <c r="V47" s="224">
        <f t="shared" si="51"/>
        <v>10739520</v>
      </c>
      <c r="W47" s="225" t="str">
        <f t="shared" si="52"/>
        <v>VÁLIDA</v>
      </c>
      <c r="X47" s="191">
        <v>14677</v>
      </c>
      <c r="Y47" s="224">
        <f t="shared" si="53"/>
        <v>10567440</v>
      </c>
      <c r="Z47" s="225" t="str">
        <f t="shared" si="54"/>
        <v>VÁLIDA</v>
      </c>
      <c r="AA47" s="191">
        <v>14752</v>
      </c>
      <c r="AB47" s="224">
        <f t="shared" si="55"/>
        <v>10621440</v>
      </c>
      <c r="AC47" s="225" t="str">
        <f t="shared" si="56"/>
        <v>VÁLIDA</v>
      </c>
      <c r="AD47" s="191">
        <v>14916</v>
      </c>
      <c r="AE47" s="224">
        <f t="shared" si="57"/>
        <v>10739520</v>
      </c>
      <c r="AF47" s="225" t="str">
        <f t="shared" si="58"/>
        <v>VÁLIDA</v>
      </c>
      <c r="AH47" s="224">
        <f t="shared" si="59"/>
        <v>0</v>
      </c>
      <c r="AI47" s="225" t="str">
        <f t="shared" si="60"/>
        <v>VÁLIDA</v>
      </c>
      <c r="AJ47" s="224">
        <v>13872</v>
      </c>
      <c r="AK47" s="224">
        <f t="shared" si="61"/>
        <v>9987840</v>
      </c>
      <c r="AL47" s="225" t="str">
        <f t="shared" si="62"/>
        <v>VÁLIDA</v>
      </c>
      <c r="AM47" s="224">
        <v>14879</v>
      </c>
      <c r="AN47" s="224">
        <f t="shared" si="63"/>
        <v>10712880</v>
      </c>
      <c r="AO47" s="225" t="str">
        <f t="shared" si="64"/>
        <v>VÁLIDA</v>
      </c>
      <c r="AP47" s="224">
        <v>14916</v>
      </c>
      <c r="AQ47" s="224">
        <f t="shared" si="65"/>
        <v>10739520</v>
      </c>
      <c r="AR47" s="225" t="str">
        <f t="shared" si="66"/>
        <v>VÁLIDA</v>
      </c>
      <c r="AS47" s="224">
        <v>14500</v>
      </c>
      <c r="AT47" s="224">
        <f t="shared" si="67"/>
        <v>10440000</v>
      </c>
      <c r="AU47" s="225" t="str">
        <f t="shared" si="68"/>
        <v>VÁLIDA</v>
      </c>
      <c r="AV47" s="224">
        <v>19820.7</v>
      </c>
      <c r="AW47" s="224">
        <f t="shared" si="69"/>
        <v>14270904</v>
      </c>
      <c r="AX47" s="225" t="str">
        <f t="shared" si="70"/>
        <v>NO VÁLIDA</v>
      </c>
      <c r="AY47" s="224">
        <v>14916</v>
      </c>
      <c r="AZ47" s="224">
        <f t="shared" si="71"/>
        <v>10739520</v>
      </c>
      <c r="BA47" s="225" t="str">
        <f t="shared" si="72"/>
        <v>VÁLIDA</v>
      </c>
      <c r="BB47" s="224">
        <v>14302.915796136</v>
      </c>
      <c r="BC47" s="224">
        <f t="shared" si="73"/>
        <v>10298099.37321792</v>
      </c>
      <c r="BD47" s="225" t="str">
        <f t="shared" si="74"/>
        <v>VÁLIDA</v>
      </c>
      <c r="BE47" s="224">
        <v>14594</v>
      </c>
      <c r="BF47" s="224">
        <f t="shared" si="75"/>
        <v>10507680</v>
      </c>
      <c r="BG47" s="225" t="str">
        <f t="shared" si="76"/>
        <v>VÁLIDA</v>
      </c>
      <c r="BH47" s="224">
        <v>14766.84</v>
      </c>
      <c r="BI47" s="224">
        <f t="shared" si="77"/>
        <v>10632124.800000001</v>
      </c>
      <c r="BJ47" s="225" t="str">
        <f t="shared" si="78"/>
        <v>VÁLIDA</v>
      </c>
      <c r="BK47" s="224">
        <v>14797</v>
      </c>
      <c r="BL47" s="224">
        <f t="shared" si="79"/>
        <v>10653840</v>
      </c>
      <c r="BM47" s="225" t="str">
        <f t="shared" si="80"/>
        <v>VÁLIDA</v>
      </c>
      <c r="BN47" s="224">
        <v>14649</v>
      </c>
      <c r="BO47" s="224">
        <f t="shared" si="81"/>
        <v>10547280</v>
      </c>
      <c r="BP47" s="225" t="str">
        <f t="shared" si="82"/>
        <v>VÁLIDA</v>
      </c>
    </row>
    <row r="48" spans="2:68" s="167" customFormat="1" ht="36" customHeight="1" x14ac:dyDescent="0.2">
      <c r="B48" s="103">
        <v>7714</v>
      </c>
      <c r="C48" s="94">
        <f>C43+0.01</f>
        <v>1.03</v>
      </c>
      <c r="D48" s="95" t="s">
        <v>117</v>
      </c>
      <c r="E48" s="96" t="s">
        <v>86</v>
      </c>
      <c r="F48" s="97">
        <v>2677</v>
      </c>
      <c r="G48" s="98">
        <v>3659</v>
      </c>
      <c r="H48" s="98">
        <f t="shared" si="42"/>
        <v>9795143</v>
      </c>
      <c r="I48" s="191">
        <v>3602</v>
      </c>
      <c r="J48" s="224">
        <f t="shared" si="43"/>
        <v>9642554</v>
      </c>
      <c r="K48" s="225" t="str">
        <f t="shared" si="44"/>
        <v>VÁLIDA</v>
      </c>
      <c r="L48" s="191">
        <v>3619</v>
      </c>
      <c r="M48" s="224">
        <f t="shared" si="45"/>
        <v>9688063</v>
      </c>
      <c r="N48" s="225" t="str">
        <f t="shared" si="46"/>
        <v>VÁLIDA</v>
      </c>
      <c r="O48" s="191">
        <v>3659</v>
      </c>
      <c r="P48" s="224">
        <f t="shared" si="47"/>
        <v>9795143</v>
      </c>
      <c r="Q48" s="225" t="str">
        <f t="shared" si="48"/>
        <v>VÁLIDA</v>
      </c>
      <c r="R48" s="191">
        <v>3605</v>
      </c>
      <c r="S48" s="224">
        <f t="shared" si="49"/>
        <v>9650585</v>
      </c>
      <c r="T48" s="225" t="str">
        <f t="shared" si="50"/>
        <v>VÁLIDA</v>
      </c>
      <c r="U48" s="191">
        <v>3659</v>
      </c>
      <c r="V48" s="224">
        <f t="shared" si="51"/>
        <v>9795143</v>
      </c>
      <c r="W48" s="225" t="str">
        <f t="shared" si="52"/>
        <v>VÁLIDA</v>
      </c>
      <c r="X48" s="191">
        <v>3600</v>
      </c>
      <c r="Y48" s="224">
        <f t="shared" si="53"/>
        <v>9637200</v>
      </c>
      <c r="Z48" s="225" t="str">
        <f t="shared" si="54"/>
        <v>VÁLIDA</v>
      </c>
      <c r="AA48" s="191">
        <v>3619</v>
      </c>
      <c r="AB48" s="224">
        <f t="shared" si="55"/>
        <v>9688063</v>
      </c>
      <c r="AC48" s="225" t="str">
        <f t="shared" si="56"/>
        <v>VÁLIDA</v>
      </c>
      <c r="AD48" s="191">
        <v>3659</v>
      </c>
      <c r="AE48" s="224">
        <f t="shared" si="57"/>
        <v>9795143</v>
      </c>
      <c r="AF48" s="225" t="str">
        <f t="shared" si="58"/>
        <v>VÁLIDA</v>
      </c>
      <c r="AH48" s="224">
        <f t="shared" si="59"/>
        <v>0</v>
      </c>
      <c r="AI48" s="225" t="str">
        <f t="shared" si="60"/>
        <v>VÁLIDA</v>
      </c>
      <c r="AJ48" s="224">
        <v>3403</v>
      </c>
      <c r="AK48" s="224">
        <f t="shared" si="61"/>
        <v>9109831</v>
      </c>
      <c r="AL48" s="225" t="str">
        <f t="shared" si="62"/>
        <v>VÁLIDA</v>
      </c>
      <c r="AM48" s="224">
        <v>3650</v>
      </c>
      <c r="AN48" s="224">
        <f t="shared" si="63"/>
        <v>9771050</v>
      </c>
      <c r="AO48" s="225" t="str">
        <f t="shared" si="64"/>
        <v>VÁLIDA</v>
      </c>
      <c r="AP48" s="224">
        <v>3659</v>
      </c>
      <c r="AQ48" s="224">
        <f t="shared" si="65"/>
        <v>9795143</v>
      </c>
      <c r="AR48" s="225" t="str">
        <f t="shared" si="66"/>
        <v>VÁLIDA</v>
      </c>
      <c r="AS48" s="224">
        <v>3500</v>
      </c>
      <c r="AT48" s="224">
        <f t="shared" si="67"/>
        <v>9369500</v>
      </c>
      <c r="AU48" s="225" t="str">
        <f t="shared" si="68"/>
        <v>VÁLIDA</v>
      </c>
      <c r="AV48" s="224">
        <v>4862.7</v>
      </c>
      <c r="AW48" s="224">
        <f t="shared" si="69"/>
        <v>13017447.9</v>
      </c>
      <c r="AX48" s="225" t="str">
        <f t="shared" si="70"/>
        <v>NO VÁLIDA</v>
      </c>
      <c r="AY48" s="224">
        <v>3659</v>
      </c>
      <c r="AZ48" s="224">
        <f t="shared" si="71"/>
        <v>9795143</v>
      </c>
      <c r="BA48" s="225" t="str">
        <f t="shared" si="72"/>
        <v>VÁLIDA</v>
      </c>
      <c r="BB48" s="224">
        <v>3508.606120814</v>
      </c>
      <c r="BC48" s="224">
        <f t="shared" si="73"/>
        <v>9392538.5854190774</v>
      </c>
      <c r="BD48" s="225" t="str">
        <f t="shared" si="74"/>
        <v>VÁLIDA</v>
      </c>
      <c r="BE48" s="224">
        <v>3580</v>
      </c>
      <c r="BF48" s="224">
        <f t="shared" si="75"/>
        <v>9583660</v>
      </c>
      <c r="BG48" s="225" t="str">
        <f t="shared" si="76"/>
        <v>VÁLIDA</v>
      </c>
      <c r="BH48" s="224">
        <v>3622.41</v>
      </c>
      <c r="BI48" s="224">
        <f t="shared" si="77"/>
        <v>9697191.5700000003</v>
      </c>
      <c r="BJ48" s="225" t="str">
        <f t="shared" si="78"/>
        <v>VÁLIDA</v>
      </c>
      <c r="BK48" s="224">
        <v>3630</v>
      </c>
      <c r="BL48" s="224">
        <f t="shared" si="79"/>
        <v>9717510</v>
      </c>
      <c r="BM48" s="225" t="str">
        <f t="shared" si="80"/>
        <v>VÁLIDA</v>
      </c>
      <c r="BN48" s="224">
        <v>3593</v>
      </c>
      <c r="BO48" s="224">
        <f t="shared" si="81"/>
        <v>9618461</v>
      </c>
      <c r="BP48" s="225" t="str">
        <f t="shared" si="82"/>
        <v>VÁLIDA</v>
      </c>
    </row>
    <row r="49" spans="2:68" s="167" customFormat="1" ht="36" customHeight="1" x14ac:dyDescent="0.2">
      <c r="B49" s="103">
        <v>5404</v>
      </c>
      <c r="C49" s="94">
        <f>C48+0.01</f>
        <v>1.04</v>
      </c>
      <c r="D49" s="95" t="str">
        <f>VLOOKUP(B49,[2]ITEMS!$B$4:$E$2466,2,FALSE)</f>
        <v>CANASTILLA PASAJUNTAS (Incluye suministro y fijación)</v>
      </c>
      <c r="E49" s="96" t="str">
        <f>VLOOKUP(B49,[2]ITEMS!$B$4:$E$2466,3,FALSE)</f>
        <v>KG</v>
      </c>
      <c r="F49" s="97">
        <v>1550</v>
      </c>
      <c r="G49" s="98">
        <f>VLOOKUP(B49,[2]ITEMS!$B$4:$E$2466,4,FALSE)</f>
        <v>4280</v>
      </c>
      <c r="H49" s="98">
        <f t="shared" si="42"/>
        <v>6634000</v>
      </c>
      <c r="I49" s="191">
        <v>4213</v>
      </c>
      <c r="J49" s="224">
        <f t="shared" si="43"/>
        <v>6530150</v>
      </c>
      <c r="K49" s="225" t="str">
        <f t="shared" si="44"/>
        <v>VÁLIDA</v>
      </c>
      <c r="L49" s="191">
        <v>4233</v>
      </c>
      <c r="M49" s="224">
        <f t="shared" si="45"/>
        <v>6561150</v>
      </c>
      <c r="N49" s="225" t="str">
        <f t="shared" si="46"/>
        <v>VÁLIDA</v>
      </c>
      <c r="O49" s="191">
        <v>4280</v>
      </c>
      <c r="P49" s="224">
        <f t="shared" si="47"/>
        <v>6634000</v>
      </c>
      <c r="Q49" s="225" t="str">
        <f t="shared" si="48"/>
        <v>VÁLIDA</v>
      </c>
      <c r="R49" s="191">
        <v>4217</v>
      </c>
      <c r="S49" s="224">
        <f t="shared" si="49"/>
        <v>6536350</v>
      </c>
      <c r="T49" s="225" t="str">
        <f t="shared" si="50"/>
        <v>VÁLIDA</v>
      </c>
      <c r="U49" s="191">
        <v>4280</v>
      </c>
      <c r="V49" s="224">
        <f t="shared" si="51"/>
        <v>6634000</v>
      </c>
      <c r="W49" s="225" t="str">
        <f t="shared" si="52"/>
        <v>VÁLIDA</v>
      </c>
      <c r="X49" s="191">
        <v>4211</v>
      </c>
      <c r="Y49" s="224">
        <f t="shared" si="53"/>
        <v>6527050</v>
      </c>
      <c r="Z49" s="225" t="str">
        <f t="shared" si="54"/>
        <v>VÁLIDA</v>
      </c>
      <c r="AA49" s="191">
        <v>4233</v>
      </c>
      <c r="AB49" s="224">
        <f t="shared" si="55"/>
        <v>6561150</v>
      </c>
      <c r="AC49" s="225" t="str">
        <f t="shared" si="56"/>
        <v>VÁLIDA</v>
      </c>
      <c r="AD49" s="191">
        <v>4280</v>
      </c>
      <c r="AE49" s="224">
        <f t="shared" si="57"/>
        <v>6634000</v>
      </c>
      <c r="AF49" s="225" t="str">
        <f t="shared" si="58"/>
        <v>VÁLIDA</v>
      </c>
      <c r="AH49" s="224">
        <f t="shared" si="59"/>
        <v>0</v>
      </c>
      <c r="AI49" s="225" t="str">
        <f t="shared" si="60"/>
        <v>VÁLIDA</v>
      </c>
      <c r="AJ49" s="224">
        <v>3980</v>
      </c>
      <c r="AK49" s="224">
        <f t="shared" si="61"/>
        <v>6169000</v>
      </c>
      <c r="AL49" s="225" t="str">
        <f t="shared" si="62"/>
        <v>VÁLIDA</v>
      </c>
      <c r="AM49" s="224">
        <v>4269</v>
      </c>
      <c r="AN49" s="224">
        <f t="shared" si="63"/>
        <v>6616950</v>
      </c>
      <c r="AO49" s="225" t="str">
        <f t="shared" si="64"/>
        <v>VÁLIDA</v>
      </c>
      <c r="AP49" s="224">
        <v>4280</v>
      </c>
      <c r="AQ49" s="224">
        <f t="shared" si="65"/>
        <v>6634000</v>
      </c>
      <c r="AR49" s="225" t="str">
        <f t="shared" si="66"/>
        <v>VÁLIDA</v>
      </c>
      <c r="AS49" s="224">
        <v>4100</v>
      </c>
      <c r="AT49" s="224">
        <f t="shared" si="67"/>
        <v>6355000</v>
      </c>
      <c r="AU49" s="225" t="str">
        <f t="shared" si="68"/>
        <v>VÁLIDA</v>
      </c>
      <c r="AV49" s="224">
        <v>5687.55</v>
      </c>
      <c r="AW49" s="224">
        <f t="shared" si="69"/>
        <v>8815702.5</v>
      </c>
      <c r="AX49" s="225" t="str">
        <f t="shared" si="70"/>
        <v>NO VÁLIDA</v>
      </c>
      <c r="AY49" s="224">
        <v>4280</v>
      </c>
      <c r="AZ49" s="224">
        <f t="shared" si="71"/>
        <v>6634000</v>
      </c>
      <c r="BA49" s="225" t="str">
        <f t="shared" si="72"/>
        <v>VÁLIDA</v>
      </c>
      <c r="BB49" s="224">
        <v>4104.0814968799996</v>
      </c>
      <c r="BC49" s="224">
        <f t="shared" si="73"/>
        <v>6361326.3201639997</v>
      </c>
      <c r="BD49" s="225" t="str">
        <f t="shared" si="74"/>
        <v>VÁLIDA</v>
      </c>
      <c r="BE49" s="224">
        <v>4188</v>
      </c>
      <c r="BF49" s="224">
        <f t="shared" si="75"/>
        <v>6491400</v>
      </c>
      <c r="BG49" s="225" t="str">
        <f t="shared" si="76"/>
        <v>VÁLIDA</v>
      </c>
      <c r="BH49" s="224">
        <v>4237.2</v>
      </c>
      <c r="BI49" s="224">
        <f t="shared" si="77"/>
        <v>6567660</v>
      </c>
      <c r="BJ49" s="225" t="str">
        <f t="shared" si="78"/>
        <v>VÁLIDA</v>
      </c>
      <c r="BK49" s="224">
        <v>4246</v>
      </c>
      <c r="BL49" s="224">
        <f t="shared" si="79"/>
        <v>6581300</v>
      </c>
      <c r="BM49" s="225" t="str">
        <f t="shared" si="80"/>
        <v>VÁLIDA</v>
      </c>
      <c r="BN49" s="224">
        <v>4203</v>
      </c>
      <c r="BO49" s="224">
        <f t="shared" si="81"/>
        <v>6514650</v>
      </c>
      <c r="BP49" s="225" t="str">
        <f t="shared" si="82"/>
        <v>VÁLIDA</v>
      </c>
    </row>
    <row r="50" spans="2:68" s="167" customFormat="1" ht="36" customHeight="1" x14ac:dyDescent="0.2">
      <c r="B50" s="103">
        <v>3874</v>
      </c>
      <c r="C50" s="94">
        <f>C49+0.01</f>
        <v>1.05</v>
      </c>
      <c r="D50" s="95" t="str">
        <f>VLOOKUP(B50,[2]ITEMS!$B$4:$E$2466,2,FALSE)</f>
        <v>MORTERO 1:5 (Hecho en Obra)</v>
      </c>
      <c r="E50" s="96" t="str">
        <f>VLOOKUP(B50,[2]ITEMS!$B$4:$E$2466,3,FALSE)</f>
        <v>M3</v>
      </c>
      <c r="F50" s="97">
        <v>4.55</v>
      </c>
      <c r="G50" s="98">
        <f>VLOOKUP(B50,[2]ITEMS!$B$4:$E$2466,4,FALSE)</f>
        <v>226129</v>
      </c>
      <c r="H50" s="98">
        <f t="shared" si="42"/>
        <v>1028886.95</v>
      </c>
      <c r="I50" s="191">
        <v>222606</v>
      </c>
      <c r="J50" s="224">
        <f t="shared" si="43"/>
        <v>1012857.2999999999</v>
      </c>
      <c r="K50" s="225" t="str">
        <f t="shared" si="44"/>
        <v>VÁLIDA</v>
      </c>
      <c r="L50" s="191">
        <v>223642</v>
      </c>
      <c r="M50" s="224">
        <f t="shared" si="45"/>
        <v>1017571.1</v>
      </c>
      <c r="N50" s="225" t="str">
        <f t="shared" si="46"/>
        <v>VÁLIDA</v>
      </c>
      <c r="O50" s="191">
        <v>226129</v>
      </c>
      <c r="P50" s="224">
        <f t="shared" si="47"/>
        <v>1028886.95</v>
      </c>
      <c r="Q50" s="225" t="str">
        <f t="shared" si="48"/>
        <v>VÁLIDA</v>
      </c>
      <c r="R50" s="191">
        <v>222805</v>
      </c>
      <c r="S50" s="224">
        <f t="shared" si="49"/>
        <v>1013762.75</v>
      </c>
      <c r="T50" s="225" t="str">
        <f t="shared" si="50"/>
        <v>VÁLIDA</v>
      </c>
      <c r="U50" s="191">
        <v>226129</v>
      </c>
      <c r="V50" s="224">
        <f t="shared" si="51"/>
        <v>1028886.95</v>
      </c>
      <c r="W50" s="225" t="str">
        <f t="shared" si="52"/>
        <v>VÁLIDA</v>
      </c>
      <c r="X50" s="191">
        <v>222510</v>
      </c>
      <c r="Y50" s="224">
        <f t="shared" si="53"/>
        <v>1012420.5</v>
      </c>
      <c r="Z50" s="225" t="str">
        <f t="shared" si="54"/>
        <v>VÁLIDA</v>
      </c>
      <c r="AA50" s="191">
        <v>223642</v>
      </c>
      <c r="AB50" s="224">
        <f t="shared" si="55"/>
        <v>1017571.1</v>
      </c>
      <c r="AC50" s="225" t="str">
        <f t="shared" si="56"/>
        <v>VÁLIDA</v>
      </c>
      <c r="AD50" s="191">
        <v>226129</v>
      </c>
      <c r="AE50" s="224">
        <f t="shared" si="57"/>
        <v>1028886.95</v>
      </c>
      <c r="AF50" s="225" t="str">
        <f t="shared" si="58"/>
        <v>VÁLIDA</v>
      </c>
      <c r="AH50" s="224">
        <f t="shared" si="59"/>
        <v>0</v>
      </c>
      <c r="AI50" s="225" t="str">
        <f t="shared" si="60"/>
        <v>VÁLIDA</v>
      </c>
      <c r="AJ50" s="224">
        <v>210300</v>
      </c>
      <c r="AK50" s="224">
        <f t="shared" si="61"/>
        <v>956865</v>
      </c>
      <c r="AL50" s="225" t="str">
        <f t="shared" si="62"/>
        <v>VÁLIDA</v>
      </c>
      <c r="AM50" s="224">
        <v>225564</v>
      </c>
      <c r="AN50" s="224">
        <f t="shared" si="63"/>
        <v>1026316.2</v>
      </c>
      <c r="AO50" s="225" t="str">
        <f t="shared" si="64"/>
        <v>VÁLIDA</v>
      </c>
      <c r="AP50" s="224">
        <v>226129</v>
      </c>
      <c r="AQ50" s="224">
        <f t="shared" si="65"/>
        <v>1028886.95</v>
      </c>
      <c r="AR50" s="225" t="str">
        <f t="shared" si="66"/>
        <v>VÁLIDA</v>
      </c>
      <c r="AS50" s="224">
        <v>222000</v>
      </c>
      <c r="AT50" s="224">
        <f t="shared" si="67"/>
        <v>1010100</v>
      </c>
      <c r="AU50" s="225" t="str">
        <f t="shared" si="68"/>
        <v>VÁLIDA</v>
      </c>
      <c r="AV50" s="224">
        <v>300481.65000000002</v>
      </c>
      <c r="AW50" s="224">
        <f t="shared" si="69"/>
        <v>1367191.5075000001</v>
      </c>
      <c r="AX50" s="225" t="str">
        <f t="shared" si="70"/>
        <v>NO VÁLIDA</v>
      </c>
      <c r="AY50" s="224">
        <v>226129</v>
      </c>
      <c r="AZ50" s="224">
        <f t="shared" si="71"/>
        <v>1028886.95</v>
      </c>
      <c r="BA50" s="225" t="str">
        <f t="shared" si="72"/>
        <v>VÁLIDA</v>
      </c>
      <c r="BB50" s="224">
        <v>216834.543179434</v>
      </c>
      <c r="BC50" s="224">
        <f t="shared" si="73"/>
        <v>986597.1714664246</v>
      </c>
      <c r="BD50" s="225" t="str">
        <f t="shared" si="74"/>
        <v>VÁLIDA</v>
      </c>
      <c r="BE50" s="224">
        <v>221240</v>
      </c>
      <c r="BF50" s="224">
        <f t="shared" si="75"/>
        <v>1006642</v>
      </c>
      <c r="BG50" s="225" t="str">
        <f t="shared" si="76"/>
        <v>VÁLIDA</v>
      </c>
      <c r="BH50" s="224">
        <v>223867.71</v>
      </c>
      <c r="BI50" s="224">
        <f t="shared" si="77"/>
        <v>1018598.0804999999</v>
      </c>
      <c r="BJ50" s="225" t="str">
        <f t="shared" si="78"/>
        <v>VÁLIDA</v>
      </c>
      <c r="BK50" s="224">
        <v>224320</v>
      </c>
      <c r="BL50" s="224">
        <f t="shared" si="79"/>
        <v>1020656</v>
      </c>
      <c r="BM50" s="225" t="str">
        <f t="shared" si="80"/>
        <v>VÁLIDA</v>
      </c>
      <c r="BN50" s="224">
        <v>222090</v>
      </c>
      <c r="BO50" s="224">
        <f t="shared" si="81"/>
        <v>1010509.5</v>
      </c>
      <c r="BP50" s="225" t="str">
        <f t="shared" si="82"/>
        <v>VÁLIDA</v>
      </c>
    </row>
    <row r="51" spans="2:68" s="167" customFormat="1" ht="26.25" customHeight="1" x14ac:dyDescent="0.2">
      <c r="B51" s="103">
        <v>3806</v>
      </c>
      <c r="C51" s="94">
        <f>C49+0.01</f>
        <v>1.05</v>
      </c>
      <c r="D51" s="95" t="str">
        <f>VLOOKUP(B51,[2]ITEMS!$B$4:$E$2466,2,FALSE)</f>
        <v>CURADO DE LOSAS DE CONCRETO (Suministro y Aplicación)</v>
      </c>
      <c r="E51" s="96" t="str">
        <f>VLOOKUP(B51,[2]ITEMS!$B$4:$E$2466,3,FALSE)</f>
        <v>M2</v>
      </c>
      <c r="F51" s="97">
        <v>2630</v>
      </c>
      <c r="G51" s="98">
        <f>VLOOKUP(B51,[2]ITEMS!$B$4:$E$2466,4,FALSE)</f>
        <v>1399</v>
      </c>
      <c r="H51" s="98">
        <f t="shared" si="42"/>
        <v>3679370</v>
      </c>
      <c r="I51" s="191">
        <v>1377</v>
      </c>
      <c r="J51" s="224">
        <f t="shared" si="43"/>
        <v>3621510</v>
      </c>
      <c r="K51" s="225" t="str">
        <f t="shared" si="44"/>
        <v>VÁLIDA</v>
      </c>
      <c r="L51" s="191">
        <v>1384</v>
      </c>
      <c r="M51" s="224">
        <f t="shared" si="45"/>
        <v>3639920</v>
      </c>
      <c r="N51" s="225" t="str">
        <f t="shared" si="46"/>
        <v>VÁLIDA</v>
      </c>
      <c r="O51" s="191">
        <v>1399</v>
      </c>
      <c r="P51" s="224">
        <f t="shared" si="47"/>
        <v>3679370</v>
      </c>
      <c r="Q51" s="225" t="str">
        <f t="shared" si="48"/>
        <v>VÁLIDA</v>
      </c>
      <c r="R51" s="191">
        <v>1378</v>
      </c>
      <c r="S51" s="224">
        <f t="shared" si="49"/>
        <v>3624140</v>
      </c>
      <c r="T51" s="225" t="str">
        <f t="shared" si="50"/>
        <v>VÁLIDA</v>
      </c>
      <c r="U51" s="191">
        <v>1399</v>
      </c>
      <c r="V51" s="224">
        <f t="shared" si="51"/>
        <v>3679370</v>
      </c>
      <c r="W51" s="225" t="str">
        <f t="shared" si="52"/>
        <v>VÁLIDA</v>
      </c>
      <c r="X51" s="191">
        <v>1376</v>
      </c>
      <c r="Y51" s="224">
        <f t="shared" si="53"/>
        <v>3618880</v>
      </c>
      <c r="Z51" s="225" t="str">
        <f t="shared" si="54"/>
        <v>VÁLIDA</v>
      </c>
      <c r="AA51" s="191">
        <v>1384</v>
      </c>
      <c r="AB51" s="224">
        <f t="shared" si="55"/>
        <v>3639920</v>
      </c>
      <c r="AC51" s="225" t="str">
        <f t="shared" si="56"/>
        <v>VÁLIDA</v>
      </c>
      <c r="AD51" s="191">
        <v>1399</v>
      </c>
      <c r="AE51" s="224">
        <f t="shared" si="57"/>
        <v>3679370</v>
      </c>
      <c r="AF51" s="225" t="str">
        <f t="shared" si="58"/>
        <v>VÁLIDA</v>
      </c>
      <c r="AH51" s="224">
        <f t="shared" si="59"/>
        <v>0</v>
      </c>
      <c r="AI51" s="225" t="str">
        <f t="shared" si="60"/>
        <v>VÁLIDA</v>
      </c>
      <c r="AJ51" s="224">
        <v>1301</v>
      </c>
      <c r="AK51" s="224">
        <f t="shared" si="61"/>
        <v>3421630</v>
      </c>
      <c r="AL51" s="225" t="str">
        <f t="shared" si="62"/>
        <v>VÁLIDA</v>
      </c>
      <c r="AM51" s="224">
        <v>1396</v>
      </c>
      <c r="AN51" s="224">
        <f t="shared" si="63"/>
        <v>3671480</v>
      </c>
      <c r="AO51" s="225" t="str">
        <f t="shared" si="64"/>
        <v>VÁLIDA</v>
      </c>
      <c r="AP51" s="224">
        <v>1399</v>
      </c>
      <c r="AQ51" s="224">
        <f t="shared" si="65"/>
        <v>3679370</v>
      </c>
      <c r="AR51" s="225" t="str">
        <f t="shared" si="66"/>
        <v>VÁLIDA</v>
      </c>
      <c r="AS51" s="224">
        <v>1300</v>
      </c>
      <c r="AT51" s="224">
        <f t="shared" si="67"/>
        <v>3419000</v>
      </c>
      <c r="AU51" s="225" t="str">
        <f t="shared" si="68"/>
        <v>VÁLIDA</v>
      </c>
      <c r="AV51" s="224">
        <v>1858.95</v>
      </c>
      <c r="AW51" s="224">
        <f t="shared" si="69"/>
        <v>4889038.5</v>
      </c>
      <c r="AX51" s="225" t="str">
        <f t="shared" si="70"/>
        <v>NO VÁLIDA</v>
      </c>
      <c r="AY51" s="224">
        <v>1399</v>
      </c>
      <c r="AZ51" s="224">
        <f t="shared" si="71"/>
        <v>3679370</v>
      </c>
      <c r="BA51" s="225" t="str">
        <f t="shared" si="72"/>
        <v>VÁLIDA</v>
      </c>
      <c r="BB51" s="224">
        <v>1341.497666854</v>
      </c>
      <c r="BC51" s="224">
        <f t="shared" si="73"/>
        <v>3528138.8638260202</v>
      </c>
      <c r="BD51" s="225" t="str">
        <f t="shared" si="74"/>
        <v>VÁLIDA</v>
      </c>
      <c r="BE51" s="224">
        <v>1369</v>
      </c>
      <c r="BF51" s="224">
        <f t="shared" si="75"/>
        <v>3600470</v>
      </c>
      <c r="BG51" s="225" t="str">
        <f t="shared" si="76"/>
        <v>VÁLIDA</v>
      </c>
      <c r="BH51" s="224">
        <v>1385.01</v>
      </c>
      <c r="BI51" s="224">
        <f t="shared" si="77"/>
        <v>3642576.3</v>
      </c>
      <c r="BJ51" s="225" t="str">
        <f t="shared" si="78"/>
        <v>VÁLIDA</v>
      </c>
      <c r="BK51" s="224">
        <v>1388</v>
      </c>
      <c r="BL51" s="224">
        <f t="shared" si="79"/>
        <v>3650440</v>
      </c>
      <c r="BM51" s="225" t="str">
        <f t="shared" si="80"/>
        <v>VÁLIDA</v>
      </c>
      <c r="BN51" s="224">
        <v>1374</v>
      </c>
      <c r="BO51" s="224">
        <f t="shared" si="81"/>
        <v>3613620</v>
      </c>
      <c r="BP51" s="225" t="str">
        <f t="shared" si="82"/>
        <v>VÁLIDA</v>
      </c>
    </row>
    <row r="52" spans="2:68" s="167" customFormat="1" ht="32.25" customHeight="1" x14ac:dyDescent="0.2">
      <c r="B52" s="103">
        <v>4073</v>
      </c>
      <c r="C52" s="94">
        <f>C51+0.01</f>
        <v>1.06</v>
      </c>
      <c r="D52" s="95" t="str">
        <f>VLOOKUP(B52,[2]ITEMS!$B$4:$E$2466,2,FALSE)</f>
        <v>PISO EN LOSETA PREFABRICADA A50 (Suministro e Instalación. Incluye Base 4cm Mortero 2000 PSI y Arena de Sello)</v>
      </c>
      <c r="E52" s="96" t="str">
        <f>VLOOKUP(B52,[2]ITEMS!$B$4:$E$2466,3,FALSE)</f>
        <v>M2</v>
      </c>
      <c r="F52" s="97">
        <v>53</v>
      </c>
      <c r="G52" s="98">
        <f>VLOOKUP(B52,[2]ITEMS!$B$4:$E$2466,4,FALSE)</f>
        <v>63535</v>
      </c>
      <c r="H52" s="98">
        <f t="shared" si="42"/>
        <v>3367355</v>
      </c>
      <c r="I52" s="191">
        <v>62545</v>
      </c>
      <c r="J52" s="224">
        <f t="shared" si="43"/>
        <v>3314885</v>
      </c>
      <c r="K52" s="225" t="str">
        <f t="shared" si="44"/>
        <v>VÁLIDA</v>
      </c>
      <c r="L52" s="191">
        <v>62836</v>
      </c>
      <c r="M52" s="224">
        <f t="shared" si="45"/>
        <v>3330308</v>
      </c>
      <c r="N52" s="225" t="str">
        <f t="shared" si="46"/>
        <v>VÁLIDA</v>
      </c>
      <c r="O52" s="191">
        <v>63535</v>
      </c>
      <c r="P52" s="224">
        <f t="shared" si="47"/>
        <v>3367355</v>
      </c>
      <c r="Q52" s="225" t="str">
        <f t="shared" si="48"/>
        <v>VÁLIDA</v>
      </c>
      <c r="R52" s="191">
        <v>62601</v>
      </c>
      <c r="S52" s="224">
        <f t="shared" si="49"/>
        <v>3317853</v>
      </c>
      <c r="T52" s="225" t="str">
        <f t="shared" si="50"/>
        <v>VÁLIDA</v>
      </c>
      <c r="U52" s="191">
        <v>63535</v>
      </c>
      <c r="V52" s="224">
        <f t="shared" si="51"/>
        <v>3367355</v>
      </c>
      <c r="W52" s="225" t="str">
        <f t="shared" si="52"/>
        <v>VÁLIDA</v>
      </c>
      <c r="X52" s="191">
        <v>62518</v>
      </c>
      <c r="Y52" s="224">
        <f t="shared" si="53"/>
        <v>3313454</v>
      </c>
      <c r="Z52" s="225" t="str">
        <f t="shared" si="54"/>
        <v>VÁLIDA</v>
      </c>
      <c r="AA52" s="191">
        <v>62836</v>
      </c>
      <c r="AB52" s="224">
        <f t="shared" si="55"/>
        <v>3330308</v>
      </c>
      <c r="AC52" s="225" t="str">
        <f t="shared" si="56"/>
        <v>VÁLIDA</v>
      </c>
      <c r="AD52" s="191">
        <v>63535</v>
      </c>
      <c r="AE52" s="224">
        <f t="shared" si="57"/>
        <v>3367355</v>
      </c>
      <c r="AF52" s="225" t="str">
        <f t="shared" si="58"/>
        <v>VÁLIDA</v>
      </c>
      <c r="AH52" s="224">
        <f t="shared" si="59"/>
        <v>0</v>
      </c>
      <c r="AI52" s="225" t="str">
        <f t="shared" si="60"/>
        <v>VÁLIDA</v>
      </c>
      <c r="AJ52" s="224">
        <v>59088</v>
      </c>
      <c r="AK52" s="224">
        <f t="shared" si="61"/>
        <v>3131664</v>
      </c>
      <c r="AL52" s="225" t="str">
        <f t="shared" si="62"/>
        <v>VÁLIDA</v>
      </c>
      <c r="AM52" s="224">
        <v>63376</v>
      </c>
      <c r="AN52" s="224">
        <f t="shared" si="63"/>
        <v>3358928</v>
      </c>
      <c r="AO52" s="225" t="str">
        <f t="shared" si="64"/>
        <v>VÁLIDA</v>
      </c>
      <c r="AP52" s="224">
        <v>63535</v>
      </c>
      <c r="AQ52" s="224">
        <f t="shared" si="65"/>
        <v>3367355</v>
      </c>
      <c r="AR52" s="225" t="str">
        <f t="shared" si="66"/>
        <v>VÁLIDA</v>
      </c>
      <c r="AS52" s="224">
        <v>62100</v>
      </c>
      <c r="AT52" s="224">
        <f t="shared" si="67"/>
        <v>3291300</v>
      </c>
      <c r="AU52" s="225" t="str">
        <f t="shared" si="68"/>
        <v>VÁLIDA</v>
      </c>
      <c r="AV52" s="224">
        <v>84426.3</v>
      </c>
      <c r="AW52" s="224">
        <f t="shared" si="69"/>
        <v>4474593.9000000004</v>
      </c>
      <c r="AX52" s="225" t="str">
        <f t="shared" si="70"/>
        <v>NO VÁLIDA</v>
      </c>
      <c r="AY52" s="224">
        <v>63535</v>
      </c>
      <c r="AZ52" s="224">
        <f t="shared" si="71"/>
        <v>3367355</v>
      </c>
      <c r="BA52" s="225" t="str">
        <f t="shared" si="72"/>
        <v>VÁLIDA</v>
      </c>
      <c r="BB52" s="224">
        <v>60923.55558511</v>
      </c>
      <c r="BC52" s="224">
        <f t="shared" si="73"/>
        <v>3228948.4460108299</v>
      </c>
      <c r="BD52" s="225" t="str">
        <f t="shared" si="74"/>
        <v>VÁLIDA</v>
      </c>
      <c r="BE52" s="224">
        <v>62163</v>
      </c>
      <c r="BF52" s="224">
        <f t="shared" si="75"/>
        <v>3294639</v>
      </c>
      <c r="BG52" s="225" t="str">
        <f t="shared" si="76"/>
        <v>VÁLIDA</v>
      </c>
      <c r="BH52" s="224">
        <v>62899.65</v>
      </c>
      <c r="BI52" s="224">
        <f t="shared" si="77"/>
        <v>3333681.45</v>
      </c>
      <c r="BJ52" s="225" t="str">
        <f t="shared" si="78"/>
        <v>VÁLIDA</v>
      </c>
      <c r="BK52" s="224">
        <v>63027</v>
      </c>
      <c r="BL52" s="224">
        <f t="shared" si="79"/>
        <v>3340431</v>
      </c>
      <c r="BM52" s="225" t="str">
        <f t="shared" si="80"/>
        <v>VÁLIDA</v>
      </c>
      <c r="BN52" s="224">
        <v>62400</v>
      </c>
      <c r="BO52" s="224">
        <f t="shared" si="81"/>
        <v>3307200</v>
      </c>
      <c r="BP52" s="225" t="str">
        <f t="shared" si="82"/>
        <v>VÁLIDA</v>
      </c>
    </row>
    <row r="53" spans="2:68" s="167" customFormat="1" ht="39.75" customHeight="1" x14ac:dyDescent="0.2">
      <c r="B53" s="103">
        <v>3708</v>
      </c>
      <c r="C53" s="94">
        <f>C52+0.01</f>
        <v>1.07</v>
      </c>
      <c r="D53" s="95" t="str">
        <f>VLOOKUP(B53,[2]ITEMS!$B$4:$E$2466,2,FALSE)</f>
        <v>ACERO DE REFUERZO (Incluye Suministro, Figurado y Fijación)</v>
      </c>
      <c r="E53" s="96" t="str">
        <f>VLOOKUP(B53,[2]ITEMS!$B$4:$E$2466,3,FALSE)</f>
        <v>KG</v>
      </c>
      <c r="F53" s="97">
        <v>20509</v>
      </c>
      <c r="G53" s="98">
        <f>VLOOKUP(B53,[2]ITEMS!$B$4:$E$2466,4,FALSE)</f>
        <v>2990</v>
      </c>
      <c r="H53" s="98">
        <f t="shared" si="42"/>
        <v>61321910</v>
      </c>
      <c r="I53" s="191">
        <v>2943</v>
      </c>
      <c r="J53" s="224">
        <f t="shared" si="43"/>
        <v>60357987</v>
      </c>
      <c r="K53" s="225" t="str">
        <f t="shared" si="44"/>
        <v>VÁLIDA</v>
      </c>
      <c r="L53" s="191">
        <v>2957</v>
      </c>
      <c r="M53" s="224">
        <f t="shared" si="45"/>
        <v>60645113</v>
      </c>
      <c r="N53" s="225" t="str">
        <f t="shared" si="46"/>
        <v>VÁLIDA</v>
      </c>
      <c r="O53" s="191">
        <v>2990</v>
      </c>
      <c r="P53" s="224">
        <f t="shared" si="47"/>
        <v>61321910</v>
      </c>
      <c r="Q53" s="225" t="str">
        <f t="shared" si="48"/>
        <v>VÁLIDA</v>
      </c>
      <c r="R53" s="191">
        <v>2946</v>
      </c>
      <c r="S53" s="224">
        <f t="shared" si="49"/>
        <v>60419514</v>
      </c>
      <c r="T53" s="225" t="str">
        <f t="shared" si="50"/>
        <v>VÁLIDA</v>
      </c>
      <c r="U53" s="191">
        <v>2990</v>
      </c>
      <c r="V53" s="224">
        <f t="shared" si="51"/>
        <v>61321910</v>
      </c>
      <c r="W53" s="225" t="str">
        <f t="shared" si="52"/>
        <v>VÁLIDA</v>
      </c>
      <c r="X53" s="191">
        <v>2942</v>
      </c>
      <c r="Y53" s="224">
        <f t="shared" si="53"/>
        <v>60337478</v>
      </c>
      <c r="Z53" s="225" t="str">
        <f t="shared" si="54"/>
        <v>VÁLIDA</v>
      </c>
      <c r="AA53" s="191">
        <v>2957</v>
      </c>
      <c r="AB53" s="224">
        <f t="shared" si="55"/>
        <v>60645113</v>
      </c>
      <c r="AC53" s="225" t="str">
        <f t="shared" si="56"/>
        <v>VÁLIDA</v>
      </c>
      <c r="AD53" s="191">
        <v>2900</v>
      </c>
      <c r="AE53" s="224">
        <f t="shared" si="57"/>
        <v>59476100</v>
      </c>
      <c r="AF53" s="225" t="str">
        <f t="shared" si="58"/>
        <v>VÁLIDA</v>
      </c>
      <c r="AH53" s="224">
        <f t="shared" si="59"/>
        <v>0</v>
      </c>
      <c r="AI53" s="225" t="str">
        <f t="shared" si="60"/>
        <v>VÁLIDA</v>
      </c>
      <c r="AJ53" s="224">
        <v>2781</v>
      </c>
      <c r="AK53" s="224">
        <f t="shared" si="61"/>
        <v>57035529</v>
      </c>
      <c r="AL53" s="225" t="str">
        <f t="shared" si="62"/>
        <v>VÁLIDA</v>
      </c>
      <c r="AM53" s="224">
        <v>2983</v>
      </c>
      <c r="AN53" s="224">
        <f t="shared" si="63"/>
        <v>61178347</v>
      </c>
      <c r="AO53" s="225" t="str">
        <f t="shared" si="64"/>
        <v>VÁLIDA</v>
      </c>
      <c r="AP53" s="224">
        <v>2990</v>
      </c>
      <c r="AQ53" s="224">
        <f t="shared" si="65"/>
        <v>61321910</v>
      </c>
      <c r="AR53" s="225" t="str">
        <f t="shared" si="66"/>
        <v>VÁLIDA</v>
      </c>
      <c r="AS53" s="224">
        <v>2900</v>
      </c>
      <c r="AT53" s="224">
        <f t="shared" si="67"/>
        <v>59476100</v>
      </c>
      <c r="AU53" s="225" t="str">
        <f t="shared" si="68"/>
        <v>VÁLIDA</v>
      </c>
      <c r="AV53" s="224">
        <v>3973.05</v>
      </c>
      <c r="AW53" s="224">
        <f t="shared" si="69"/>
        <v>81483282.450000003</v>
      </c>
      <c r="AX53" s="225" t="str">
        <f t="shared" si="70"/>
        <v>NO VÁLIDA</v>
      </c>
      <c r="AY53" s="224">
        <v>2990</v>
      </c>
      <c r="AZ53" s="224">
        <f t="shared" si="71"/>
        <v>61321910</v>
      </c>
      <c r="BA53" s="225" t="str">
        <f t="shared" si="72"/>
        <v>VÁLIDA</v>
      </c>
      <c r="BB53" s="224">
        <v>2867.1036625400002</v>
      </c>
      <c r="BC53" s="224">
        <f t="shared" si="73"/>
        <v>58801429.015032865</v>
      </c>
      <c r="BD53" s="225" t="str">
        <f t="shared" si="74"/>
        <v>VÁLIDA</v>
      </c>
      <c r="BE53" s="224">
        <v>2925</v>
      </c>
      <c r="BF53" s="224">
        <f t="shared" si="75"/>
        <v>59988825</v>
      </c>
      <c r="BG53" s="225" t="str">
        <f t="shared" si="76"/>
        <v>VÁLIDA</v>
      </c>
      <c r="BH53" s="224">
        <v>2960.1</v>
      </c>
      <c r="BI53" s="224">
        <f t="shared" si="77"/>
        <v>60708690.899999999</v>
      </c>
      <c r="BJ53" s="225" t="str">
        <f t="shared" si="78"/>
        <v>VÁLIDA</v>
      </c>
      <c r="BK53" s="224">
        <v>2966</v>
      </c>
      <c r="BL53" s="224">
        <f t="shared" si="79"/>
        <v>60829694</v>
      </c>
      <c r="BM53" s="225" t="str">
        <f t="shared" si="80"/>
        <v>VÁLIDA</v>
      </c>
      <c r="BN53" s="224">
        <v>2936</v>
      </c>
      <c r="BO53" s="224">
        <f t="shared" si="81"/>
        <v>60214424</v>
      </c>
      <c r="BP53" s="225" t="str">
        <f t="shared" si="82"/>
        <v>VÁLIDA</v>
      </c>
    </row>
    <row r="54" spans="2:68" s="167" customFormat="1" ht="39.75" customHeight="1" x14ac:dyDescent="0.2">
      <c r="B54" s="103">
        <v>4559</v>
      </c>
      <c r="C54" s="94">
        <f>C53+0.01</f>
        <v>1.08</v>
      </c>
      <c r="D54" s="95" t="str">
        <f>VLOOKUP(B54,[2]ITEMS!$B$4:$E$2466,2,FALSE)</f>
        <v>CONCRETO 1500 PSI (Hecho en Obra 1:3:5 con arena y gravilla de río)</v>
      </c>
      <c r="E54" s="96" t="str">
        <f>VLOOKUP(B54,[2]ITEMS!$B$4:$E$2466,3,FALSE)</f>
        <v>M3</v>
      </c>
      <c r="F54" s="97">
        <v>40</v>
      </c>
      <c r="G54" s="98">
        <f>VLOOKUP(B54,[2]ITEMS!$B$4:$E$2466,4,FALSE)</f>
        <v>225884</v>
      </c>
      <c r="H54" s="98">
        <f t="shared" si="42"/>
        <v>9035360</v>
      </c>
      <c r="I54" s="191">
        <v>222364</v>
      </c>
      <c r="J54" s="224">
        <f t="shared" si="43"/>
        <v>8894560</v>
      </c>
      <c r="K54" s="225" t="str">
        <f t="shared" si="44"/>
        <v>VÁLIDA</v>
      </c>
      <c r="L54" s="191">
        <v>223399</v>
      </c>
      <c r="M54" s="224">
        <f t="shared" si="45"/>
        <v>8935960</v>
      </c>
      <c r="N54" s="225" t="str">
        <f t="shared" si="46"/>
        <v>VÁLIDA</v>
      </c>
      <c r="O54" s="191">
        <v>225884</v>
      </c>
      <c r="P54" s="224">
        <f t="shared" si="47"/>
        <v>9035360</v>
      </c>
      <c r="Q54" s="225" t="str">
        <f t="shared" si="48"/>
        <v>VÁLIDA</v>
      </c>
      <c r="R54" s="191">
        <v>222564</v>
      </c>
      <c r="S54" s="224">
        <f t="shared" si="49"/>
        <v>8902560</v>
      </c>
      <c r="T54" s="225" t="str">
        <f t="shared" si="50"/>
        <v>VÁLIDA</v>
      </c>
      <c r="U54" s="191">
        <v>225884</v>
      </c>
      <c r="V54" s="224">
        <f t="shared" si="51"/>
        <v>9035360</v>
      </c>
      <c r="W54" s="225" t="str">
        <f t="shared" si="52"/>
        <v>VÁLIDA</v>
      </c>
      <c r="X54" s="191">
        <v>222269</v>
      </c>
      <c r="Y54" s="224">
        <f t="shared" si="53"/>
        <v>8890760</v>
      </c>
      <c r="Z54" s="225" t="str">
        <f t="shared" si="54"/>
        <v>VÁLIDA</v>
      </c>
      <c r="AA54" s="191">
        <v>223399</v>
      </c>
      <c r="AB54" s="224">
        <f t="shared" si="55"/>
        <v>8935960</v>
      </c>
      <c r="AC54" s="225" t="str">
        <f t="shared" si="56"/>
        <v>VÁLIDA</v>
      </c>
      <c r="AD54" s="191">
        <v>225884</v>
      </c>
      <c r="AE54" s="224">
        <f t="shared" si="57"/>
        <v>9035360</v>
      </c>
      <c r="AF54" s="225" t="str">
        <f t="shared" si="58"/>
        <v>VÁLIDA</v>
      </c>
      <c r="AH54" s="224">
        <f t="shared" si="59"/>
        <v>0</v>
      </c>
      <c r="AI54" s="225" t="str">
        <f t="shared" si="60"/>
        <v>VÁLIDA</v>
      </c>
      <c r="AJ54" s="224">
        <v>210072</v>
      </c>
      <c r="AK54" s="224">
        <f t="shared" si="61"/>
        <v>8402880</v>
      </c>
      <c r="AL54" s="225" t="str">
        <f t="shared" si="62"/>
        <v>VÁLIDA</v>
      </c>
      <c r="AM54" s="224">
        <v>225319</v>
      </c>
      <c r="AN54" s="224">
        <f t="shared" si="63"/>
        <v>9012760</v>
      </c>
      <c r="AO54" s="225" t="str">
        <f t="shared" si="64"/>
        <v>VÁLIDA</v>
      </c>
      <c r="AP54" s="224">
        <v>225884</v>
      </c>
      <c r="AQ54" s="224">
        <f t="shared" si="65"/>
        <v>9035360</v>
      </c>
      <c r="AR54" s="225" t="str">
        <f t="shared" si="66"/>
        <v>VÁLIDA</v>
      </c>
      <c r="AS54" s="224">
        <v>221000</v>
      </c>
      <c r="AT54" s="224">
        <f t="shared" si="67"/>
        <v>8840000</v>
      </c>
      <c r="AU54" s="225" t="str">
        <f t="shared" si="68"/>
        <v>VÁLIDA</v>
      </c>
      <c r="AV54" s="224">
        <v>300156.3</v>
      </c>
      <c r="AW54" s="224">
        <f t="shared" si="69"/>
        <v>12006252</v>
      </c>
      <c r="AX54" s="225" t="str">
        <f t="shared" si="70"/>
        <v>NO VÁLIDA</v>
      </c>
      <c r="AY54" s="224">
        <v>225884</v>
      </c>
      <c r="AZ54" s="224">
        <f t="shared" si="71"/>
        <v>9035360</v>
      </c>
      <c r="BA54" s="225" t="str">
        <f t="shared" si="72"/>
        <v>VÁLIDA</v>
      </c>
      <c r="BB54" s="224">
        <v>216599.61328066399</v>
      </c>
      <c r="BC54" s="224">
        <f t="shared" si="73"/>
        <v>8663984.5312265605</v>
      </c>
      <c r="BD54" s="225" t="str">
        <f t="shared" si="74"/>
        <v>VÁLIDA</v>
      </c>
      <c r="BE54" s="224">
        <v>221005</v>
      </c>
      <c r="BF54" s="224">
        <f t="shared" si="75"/>
        <v>8840200</v>
      </c>
      <c r="BG54" s="225" t="str">
        <f t="shared" si="76"/>
        <v>VÁLIDA</v>
      </c>
      <c r="BH54" s="224">
        <v>223625.16</v>
      </c>
      <c r="BI54" s="224">
        <f t="shared" si="77"/>
        <v>8945006.4000000004</v>
      </c>
      <c r="BJ54" s="225" t="str">
        <f t="shared" si="78"/>
        <v>VÁLIDA</v>
      </c>
      <c r="BK54" s="224">
        <v>224077</v>
      </c>
      <c r="BL54" s="224">
        <f t="shared" si="79"/>
        <v>8963080</v>
      </c>
      <c r="BM54" s="225" t="str">
        <f t="shared" si="80"/>
        <v>VÁLIDA</v>
      </c>
      <c r="BN54" s="224">
        <v>221849</v>
      </c>
      <c r="BO54" s="224">
        <f t="shared" si="81"/>
        <v>8873960</v>
      </c>
      <c r="BP54" s="225" t="str">
        <f t="shared" si="82"/>
        <v>VÁLIDA</v>
      </c>
    </row>
    <row r="55" spans="2:68" s="167" customFormat="1" ht="46.5" customHeight="1" x14ac:dyDescent="0.2">
      <c r="B55" s="103">
        <v>3394</v>
      </c>
      <c r="C55" s="94">
        <v>322.14999999999998</v>
      </c>
      <c r="D55" s="95" t="s">
        <v>118</v>
      </c>
      <c r="E55" s="96" t="str">
        <f>VLOOKUP(B55,[2]ITEMS!$B$4:$E$2466,3,FALSE)</f>
        <v>M3</v>
      </c>
      <c r="F55" s="97">
        <v>390.4</v>
      </c>
      <c r="G55" s="98">
        <v>503681</v>
      </c>
      <c r="H55" s="98">
        <f t="shared" si="42"/>
        <v>196637062.39999998</v>
      </c>
      <c r="I55" s="191">
        <v>495833</v>
      </c>
      <c r="J55" s="224">
        <f t="shared" si="43"/>
        <v>193573203.19999999</v>
      </c>
      <c r="K55" s="225" t="str">
        <f t="shared" si="44"/>
        <v>VÁLIDA</v>
      </c>
      <c r="L55" s="191">
        <v>498141</v>
      </c>
      <c r="M55" s="224">
        <f t="shared" si="45"/>
        <v>194474246.39999998</v>
      </c>
      <c r="N55" s="225" t="str">
        <f t="shared" si="46"/>
        <v>VÁLIDA</v>
      </c>
      <c r="O55" s="191">
        <v>503681</v>
      </c>
      <c r="P55" s="224">
        <f t="shared" si="47"/>
        <v>196637062.39999998</v>
      </c>
      <c r="Q55" s="225" t="str">
        <f t="shared" si="48"/>
        <v>VÁLIDA</v>
      </c>
      <c r="R55" s="191">
        <v>496277</v>
      </c>
      <c r="S55" s="224">
        <f t="shared" si="49"/>
        <v>193746540.79999998</v>
      </c>
      <c r="T55" s="225" t="str">
        <f t="shared" si="50"/>
        <v>VÁLIDA</v>
      </c>
      <c r="U55" s="191">
        <v>503681</v>
      </c>
      <c r="V55" s="224">
        <f t="shared" si="51"/>
        <v>196637062.39999998</v>
      </c>
      <c r="W55" s="225" t="str">
        <f t="shared" si="52"/>
        <v>VÁLIDA</v>
      </c>
      <c r="X55" s="191">
        <v>495622</v>
      </c>
      <c r="Y55" s="224">
        <f t="shared" si="53"/>
        <v>193490828.79999998</v>
      </c>
      <c r="Z55" s="225" t="str">
        <f t="shared" si="54"/>
        <v>VÁLIDA</v>
      </c>
      <c r="AA55" s="191">
        <v>503681</v>
      </c>
      <c r="AB55" s="224">
        <f t="shared" si="55"/>
        <v>196637062.39999998</v>
      </c>
      <c r="AC55" s="225" t="str">
        <f t="shared" si="56"/>
        <v>VÁLIDA</v>
      </c>
      <c r="AD55" s="191">
        <v>500000</v>
      </c>
      <c r="AE55" s="224">
        <f t="shared" si="57"/>
        <v>195200000</v>
      </c>
      <c r="AF55" s="225" t="str">
        <f t="shared" si="58"/>
        <v>VÁLIDA</v>
      </c>
      <c r="AH55" s="224">
        <f t="shared" si="59"/>
        <v>0</v>
      </c>
      <c r="AI55" s="225" t="str">
        <f t="shared" si="60"/>
        <v>VÁLIDA</v>
      </c>
      <c r="AJ55" s="224">
        <v>468423</v>
      </c>
      <c r="AK55" s="224">
        <f t="shared" si="61"/>
        <v>182872339.19999999</v>
      </c>
      <c r="AL55" s="225" t="str">
        <f t="shared" si="62"/>
        <v>VÁLIDA</v>
      </c>
      <c r="AM55" s="224">
        <v>502422</v>
      </c>
      <c r="AN55" s="224">
        <f t="shared" si="63"/>
        <v>196145548.79999998</v>
      </c>
      <c r="AO55" s="225" t="str">
        <f t="shared" si="64"/>
        <v>VÁLIDA</v>
      </c>
      <c r="AP55" s="224">
        <v>503681</v>
      </c>
      <c r="AQ55" s="224">
        <f t="shared" si="65"/>
        <v>196637062.39999998</v>
      </c>
      <c r="AR55" s="225" t="str">
        <f t="shared" si="66"/>
        <v>VÁLIDA</v>
      </c>
      <c r="AS55" s="224">
        <v>494000</v>
      </c>
      <c r="AT55" s="224">
        <f t="shared" si="67"/>
        <v>192857600</v>
      </c>
      <c r="AU55" s="225" t="str">
        <f t="shared" si="68"/>
        <v>VÁLIDA</v>
      </c>
      <c r="AV55" s="224">
        <v>669293.55000000005</v>
      </c>
      <c r="AW55" s="224">
        <f t="shared" si="69"/>
        <v>261292201.92000002</v>
      </c>
      <c r="AX55" s="225" t="str">
        <f t="shared" si="70"/>
        <v>NO VÁLIDA</v>
      </c>
      <c r="AY55" s="224">
        <v>503681</v>
      </c>
      <c r="AZ55" s="224">
        <f t="shared" si="71"/>
        <v>196637062.39999998</v>
      </c>
      <c r="BA55" s="225" t="str">
        <f t="shared" si="72"/>
        <v>VÁLIDA</v>
      </c>
      <c r="BB55" s="224">
        <v>482978.47486682597</v>
      </c>
      <c r="BC55" s="224">
        <f t="shared" si="73"/>
        <v>188554796.58800885</v>
      </c>
      <c r="BD55" s="225" t="str">
        <f t="shared" si="74"/>
        <v>VÁLIDA</v>
      </c>
      <c r="BE55" s="224">
        <v>492800</v>
      </c>
      <c r="BF55" s="224">
        <f t="shared" si="75"/>
        <v>192389120</v>
      </c>
      <c r="BG55" s="225" t="str">
        <f t="shared" si="76"/>
        <v>VÁLIDA</v>
      </c>
      <c r="BH55" s="224">
        <v>498644.19</v>
      </c>
      <c r="BI55" s="224">
        <f t="shared" si="77"/>
        <v>194670691.77599999</v>
      </c>
      <c r="BJ55" s="225" t="str">
        <f t="shared" si="78"/>
        <v>VÁLIDA</v>
      </c>
      <c r="BK55" s="224">
        <v>499652</v>
      </c>
      <c r="BL55" s="224">
        <f t="shared" si="79"/>
        <v>195064140.79999998</v>
      </c>
      <c r="BM55" s="225" t="str">
        <f t="shared" si="80"/>
        <v>VÁLIDA</v>
      </c>
      <c r="BN55" s="224">
        <v>494685</v>
      </c>
      <c r="BO55" s="224">
        <f t="shared" si="81"/>
        <v>193125024</v>
      </c>
      <c r="BP55" s="225" t="str">
        <f t="shared" si="82"/>
        <v>VÁLIDA</v>
      </c>
    </row>
    <row r="56" spans="2:68" s="167" customFormat="1" ht="15.75" customHeight="1" x14ac:dyDescent="0.2">
      <c r="B56" s="103"/>
      <c r="C56" s="94"/>
      <c r="D56" s="95" t="s">
        <v>119</v>
      </c>
      <c r="E56" s="96" t="s">
        <v>85</v>
      </c>
      <c r="F56" s="97">
        <v>234</v>
      </c>
      <c r="G56" s="98">
        <v>503682</v>
      </c>
      <c r="H56" s="98">
        <f t="shared" si="42"/>
        <v>117861588</v>
      </c>
      <c r="I56" s="191">
        <v>495834</v>
      </c>
      <c r="J56" s="224">
        <f t="shared" si="43"/>
        <v>116025156</v>
      </c>
      <c r="K56" s="225" t="str">
        <f t="shared" si="44"/>
        <v>VÁLIDA</v>
      </c>
      <c r="L56" s="191">
        <v>498141</v>
      </c>
      <c r="M56" s="224">
        <f t="shared" si="45"/>
        <v>116564994</v>
      </c>
      <c r="N56" s="225" t="str">
        <f t="shared" si="46"/>
        <v>VÁLIDA</v>
      </c>
      <c r="O56" s="191">
        <v>503682</v>
      </c>
      <c r="P56" s="224">
        <f t="shared" si="47"/>
        <v>117861588</v>
      </c>
      <c r="Q56" s="225" t="str">
        <f t="shared" si="48"/>
        <v>VÁLIDA</v>
      </c>
      <c r="R56" s="191">
        <v>496278</v>
      </c>
      <c r="S56" s="224">
        <f t="shared" si="49"/>
        <v>116129052</v>
      </c>
      <c r="T56" s="225" t="str">
        <f t="shared" si="50"/>
        <v>VÁLIDA</v>
      </c>
      <c r="U56" s="191">
        <v>503682</v>
      </c>
      <c r="V56" s="224">
        <f t="shared" si="51"/>
        <v>117861588</v>
      </c>
      <c r="W56" s="225" t="str">
        <f t="shared" si="52"/>
        <v>VÁLIDA</v>
      </c>
      <c r="X56" s="191">
        <v>495623</v>
      </c>
      <c r="Y56" s="224">
        <f t="shared" si="53"/>
        <v>115975782</v>
      </c>
      <c r="Z56" s="225" t="str">
        <f t="shared" si="54"/>
        <v>VÁLIDA</v>
      </c>
      <c r="AA56" s="191">
        <v>503682</v>
      </c>
      <c r="AB56" s="224">
        <f t="shared" si="55"/>
        <v>117861588</v>
      </c>
      <c r="AC56" s="225" t="str">
        <f t="shared" si="56"/>
        <v>VÁLIDA</v>
      </c>
      <c r="AD56" s="191">
        <v>500000</v>
      </c>
      <c r="AE56" s="224">
        <f t="shared" si="57"/>
        <v>117000000</v>
      </c>
      <c r="AF56" s="225" t="str">
        <f t="shared" si="58"/>
        <v>VÁLIDA</v>
      </c>
      <c r="AH56" s="224">
        <f t="shared" si="59"/>
        <v>0</v>
      </c>
      <c r="AI56" s="225" t="str">
        <f t="shared" si="60"/>
        <v>VÁLIDA</v>
      </c>
      <c r="AJ56" s="224">
        <v>468424</v>
      </c>
      <c r="AK56" s="224">
        <f t="shared" si="61"/>
        <v>109611216</v>
      </c>
      <c r="AL56" s="225" t="str">
        <f t="shared" si="62"/>
        <v>VÁLIDA</v>
      </c>
      <c r="AM56" s="224">
        <v>502423</v>
      </c>
      <c r="AN56" s="224">
        <f t="shared" si="63"/>
        <v>117566982</v>
      </c>
      <c r="AO56" s="225" t="str">
        <f t="shared" si="64"/>
        <v>VÁLIDA</v>
      </c>
      <c r="AP56" s="224">
        <v>503682</v>
      </c>
      <c r="AQ56" s="224">
        <f t="shared" si="65"/>
        <v>117861588</v>
      </c>
      <c r="AR56" s="225" t="str">
        <f t="shared" si="66"/>
        <v>VÁLIDA</v>
      </c>
      <c r="AS56" s="224">
        <v>494000</v>
      </c>
      <c r="AT56" s="224">
        <f t="shared" si="67"/>
        <v>115596000</v>
      </c>
      <c r="AU56" s="225" t="str">
        <f t="shared" si="68"/>
        <v>VÁLIDA</v>
      </c>
      <c r="AV56" s="224">
        <v>669294.9</v>
      </c>
      <c r="AW56" s="224">
        <f t="shared" si="69"/>
        <v>156615006.59999999</v>
      </c>
      <c r="AX56" s="225" t="str">
        <f t="shared" si="70"/>
        <v>NO VÁLIDA</v>
      </c>
      <c r="AY56" s="224">
        <v>503682</v>
      </c>
      <c r="AZ56" s="224">
        <f t="shared" si="71"/>
        <v>117861588</v>
      </c>
      <c r="BA56" s="225" t="str">
        <f t="shared" si="72"/>
        <v>VÁLIDA</v>
      </c>
      <c r="BB56" s="224">
        <v>482979.43376437202</v>
      </c>
      <c r="BC56" s="224">
        <f t="shared" si="73"/>
        <v>113017187.50086305</v>
      </c>
      <c r="BD56" s="225" t="str">
        <f t="shared" si="74"/>
        <v>VÁLIDA</v>
      </c>
      <c r="BE56" s="224">
        <v>492802</v>
      </c>
      <c r="BF56" s="224">
        <f t="shared" si="75"/>
        <v>115315668</v>
      </c>
      <c r="BG56" s="225" t="str">
        <f t="shared" si="76"/>
        <v>VÁLIDA</v>
      </c>
      <c r="BH56" s="224">
        <v>498645.18</v>
      </c>
      <c r="BI56" s="224">
        <f t="shared" si="77"/>
        <v>116682972.12</v>
      </c>
      <c r="BJ56" s="225" t="str">
        <f t="shared" si="78"/>
        <v>VÁLIDA</v>
      </c>
      <c r="BK56" s="224">
        <v>499653</v>
      </c>
      <c r="BL56" s="224">
        <f t="shared" si="79"/>
        <v>116918802</v>
      </c>
      <c r="BM56" s="225" t="str">
        <f t="shared" si="80"/>
        <v>VÁLIDA</v>
      </c>
      <c r="BN56" s="224">
        <v>494686</v>
      </c>
      <c r="BO56" s="224">
        <f t="shared" si="81"/>
        <v>115756524</v>
      </c>
      <c r="BP56" s="225" t="str">
        <f t="shared" si="82"/>
        <v>VÁLIDA</v>
      </c>
    </row>
    <row r="57" spans="2:68" s="167" customFormat="1" ht="27" customHeight="1" thickBot="1" x14ac:dyDescent="0.25">
      <c r="B57" s="103"/>
      <c r="C57" s="94"/>
      <c r="D57" s="112" t="s">
        <v>120</v>
      </c>
      <c r="E57" s="113" t="s">
        <v>83</v>
      </c>
      <c r="F57" s="114">
        <v>1677</v>
      </c>
      <c r="G57" s="115">
        <v>400000</v>
      </c>
      <c r="H57" s="115">
        <f t="shared" si="42"/>
        <v>670800000</v>
      </c>
      <c r="I57" s="191">
        <v>393767</v>
      </c>
      <c r="J57" s="224">
        <f t="shared" si="43"/>
        <v>660347259</v>
      </c>
      <c r="K57" s="225" t="str">
        <f t="shared" si="44"/>
        <v>VÁLIDA</v>
      </c>
      <c r="L57" s="191">
        <v>395600</v>
      </c>
      <c r="M57" s="224">
        <f t="shared" si="45"/>
        <v>663421200</v>
      </c>
      <c r="N57" s="225" t="str">
        <f t="shared" si="46"/>
        <v>VÁLIDA</v>
      </c>
      <c r="O57" s="191">
        <v>360000</v>
      </c>
      <c r="P57" s="224">
        <f t="shared" si="47"/>
        <v>603720000</v>
      </c>
      <c r="Q57" s="225" t="str">
        <f t="shared" si="48"/>
        <v>VÁLIDA</v>
      </c>
      <c r="R57" s="191">
        <v>394120</v>
      </c>
      <c r="S57" s="224">
        <f t="shared" si="49"/>
        <v>660939240</v>
      </c>
      <c r="T57" s="225" t="str">
        <f t="shared" si="50"/>
        <v>VÁLIDA</v>
      </c>
      <c r="U57" s="191">
        <v>400000</v>
      </c>
      <c r="V57" s="224">
        <f t="shared" si="51"/>
        <v>670800000</v>
      </c>
      <c r="W57" s="225" t="str">
        <f t="shared" si="52"/>
        <v>VÁLIDA</v>
      </c>
      <c r="X57" s="191">
        <v>393600</v>
      </c>
      <c r="Y57" s="224">
        <f t="shared" si="53"/>
        <v>660067200</v>
      </c>
      <c r="Z57" s="225" t="str">
        <f t="shared" si="54"/>
        <v>VÁLIDA</v>
      </c>
      <c r="AA57" s="191">
        <v>395000</v>
      </c>
      <c r="AB57" s="224">
        <f t="shared" si="55"/>
        <v>662415000</v>
      </c>
      <c r="AC57" s="225" t="str">
        <f t="shared" si="56"/>
        <v>VÁLIDA</v>
      </c>
      <c r="AD57" s="191">
        <v>400000</v>
      </c>
      <c r="AE57" s="224">
        <f t="shared" si="57"/>
        <v>670800000</v>
      </c>
      <c r="AF57" s="225" t="str">
        <f t="shared" si="58"/>
        <v>VÁLIDA</v>
      </c>
      <c r="AH57" s="224">
        <f t="shared" si="59"/>
        <v>0</v>
      </c>
      <c r="AI57" s="225" t="str">
        <f t="shared" si="60"/>
        <v>VÁLIDA</v>
      </c>
      <c r="AJ57" s="224">
        <v>372000</v>
      </c>
      <c r="AK57" s="224">
        <f t="shared" si="61"/>
        <v>623844000</v>
      </c>
      <c r="AL57" s="225" t="str">
        <f t="shared" si="62"/>
        <v>VÁLIDA</v>
      </c>
      <c r="AM57" s="224">
        <v>399000</v>
      </c>
      <c r="AN57" s="224">
        <f t="shared" si="63"/>
        <v>669123000</v>
      </c>
      <c r="AO57" s="225" t="str">
        <f t="shared" si="64"/>
        <v>VÁLIDA</v>
      </c>
      <c r="AP57" s="224">
        <v>400000</v>
      </c>
      <c r="AQ57" s="224">
        <f t="shared" si="65"/>
        <v>670800000</v>
      </c>
      <c r="AR57" s="225" t="str">
        <f t="shared" si="66"/>
        <v>VÁLIDA</v>
      </c>
      <c r="AS57" s="224">
        <v>392000</v>
      </c>
      <c r="AT57" s="224">
        <f t="shared" si="67"/>
        <v>657384000</v>
      </c>
      <c r="AU57" s="225" t="str">
        <f t="shared" si="68"/>
        <v>VÁLIDA</v>
      </c>
      <c r="AV57" s="224">
        <v>531522</v>
      </c>
      <c r="AW57" s="224">
        <f t="shared" si="69"/>
        <v>891362394</v>
      </c>
      <c r="AX57" s="225" t="str">
        <f t="shared" si="70"/>
        <v>NO VÁLIDA</v>
      </c>
      <c r="AY57" s="224">
        <v>400000</v>
      </c>
      <c r="AZ57" s="224">
        <f t="shared" si="71"/>
        <v>670800000</v>
      </c>
      <c r="BA57" s="225" t="str">
        <f t="shared" si="72"/>
        <v>VÁLIDA</v>
      </c>
      <c r="BB57" s="224">
        <v>383559.0184</v>
      </c>
      <c r="BC57" s="224">
        <f t="shared" si="73"/>
        <v>643228473.85679996</v>
      </c>
      <c r="BD57" s="225" t="str">
        <f t="shared" si="74"/>
        <v>VÁLIDA</v>
      </c>
      <c r="BE57" s="224">
        <v>391360</v>
      </c>
      <c r="BF57" s="224">
        <f t="shared" si="75"/>
        <v>656310720</v>
      </c>
      <c r="BG57" s="225" t="str">
        <f t="shared" si="76"/>
        <v>VÁLIDA</v>
      </c>
      <c r="BH57" s="224">
        <v>396000</v>
      </c>
      <c r="BI57" s="224">
        <f t="shared" si="77"/>
        <v>664092000</v>
      </c>
      <c r="BJ57" s="225" t="str">
        <f t="shared" si="78"/>
        <v>VÁLIDA</v>
      </c>
      <c r="BK57" s="224">
        <v>396800</v>
      </c>
      <c r="BL57" s="224">
        <f t="shared" si="79"/>
        <v>665433600</v>
      </c>
      <c r="BM57" s="225" t="str">
        <f t="shared" si="80"/>
        <v>VÁLIDA</v>
      </c>
      <c r="BN57" s="224">
        <v>392856</v>
      </c>
      <c r="BO57" s="224">
        <f t="shared" si="81"/>
        <v>658819512</v>
      </c>
      <c r="BP57" s="225" t="str">
        <f t="shared" si="82"/>
        <v>VÁLIDA</v>
      </c>
    </row>
    <row r="58" spans="2:68" s="229" customFormat="1" ht="27" customHeight="1" thickBot="1" x14ac:dyDescent="0.3">
      <c r="B58" s="116"/>
      <c r="C58" s="117">
        <f>+C40+1</f>
        <v>2</v>
      </c>
      <c r="D58" s="118" t="s">
        <v>87</v>
      </c>
      <c r="E58" s="119"/>
      <c r="F58" s="120"/>
      <c r="G58" s="121"/>
      <c r="H58" s="122">
        <f>SUM(H59:H64)</f>
        <v>75263624</v>
      </c>
      <c r="I58" s="228"/>
      <c r="J58" s="193">
        <f>SUM(J59:J64)</f>
        <v>74090911</v>
      </c>
      <c r="K58" s="225" t="str">
        <f t="shared" si="44"/>
        <v>VÁLIDA</v>
      </c>
      <c r="L58" s="228"/>
      <c r="M58" s="193">
        <f>SUM(M59:M64)</f>
        <v>74435703</v>
      </c>
      <c r="N58" s="225" t="str">
        <f t="shared" si="46"/>
        <v>VÁLIDA</v>
      </c>
      <c r="O58" s="228"/>
      <c r="P58" s="193">
        <f>SUM(P59:P64)</f>
        <v>75263624</v>
      </c>
      <c r="Q58" s="225" t="str">
        <f t="shared" si="48"/>
        <v>VÁLIDA</v>
      </c>
      <c r="R58" s="228"/>
      <c r="S58" s="193">
        <f>SUM(S59:S64)</f>
        <v>74157244</v>
      </c>
      <c r="T58" s="225" t="str">
        <f t="shared" si="50"/>
        <v>VÁLIDA</v>
      </c>
      <c r="U58" s="228"/>
      <c r="V58" s="193">
        <f>SUM(V59:V64)</f>
        <v>75263624</v>
      </c>
      <c r="W58" s="225" t="str">
        <f t="shared" si="52"/>
        <v>VÁLIDA</v>
      </c>
      <c r="X58" s="228"/>
      <c r="Y58" s="193">
        <f>SUM(Y59:Y64)</f>
        <v>74059349</v>
      </c>
      <c r="Z58" s="225" t="str">
        <f t="shared" si="54"/>
        <v>VÁLIDA</v>
      </c>
      <c r="AA58" s="228"/>
      <c r="AB58" s="193">
        <f>SUM(AB59:AB64)</f>
        <v>74435703</v>
      </c>
      <c r="AC58" s="225" t="str">
        <f t="shared" si="56"/>
        <v>VÁLIDA</v>
      </c>
      <c r="AD58" s="228"/>
      <c r="AE58" s="193">
        <f>SUM(AE59:AE64)</f>
        <v>75085964</v>
      </c>
      <c r="AF58" s="225" t="str">
        <f t="shared" si="58"/>
        <v>VÁLIDA</v>
      </c>
      <c r="AH58" s="193">
        <f>SUM(AH59:AH64)</f>
        <v>0</v>
      </c>
      <c r="AI58" s="225" t="str">
        <f t="shared" si="60"/>
        <v>VÁLIDA</v>
      </c>
      <c r="AJ58" s="193"/>
      <c r="AK58" s="193">
        <f>SUM(AK59:AK64)</f>
        <v>69995160</v>
      </c>
      <c r="AL58" s="225" t="str">
        <f t="shared" si="62"/>
        <v>VÁLIDA</v>
      </c>
      <c r="AM58" s="193"/>
      <c r="AN58" s="193">
        <f>SUM(AN59:AN64)</f>
        <v>75075435</v>
      </c>
      <c r="AO58" s="225" t="str">
        <f t="shared" si="64"/>
        <v>VÁLIDA</v>
      </c>
      <c r="AP58" s="193"/>
      <c r="AQ58" s="193">
        <f>SUM(AQ59:AQ64)</f>
        <v>75263624</v>
      </c>
      <c r="AR58" s="225" t="str">
        <f t="shared" si="66"/>
        <v>VÁLIDA</v>
      </c>
      <c r="AS58" s="193"/>
      <c r="AT58" s="193">
        <f>SUM(AT59:AT64)</f>
        <v>73620600</v>
      </c>
      <c r="AU58" s="225" t="str">
        <f t="shared" si="68"/>
        <v>VÁLIDA</v>
      </c>
      <c r="AV58" s="193"/>
      <c r="AW58" s="193">
        <f>SUM(AW59:AW64)</f>
        <v>100010670.3</v>
      </c>
      <c r="AX58" s="225" t="str">
        <f t="shared" si="70"/>
        <v>NO VÁLIDA</v>
      </c>
      <c r="AY58" s="193"/>
      <c r="AZ58" s="193">
        <f>SUM(AZ59:AZ64)</f>
        <v>75263624</v>
      </c>
      <c r="BA58" s="225" t="str">
        <f t="shared" si="72"/>
        <v>VÁLIDA</v>
      </c>
      <c r="BB58" s="193"/>
      <c r="BC58" s="193">
        <f>SUM(BC59:BC64)</f>
        <v>72170104.356666699</v>
      </c>
      <c r="BD58" s="225" t="str">
        <f t="shared" si="74"/>
        <v>VÁLIDA</v>
      </c>
      <c r="BE58" s="193"/>
      <c r="BF58" s="193">
        <f>SUM(BF59:BF64)</f>
        <v>73637967</v>
      </c>
      <c r="BG58" s="225" t="str">
        <f t="shared" si="76"/>
        <v>VÁLIDA</v>
      </c>
      <c r="BH58" s="193"/>
      <c r="BI58" s="193">
        <f>SUM(BI59:BI64)</f>
        <v>74510987.760000005</v>
      </c>
      <c r="BJ58" s="225" t="str">
        <f t="shared" si="78"/>
        <v>VÁLIDA</v>
      </c>
      <c r="BK58" s="193"/>
      <c r="BL58" s="193">
        <f>SUM(BL59:BL64)</f>
        <v>74661499</v>
      </c>
      <c r="BM58" s="225" t="str">
        <f t="shared" si="80"/>
        <v>VÁLIDA</v>
      </c>
      <c r="BN58" s="193"/>
      <c r="BO58" s="193">
        <f>SUM(BO59:BO64)</f>
        <v>73919367</v>
      </c>
      <c r="BP58" s="225" t="str">
        <f t="shared" si="82"/>
        <v>VÁLIDA</v>
      </c>
    </row>
    <row r="59" spans="2:68" s="167" customFormat="1" ht="15.75" customHeight="1" x14ac:dyDescent="0.2">
      <c r="B59" s="103">
        <v>3396</v>
      </c>
      <c r="C59" s="94">
        <f>+C58+0.01</f>
        <v>2.0099999999999998</v>
      </c>
      <c r="D59" s="123" t="s">
        <v>121</v>
      </c>
      <c r="E59" s="124" t="str">
        <f>VLOOKUP(B59,[2]ITEMS!$B$4:$E$2466,3,FALSE)</f>
        <v>UN</v>
      </c>
      <c r="F59" s="125">
        <v>6</v>
      </c>
      <c r="G59" s="126">
        <v>6519610</v>
      </c>
      <c r="H59" s="126">
        <f t="shared" si="42"/>
        <v>39117660</v>
      </c>
      <c r="I59" s="191">
        <v>6418024</v>
      </c>
      <c r="J59" s="224">
        <f t="shared" si="43"/>
        <v>38508144</v>
      </c>
      <c r="K59" s="225" t="str">
        <f t="shared" si="44"/>
        <v>VÁLIDA</v>
      </c>
      <c r="L59" s="191">
        <v>6447894</v>
      </c>
      <c r="M59" s="224">
        <f t="shared" si="45"/>
        <v>38687364</v>
      </c>
      <c r="N59" s="225" t="str">
        <f t="shared" si="46"/>
        <v>VÁLIDA</v>
      </c>
      <c r="O59" s="191">
        <v>6519610</v>
      </c>
      <c r="P59" s="224">
        <f t="shared" si="47"/>
        <v>39117660</v>
      </c>
      <c r="Q59" s="225" t="str">
        <f t="shared" si="48"/>
        <v>VÁLIDA</v>
      </c>
      <c r="R59" s="191">
        <v>6423772</v>
      </c>
      <c r="S59" s="224">
        <f t="shared" si="49"/>
        <v>38542632</v>
      </c>
      <c r="T59" s="225" t="str">
        <f t="shared" si="50"/>
        <v>VÁLIDA</v>
      </c>
      <c r="U59" s="191">
        <v>6519610</v>
      </c>
      <c r="V59" s="224">
        <f t="shared" si="51"/>
        <v>39117660</v>
      </c>
      <c r="W59" s="225" t="str">
        <f t="shared" si="52"/>
        <v>VÁLIDA</v>
      </c>
      <c r="X59" s="191">
        <v>6415296</v>
      </c>
      <c r="Y59" s="224">
        <f t="shared" si="53"/>
        <v>38491776</v>
      </c>
      <c r="Z59" s="225" t="str">
        <f t="shared" si="54"/>
        <v>VÁLIDA</v>
      </c>
      <c r="AA59" s="191">
        <v>6447894</v>
      </c>
      <c r="AB59" s="224">
        <f t="shared" si="55"/>
        <v>38687364</v>
      </c>
      <c r="AC59" s="225" t="str">
        <f t="shared" si="56"/>
        <v>VÁLIDA</v>
      </c>
      <c r="AD59" s="191">
        <v>6490000</v>
      </c>
      <c r="AE59" s="224">
        <f t="shared" si="57"/>
        <v>38940000</v>
      </c>
      <c r="AF59" s="225" t="str">
        <f t="shared" si="58"/>
        <v>VÁLIDA</v>
      </c>
      <c r="AH59" s="224">
        <f t="shared" si="59"/>
        <v>0</v>
      </c>
      <c r="AI59" s="225" t="str">
        <f t="shared" si="60"/>
        <v>VÁLIDA</v>
      </c>
      <c r="AJ59" s="224">
        <v>6063237</v>
      </c>
      <c r="AK59" s="224">
        <f t="shared" si="61"/>
        <v>36379422</v>
      </c>
      <c r="AL59" s="225" t="str">
        <f t="shared" si="62"/>
        <v>VÁLIDA</v>
      </c>
      <c r="AM59" s="224">
        <v>6503311</v>
      </c>
      <c r="AN59" s="224">
        <f t="shared" si="63"/>
        <v>39019866</v>
      </c>
      <c r="AO59" s="225" t="str">
        <f t="shared" si="64"/>
        <v>VÁLIDA</v>
      </c>
      <c r="AP59" s="224">
        <v>6519610</v>
      </c>
      <c r="AQ59" s="224">
        <f t="shared" si="65"/>
        <v>39117660</v>
      </c>
      <c r="AR59" s="225" t="str">
        <f t="shared" si="66"/>
        <v>VÁLIDA</v>
      </c>
      <c r="AS59" s="224">
        <v>6379000</v>
      </c>
      <c r="AT59" s="224">
        <f t="shared" si="67"/>
        <v>38274000</v>
      </c>
      <c r="AU59" s="225" t="str">
        <f t="shared" si="68"/>
        <v>VÁLIDA</v>
      </c>
      <c r="AV59" s="224">
        <v>8663290.1999999993</v>
      </c>
      <c r="AW59" s="224">
        <f t="shared" si="69"/>
        <v>51979741.199999996</v>
      </c>
      <c r="AX59" s="225" t="str">
        <f t="shared" si="70"/>
        <v>NO VÁLIDA</v>
      </c>
      <c r="AY59" s="224">
        <v>6519610</v>
      </c>
      <c r="AZ59" s="224">
        <f t="shared" si="71"/>
        <v>39117660</v>
      </c>
      <c r="BA59" s="225" t="str">
        <f t="shared" si="72"/>
        <v>VÁLIDA</v>
      </c>
      <c r="BB59" s="224">
        <v>6251638.0298770601</v>
      </c>
      <c r="BC59" s="224">
        <f t="shared" si="73"/>
        <v>37509828.179262362</v>
      </c>
      <c r="BD59" s="225" t="str">
        <f t="shared" si="74"/>
        <v>VÁLIDA</v>
      </c>
      <c r="BE59" s="224">
        <v>6378786</v>
      </c>
      <c r="BF59" s="224">
        <f t="shared" si="75"/>
        <v>38272716</v>
      </c>
      <c r="BG59" s="225" t="str">
        <f t="shared" si="76"/>
        <v>VÁLIDA</v>
      </c>
      <c r="BH59" s="224">
        <v>6454413.9000000004</v>
      </c>
      <c r="BI59" s="224">
        <f t="shared" si="77"/>
        <v>38726483.400000006</v>
      </c>
      <c r="BJ59" s="225" t="str">
        <f t="shared" si="78"/>
        <v>VÁLIDA</v>
      </c>
      <c r="BK59" s="224">
        <v>6467453</v>
      </c>
      <c r="BL59" s="224">
        <f t="shared" si="79"/>
        <v>38804718</v>
      </c>
      <c r="BM59" s="225" t="str">
        <f t="shared" si="80"/>
        <v>VÁLIDA</v>
      </c>
      <c r="BN59" s="224">
        <v>6403169</v>
      </c>
      <c r="BO59" s="224">
        <f t="shared" si="81"/>
        <v>38419014</v>
      </c>
      <c r="BP59" s="225" t="str">
        <f t="shared" si="82"/>
        <v>VÁLIDA</v>
      </c>
    </row>
    <row r="60" spans="2:68" s="167" customFormat="1" ht="27" customHeight="1" x14ac:dyDescent="0.2">
      <c r="B60" s="103">
        <v>3400</v>
      </c>
      <c r="C60" s="94">
        <f>+C59+0.01</f>
        <v>2.0199999999999996</v>
      </c>
      <c r="D60" s="95" t="s">
        <v>122</v>
      </c>
      <c r="E60" s="96" t="str">
        <f>VLOOKUP(B60,[2]ITEMS!$B$4:$E$2466,3,FALSE)</f>
        <v>UN</v>
      </c>
      <c r="F60" s="97">
        <v>14</v>
      </c>
      <c r="G60" s="98">
        <v>177052</v>
      </c>
      <c r="H60" s="98">
        <f t="shared" si="42"/>
        <v>2478728</v>
      </c>
      <c r="I60" s="191">
        <v>174293</v>
      </c>
      <c r="J60" s="224">
        <f t="shared" si="43"/>
        <v>2440102</v>
      </c>
      <c r="K60" s="225" t="str">
        <f t="shared" si="44"/>
        <v>VÁLIDA</v>
      </c>
      <c r="L60" s="191">
        <v>175104</v>
      </c>
      <c r="M60" s="224">
        <f t="shared" si="45"/>
        <v>2451456</v>
      </c>
      <c r="N60" s="225" t="str">
        <f t="shared" si="46"/>
        <v>VÁLIDA</v>
      </c>
      <c r="O60" s="191">
        <v>177052</v>
      </c>
      <c r="P60" s="224">
        <f t="shared" si="47"/>
        <v>2478728</v>
      </c>
      <c r="Q60" s="225" t="str">
        <f t="shared" si="48"/>
        <v>VÁLIDA</v>
      </c>
      <c r="R60" s="191">
        <v>174449</v>
      </c>
      <c r="S60" s="224">
        <f t="shared" si="49"/>
        <v>2442286</v>
      </c>
      <c r="T60" s="225" t="str">
        <f t="shared" si="50"/>
        <v>VÁLIDA</v>
      </c>
      <c r="U60" s="191">
        <v>177052</v>
      </c>
      <c r="V60" s="224">
        <f t="shared" si="51"/>
        <v>2478728</v>
      </c>
      <c r="W60" s="225" t="str">
        <f t="shared" si="52"/>
        <v>VÁLIDA</v>
      </c>
      <c r="X60" s="191">
        <v>174219</v>
      </c>
      <c r="Y60" s="224">
        <f t="shared" si="53"/>
        <v>2439066</v>
      </c>
      <c r="Z60" s="225" t="str">
        <f t="shared" si="54"/>
        <v>VÁLIDA</v>
      </c>
      <c r="AA60" s="191">
        <v>175104</v>
      </c>
      <c r="AB60" s="224">
        <f t="shared" si="55"/>
        <v>2451456</v>
      </c>
      <c r="AC60" s="225" t="str">
        <f t="shared" si="56"/>
        <v>VÁLIDA</v>
      </c>
      <c r="AD60" s="191">
        <v>177052</v>
      </c>
      <c r="AE60" s="224">
        <f t="shared" si="57"/>
        <v>2478728</v>
      </c>
      <c r="AF60" s="225" t="str">
        <f t="shared" si="58"/>
        <v>VÁLIDA</v>
      </c>
      <c r="AH60" s="224">
        <f t="shared" si="59"/>
        <v>0</v>
      </c>
      <c r="AI60" s="225" t="str">
        <f t="shared" si="60"/>
        <v>VÁLIDA</v>
      </c>
      <c r="AJ60" s="224">
        <v>164658</v>
      </c>
      <c r="AK60" s="224">
        <f t="shared" si="61"/>
        <v>2305212</v>
      </c>
      <c r="AL60" s="225" t="str">
        <f t="shared" si="62"/>
        <v>VÁLIDA</v>
      </c>
      <c r="AM60" s="224">
        <v>176609</v>
      </c>
      <c r="AN60" s="224">
        <f t="shared" si="63"/>
        <v>2472526</v>
      </c>
      <c r="AO60" s="225" t="str">
        <f t="shared" si="64"/>
        <v>VÁLIDA</v>
      </c>
      <c r="AP60" s="224">
        <v>177052</v>
      </c>
      <c r="AQ60" s="224">
        <f t="shared" si="65"/>
        <v>2478728</v>
      </c>
      <c r="AR60" s="225" t="str">
        <f t="shared" si="66"/>
        <v>VÁLIDA</v>
      </c>
      <c r="AS60" s="224">
        <v>173200</v>
      </c>
      <c r="AT60" s="224">
        <f t="shared" si="67"/>
        <v>2424800</v>
      </c>
      <c r="AU60" s="225" t="str">
        <f t="shared" si="68"/>
        <v>VÁLIDA</v>
      </c>
      <c r="AV60" s="224">
        <v>235267.20000000001</v>
      </c>
      <c r="AW60" s="224">
        <f t="shared" si="69"/>
        <v>3293740.8000000003</v>
      </c>
      <c r="AX60" s="225" t="str">
        <f t="shared" si="70"/>
        <v>NO VÁLIDA</v>
      </c>
      <c r="AY60" s="224">
        <v>177052</v>
      </c>
      <c r="AZ60" s="224">
        <f t="shared" si="71"/>
        <v>2478728</v>
      </c>
      <c r="BA60" s="225" t="str">
        <f t="shared" si="72"/>
        <v>VÁLIDA</v>
      </c>
      <c r="BB60" s="224">
        <v>169774.72831439201</v>
      </c>
      <c r="BC60" s="224">
        <f t="shared" si="73"/>
        <v>2376846.196401488</v>
      </c>
      <c r="BD60" s="225" t="str">
        <f t="shared" si="74"/>
        <v>VÁLIDA</v>
      </c>
      <c r="BE60" s="224">
        <v>173228</v>
      </c>
      <c r="BF60" s="224">
        <f t="shared" si="75"/>
        <v>2425192</v>
      </c>
      <c r="BG60" s="225" t="str">
        <f t="shared" si="76"/>
        <v>VÁLIDA</v>
      </c>
      <c r="BH60" s="224">
        <v>175281.48</v>
      </c>
      <c r="BI60" s="224">
        <f t="shared" si="77"/>
        <v>2453940.7200000002</v>
      </c>
      <c r="BJ60" s="225" t="str">
        <f t="shared" si="78"/>
        <v>VÁLIDA</v>
      </c>
      <c r="BK60" s="224">
        <v>175636</v>
      </c>
      <c r="BL60" s="224">
        <f t="shared" si="79"/>
        <v>2458904</v>
      </c>
      <c r="BM60" s="225" t="str">
        <f t="shared" si="80"/>
        <v>VÁLIDA</v>
      </c>
      <c r="BN60" s="224">
        <v>173889</v>
      </c>
      <c r="BO60" s="224">
        <f t="shared" si="81"/>
        <v>2434446</v>
      </c>
      <c r="BP60" s="225" t="str">
        <f t="shared" si="82"/>
        <v>VÁLIDA</v>
      </c>
    </row>
    <row r="61" spans="2:68" s="167" customFormat="1" ht="27" customHeight="1" x14ac:dyDescent="0.2">
      <c r="B61" s="103">
        <v>4699</v>
      </c>
      <c r="C61" s="94">
        <f>+C60+0.01</f>
        <v>2.0299999999999994</v>
      </c>
      <c r="D61" s="95" t="s">
        <v>123</v>
      </c>
      <c r="E61" s="96" t="str">
        <f>VLOOKUP(B61,[2]ITEMS!$B$4:$E$2466,3,FALSE)</f>
        <v>UN</v>
      </c>
      <c r="F61" s="97">
        <v>10</v>
      </c>
      <c r="G61" s="98">
        <v>849875</v>
      </c>
      <c r="H61" s="98">
        <f t="shared" si="42"/>
        <v>8498750</v>
      </c>
      <c r="I61" s="191">
        <v>836633</v>
      </c>
      <c r="J61" s="224">
        <f t="shared" si="43"/>
        <v>8366330</v>
      </c>
      <c r="K61" s="225" t="str">
        <f t="shared" si="44"/>
        <v>VÁLIDA</v>
      </c>
      <c r="L61" s="191">
        <v>840526</v>
      </c>
      <c r="M61" s="224">
        <f t="shared" si="45"/>
        <v>8405260</v>
      </c>
      <c r="N61" s="225" t="str">
        <f t="shared" si="46"/>
        <v>VÁLIDA</v>
      </c>
      <c r="O61" s="191">
        <v>849875</v>
      </c>
      <c r="P61" s="224">
        <f t="shared" si="47"/>
        <v>8498750</v>
      </c>
      <c r="Q61" s="225" t="str">
        <f t="shared" si="48"/>
        <v>VÁLIDA</v>
      </c>
      <c r="R61" s="191">
        <v>837382</v>
      </c>
      <c r="S61" s="224">
        <f t="shared" si="49"/>
        <v>8373820</v>
      </c>
      <c r="T61" s="225" t="str">
        <f t="shared" si="50"/>
        <v>VÁLIDA</v>
      </c>
      <c r="U61" s="191">
        <v>849875</v>
      </c>
      <c r="V61" s="224">
        <f t="shared" si="51"/>
        <v>8498750</v>
      </c>
      <c r="W61" s="225" t="str">
        <f t="shared" si="52"/>
        <v>VÁLIDA</v>
      </c>
      <c r="X61" s="191">
        <v>836277</v>
      </c>
      <c r="Y61" s="224">
        <f t="shared" si="53"/>
        <v>8362770</v>
      </c>
      <c r="Z61" s="225" t="str">
        <f t="shared" si="54"/>
        <v>VÁLIDA</v>
      </c>
      <c r="AA61" s="191">
        <v>840526</v>
      </c>
      <c r="AB61" s="224">
        <f t="shared" si="55"/>
        <v>8405260</v>
      </c>
      <c r="AC61" s="225" t="str">
        <f t="shared" si="56"/>
        <v>VÁLIDA</v>
      </c>
      <c r="AD61" s="191">
        <v>849875</v>
      </c>
      <c r="AE61" s="224">
        <f t="shared" si="57"/>
        <v>8498750</v>
      </c>
      <c r="AF61" s="225" t="str">
        <f t="shared" si="58"/>
        <v>VÁLIDA</v>
      </c>
      <c r="AH61" s="224">
        <f t="shared" si="59"/>
        <v>0</v>
      </c>
      <c r="AI61" s="225" t="str">
        <f t="shared" si="60"/>
        <v>VÁLIDA</v>
      </c>
      <c r="AJ61" s="224">
        <v>790384</v>
      </c>
      <c r="AK61" s="224">
        <f t="shared" si="61"/>
        <v>7903840</v>
      </c>
      <c r="AL61" s="225" t="str">
        <f t="shared" si="62"/>
        <v>VÁLIDA</v>
      </c>
      <c r="AM61" s="224">
        <v>847750</v>
      </c>
      <c r="AN61" s="224">
        <f t="shared" si="63"/>
        <v>8477500</v>
      </c>
      <c r="AO61" s="225" t="str">
        <f t="shared" si="64"/>
        <v>VÁLIDA</v>
      </c>
      <c r="AP61" s="224">
        <v>849875</v>
      </c>
      <c r="AQ61" s="224">
        <f t="shared" si="65"/>
        <v>8498750</v>
      </c>
      <c r="AR61" s="225" t="str">
        <f t="shared" si="66"/>
        <v>VÁLIDA</v>
      </c>
      <c r="AS61" s="224">
        <v>831500</v>
      </c>
      <c r="AT61" s="224">
        <f t="shared" si="67"/>
        <v>8315000</v>
      </c>
      <c r="AU61" s="225" t="str">
        <f t="shared" si="68"/>
        <v>VÁLIDA</v>
      </c>
      <c r="AV61" s="224">
        <v>1129318.2</v>
      </c>
      <c r="AW61" s="224">
        <f t="shared" si="69"/>
        <v>11293182</v>
      </c>
      <c r="AX61" s="225" t="str">
        <f t="shared" si="70"/>
        <v>NO VÁLIDA</v>
      </c>
      <c r="AY61" s="224">
        <v>849875</v>
      </c>
      <c r="AZ61" s="224">
        <f t="shared" si="71"/>
        <v>8498750</v>
      </c>
      <c r="BA61" s="225" t="str">
        <f t="shared" si="72"/>
        <v>VÁLIDA</v>
      </c>
      <c r="BB61" s="224">
        <v>814943.05190674996</v>
      </c>
      <c r="BC61" s="224">
        <f t="shared" si="73"/>
        <v>8149430.5190674998</v>
      </c>
      <c r="BD61" s="225" t="str">
        <f t="shared" si="74"/>
        <v>VÁLIDA</v>
      </c>
      <c r="BE61" s="224">
        <v>831518</v>
      </c>
      <c r="BF61" s="224">
        <f t="shared" si="75"/>
        <v>8315180</v>
      </c>
      <c r="BG61" s="225" t="str">
        <f t="shared" si="76"/>
        <v>VÁLIDA</v>
      </c>
      <c r="BH61" s="224">
        <v>841376.25</v>
      </c>
      <c r="BI61" s="224">
        <f t="shared" si="77"/>
        <v>8413762.5</v>
      </c>
      <c r="BJ61" s="225" t="str">
        <f t="shared" si="78"/>
        <v>VÁLIDA</v>
      </c>
      <c r="BK61" s="224">
        <v>843076</v>
      </c>
      <c r="BL61" s="224">
        <f t="shared" si="79"/>
        <v>8430760</v>
      </c>
      <c r="BM61" s="225" t="str">
        <f t="shared" si="80"/>
        <v>VÁLIDA</v>
      </c>
      <c r="BN61" s="224">
        <v>834696</v>
      </c>
      <c r="BO61" s="224">
        <f t="shared" si="81"/>
        <v>8346960</v>
      </c>
      <c r="BP61" s="225" t="str">
        <f t="shared" si="82"/>
        <v>VÁLIDA</v>
      </c>
    </row>
    <row r="62" spans="2:68" s="167" customFormat="1" ht="15.75" customHeight="1" x14ac:dyDescent="0.2">
      <c r="B62" s="103">
        <v>4697</v>
      </c>
      <c r="C62" s="94">
        <f>+C61+0.01</f>
        <v>2.0399999999999991</v>
      </c>
      <c r="D62" s="95" t="s">
        <v>124</v>
      </c>
      <c r="E62" s="96" t="str">
        <f>VLOOKUP(B62,[2]ITEMS!$B$4:$E$2466,3,FALSE)</f>
        <v>UN</v>
      </c>
      <c r="F62" s="97">
        <v>11</v>
      </c>
      <c r="G62" s="98">
        <f>VLOOKUP(B62,[2]ITEMS!$B$4:$E$2466,4,FALSE)</f>
        <v>141918</v>
      </c>
      <c r="H62" s="98">
        <f t="shared" si="42"/>
        <v>1561098</v>
      </c>
      <c r="I62" s="191">
        <v>139707</v>
      </c>
      <c r="J62" s="224">
        <f t="shared" si="43"/>
        <v>1536777</v>
      </c>
      <c r="K62" s="225" t="str">
        <f t="shared" si="44"/>
        <v>VÁLIDA</v>
      </c>
      <c r="L62" s="191">
        <v>140357</v>
      </c>
      <c r="M62" s="224">
        <f t="shared" si="45"/>
        <v>1543927</v>
      </c>
      <c r="N62" s="225" t="str">
        <f t="shared" si="46"/>
        <v>VÁLIDA</v>
      </c>
      <c r="O62" s="191">
        <v>141918</v>
      </c>
      <c r="P62" s="224">
        <f t="shared" si="47"/>
        <v>1561098</v>
      </c>
      <c r="Q62" s="225" t="str">
        <f t="shared" si="48"/>
        <v>VÁLIDA</v>
      </c>
      <c r="R62" s="191">
        <v>139832</v>
      </c>
      <c r="S62" s="224">
        <f t="shared" si="49"/>
        <v>1538152</v>
      </c>
      <c r="T62" s="225" t="str">
        <f t="shared" si="50"/>
        <v>VÁLIDA</v>
      </c>
      <c r="U62" s="191">
        <v>141918</v>
      </c>
      <c r="V62" s="224">
        <f t="shared" si="51"/>
        <v>1561098</v>
      </c>
      <c r="W62" s="225" t="str">
        <f t="shared" si="52"/>
        <v>VÁLIDA</v>
      </c>
      <c r="X62" s="191">
        <v>139647</v>
      </c>
      <c r="Y62" s="224">
        <f t="shared" si="53"/>
        <v>1536117</v>
      </c>
      <c r="Z62" s="225" t="str">
        <f t="shared" si="54"/>
        <v>VÁLIDA</v>
      </c>
      <c r="AA62" s="191">
        <v>140357</v>
      </c>
      <c r="AB62" s="224">
        <f t="shared" si="55"/>
        <v>1543927</v>
      </c>
      <c r="AC62" s="225" t="str">
        <f t="shared" si="56"/>
        <v>VÁLIDA</v>
      </c>
      <c r="AD62" s="191">
        <v>141918</v>
      </c>
      <c r="AE62" s="224">
        <f t="shared" si="57"/>
        <v>1561098</v>
      </c>
      <c r="AF62" s="225" t="str">
        <f t="shared" si="58"/>
        <v>VÁLIDA</v>
      </c>
      <c r="AH62" s="224">
        <f t="shared" si="59"/>
        <v>0</v>
      </c>
      <c r="AI62" s="225" t="str">
        <f t="shared" si="60"/>
        <v>VÁLIDA</v>
      </c>
      <c r="AJ62" s="224">
        <v>131984</v>
      </c>
      <c r="AK62" s="224">
        <f t="shared" si="61"/>
        <v>1451824</v>
      </c>
      <c r="AL62" s="225" t="str">
        <f t="shared" si="62"/>
        <v>VÁLIDA</v>
      </c>
      <c r="AM62" s="224">
        <v>141563</v>
      </c>
      <c r="AN62" s="224">
        <f t="shared" si="63"/>
        <v>1557193</v>
      </c>
      <c r="AO62" s="225" t="str">
        <f t="shared" si="64"/>
        <v>VÁLIDA</v>
      </c>
      <c r="AP62" s="224">
        <v>141918</v>
      </c>
      <c r="AQ62" s="224">
        <f t="shared" si="65"/>
        <v>1561098</v>
      </c>
      <c r="AR62" s="225" t="str">
        <f t="shared" si="66"/>
        <v>VÁLIDA</v>
      </c>
      <c r="AS62" s="224">
        <v>138800</v>
      </c>
      <c r="AT62" s="224">
        <f t="shared" si="67"/>
        <v>1526800</v>
      </c>
      <c r="AU62" s="225" t="str">
        <f t="shared" si="68"/>
        <v>VÁLIDA</v>
      </c>
      <c r="AV62" s="224">
        <v>188581.5</v>
      </c>
      <c r="AW62" s="224">
        <f t="shared" si="69"/>
        <v>2074396.5</v>
      </c>
      <c r="AX62" s="225" t="str">
        <f t="shared" si="70"/>
        <v>NO VÁLIDA</v>
      </c>
      <c r="AY62" s="224">
        <v>141918</v>
      </c>
      <c r="AZ62" s="224">
        <f t="shared" si="71"/>
        <v>1561098</v>
      </c>
      <c r="BA62" s="225" t="str">
        <f t="shared" si="72"/>
        <v>VÁLIDA</v>
      </c>
      <c r="BB62" s="224">
        <v>136084.821933228</v>
      </c>
      <c r="BC62" s="224">
        <f t="shared" si="73"/>
        <v>1496933.0412655079</v>
      </c>
      <c r="BD62" s="225" t="str">
        <f t="shared" si="74"/>
        <v>VÁLIDA</v>
      </c>
      <c r="BE62" s="224">
        <v>138853</v>
      </c>
      <c r="BF62" s="224">
        <f t="shared" si="75"/>
        <v>1527383</v>
      </c>
      <c r="BG62" s="225" t="str">
        <f t="shared" si="76"/>
        <v>VÁLIDA</v>
      </c>
      <c r="BH62" s="224">
        <v>140498.82</v>
      </c>
      <c r="BI62" s="224">
        <f t="shared" si="77"/>
        <v>1545487.02</v>
      </c>
      <c r="BJ62" s="225" t="str">
        <f t="shared" si="78"/>
        <v>VÁLIDA</v>
      </c>
      <c r="BK62" s="224">
        <v>140783</v>
      </c>
      <c r="BL62" s="224">
        <f t="shared" si="79"/>
        <v>1548613</v>
      </c>
      <c r="BM62" s="225" t="str">
        <f t="shared" si="80"/>
        <v>VÁLIDA</v>
      </c>
      <c r="BN62" s="224">
        <v>139383</v>
      </c>
      <c r="BO62" s="224">
        <f t="shared" si="81"/>
        <v>1533213</v>
      </c>
      <c r="BP62" s="225" t="str">
        <f t="shared" si="82"/>
        <v>VÁLIDA</v>
      </c>
    </row>
    <row r="63" spans="2:68" s="167" customFormat="1" ht="27" customHeight="1" x14ac:dyDescent="0.2">
      <c r="B63" s="103">
        <v>4859</v>
      </c>
      <c r="C63" s="94">
        <f>+C62+0.01</f>
        <v>2.0499999999999989</v>
      </c>
      <c r="D63" s="95" t="s">
        <v>125</v>
      </c>
      <c r="E63" s="96" t="s">
        <v>88</v>
      </c>
      <c r="F63" s="97">
        <v>10</v>
      </c>
      <c r="G63" s="98">
        <v>2089591</v>
      </c>
      <c r="H63" s="98">
        <f t="shared" si="42"/>
        <v>20895910</v>
      </c>
      <c r="I63" s="191">
        <v>2057032</v>
      </c>
      <c r="J63" s="224">
        <f t="shared" si="43"/>
        <v>20570320</v>
      </c>
      <c r="K63" s="225" t="str">
        <f t="shared" si="44"/>
        <v>VÁLIDA</v>
      </c>
      <c r="L63" s="191">
        <v>2066605</v>
      </c>
      <c r="M63" s="224">
        <f t="shared" si="45"/>
        <v>20666050</v>
      </c>
      <c r="N63" s="225" t="str">
        <f t="shared" si="46"/>
        <v>VÁLIDA</v>
      </c>
      <c r="O63" s="191">
        <v>2089591</v>
      </c>
      <c r="P63" s="224">
        <f t="shared" si="47"/>
        <v>20895910</v>
      </c>
      <c r="Q63" s="225" t="str">
        <f t="shared" si="48"/>
        <v>VÁLIDA</v>
      </c>
      <c r="R63" s="191">
        <v>2058874</v>
      </c>
      <c r="S63" s="224">
        <f t="shared" si="49"/>
        <v>20588740</v>
      </c>
      <c r="T63" s="225" t="str">
        <f t="shared" si="50"/>
        <v>VÁLIDA</v>
      </c>
      <c r="U63" s="191">
        <v>2089591</v>
      </c>
      <c r="V63" s="224">
        <f t="shared" si="51"/>
        <v>20895910</v>
      </c>
      <c r="W63" s="225" t="str">
        <f t="shared" si="52"/>
        <v>VÁLIDA</v>
      </c>
      <c r="X63" s="191">
        <v>2056157</v>
      </c>
      <c r="Y63" s="224">
        <f t="shared" si="53"/>
        <v>20561570</v>
      </c>
      <c r="Z63" s="225" t="str">
        <f t="shared" si="54"/>
        <v>VÁLIDA</v>
      </c>
      <c r="AA63" s="191">
        <v>2066605</v>
      </c>
      <c r="AB63" s="224">
        <f t="shared" si="55"/>
        <v>20666050</v>
      </c>
      <c r="AC63" s="225" t="str">
        <f t="shared" si="56"/>
        <v>VÁLIDA</v>
      </c>
      <c r="AD63" s="191">
        <v>2089591</v>
      </c>
      <c r="AE63" s="224">
        <f t="shared" si="57"/>
        <v>20895910</v>
      </c>
      <c r="AF63" s="225" t="str">
        <f t="shared" si="58"/>
        <v>VÁLIDA</v>
      </c>
      <c r="AH63" s="224">
        <f t="shared" si="59"/>
        <v>0</v>
      </c>
      <c r="AI63" s="225" t="str">
        <f t="shared" si="60"/>
        <v>VÁLIDA</v>
      </c>
      <c r="AJ63" s="224">
        <v>1943320</v>
      </c>
      <c r="AK63" s="224">
        <f t="shared" si="61"/>
        <v>19433200</v>
      </c>
      <c r="AL63" s="225" t="str">
        <f t="shared" si="62"/>
        <v>VÁLIDA</v>
      </c>
      <c r="AM63" s="224">
        <v>2084367</v>
      </c>
      <c r="AN63" s="224">
        <f t="shared" si="63"/>
        <v>20843670</v>
      </c>
      <c r="AO63" s="225" t="str">
        <f t="shared" si="64"/>
        <v>VÁLIDA</v>
      </c>
      <c r="AP63" s="224">
        <v>2089591</v>
      </c>
      <c r="AQ63" s="224">
        <f t="shared" si="65"/>
        <v>20895910</v>
      </c>
      <c r="AR63" s="225" t="str">
        <f t="shared" si="66"/>
        <v>VÁLIDA</v>
      </c>
      <c r="AS63" s="224">
        <v>2044000</v>
      </c>
      <c r="AT63" s="224">
        <f t="shared" si="67"/>
        <v>20440000</v>
      </c>
      <c r="AU63" s="225" t="str">
        <f t="shared" si="68"/>
        <v>VÁLIDA</v>
      </c>
      <c r="AV63" s="224">
        <v>2776658.4</v>
      </c>
      <c r="AW63" s="224">
        <f t="shared" si="69"/>
        <v>27766584</v>
      </c>
      <c r="AX63" s="225" t="str">
        <f t="shared" si="70"/>
        <v>NO VÁLIDA</v>
      </c>
      <c r="AY63" s="224">
        <v>2089591</v>
      </c>
      <c r="AZ63" s="224">
        <f t="shared" si="71"/>
        <v>20895910</v>
      </c>
      <c r="BA63" s="225" t="str">
        <f t="shared" si="72"/>
        <v>VÁLIDA</v>
      </c>
      <c r="BB63" s="224">
        <v>2003703.682043686</v>
      </c>
      <c r="BC63" s="224">
        <f t="shared" si="73"/>
        <v>20037036.820436861</v>
      </c>
      <c r="BD63" s="225" t="str">
        <f t="shared" si="74"/>
        <v>VÁLIDA</v>
      </c>
      <c r="BE63" s="224">
        <v>2044456</v>
      </c>
      <c r="BF63" s="224">
        <f t="shared" si="75"/>
        <v>20444560</v>
      </c>
      <c r="BG63" s="225" t="str">
        <f t="shared" si="76"/>
        <v>VÁLIDA</v>
      </c>
      <c r="BH63" s="224">
        <v>2068695.09</v>
      </c>
      <c r="BI63" s="224">
        <f t="shared" si="77"/>
        <v>20686950.900000002</v>
      </c>
      <c r="BJ63" s="225" t="str">
        <f t="shared" si="78"/>
        <v>VÁLIDA</v>
      </c>
      <c r="BK63" s="224">
        <v>2072874</v>
      </c>
      <c r="BL63" s="224">
        <f t="shared" si="79"/>
        <v>20728740</v>
      </c>
      <c r="BM63" s="225" t="str">
        <f t="shared" si="80"/>
        <v>VÁLIDA</v>
      </c>
      <c r="BN63" s="224">
        <v>2052270</v>
      </c>
      <c r="BO63" s="224">
        <f t="shared" si="81"/>
        <v>20522700</v>
      </c>
      <c r="BP63" s="225" t="str">
        <f t="shared" si="82"/>
        <v>VÁLIDA</v>
      </c>
    </row>
    <row r="64" spans="2:68" s="167" customFormat="1" ht="27" customHeight="1" thickBot="1" x14ac:dyDescent="0.25">
      <c r="B64" s="103">
        <v>3210</v>
      </c>
      <c r="C64" s="94">
        <f>+C62+0.01</f>
        <v>2.0499999999999989</v>
      </c>
      <c r="D64" s="95" t="str">
        <f>VLOOKUP(B64,[2]ITEMS!$B$4:$E$2466,2,FALSE)</f>
        <v>BORDILLO PREFABRICADO A80 (Suministro e Instalación. Incluye 3cm Mortero de Nivelación 2000 PSI)</v>
      </c>
      <c r="E64" s="96" t="str">
        <f>VLOOKUP(B64,[2]ITEMS!$B$4:$E$2466,3,FALSE)</f>
        <v>M</v>
      </c>
      <c r="F64" s="97">
        <v>66</v>
      </c>
      <c r="G64" s="98">
        <f>VLOOKUP(B64,[2]ITEMS!$B$4:$E$2466,4,FALSE)</f>
        <v>41083</v>
      </c>
      <c r="H64" s="98">
        <f t="shared" si="42"/>
        <v>2711478</v>
      </c>
      <c r="I64" s="191">
        <v>40443</v>
      </c>
      <c r="J64" s="224">
        <f t="shared" si="43"/>
        <v>2669238</v>
      </c>
      <c r="K64" s="225" t="str">
        <f t="shared" si="44"/>
        <v>VÁLIDA</v>
      </c>
      <c r="L64" s="191">
        <v>40631</v>
      </c>
      <c r="M64" s="224">
        <f t="shared" si="45"/>
        <v>2681646</v>
      </c>
      <c r="N64" s="225" t="str">
        <f t="shared" si="46"/>
        <v>VÁLIDA</v>
      </c>
      <c r="O64" s="191">
        <v>41083</v>
      </c>
      <c r="P64" s="224">
        <f t="shared" si="47"/>
        <v>2711478</v>
      </c>
      <c r="Q64" s="225" t="str">
        <f t="shared" si="48"/>
        <v>VÁLIDA</v>
      </c>
      <c r="R64" s="191">
        <v>40479</v>
      </c>
      <c r="S64" s="224">
        <f t="shared" si="49"/>
        <v>2671614</v>
      </c>
      <c r="T64" s="225" t="str">
        <f t="shared" si="50"/>
        <v>VÁLIDA</v>
      </c>
      <c r="U64" s="191">
        <v>41083</v>
      </c>
      <c r="V64" s="224">
        <f t="shared" si="51"/>
        <v>2711478</v>
      </c>
      <c r="W64" s="225" t="str">
        <f t="shared" si="52"/>
        <v>VÁLIDA</v>
      </c>
      <c r="X64" s="191">
        <v>40425</v>
      </c>
      <c r="Y64" s="224">
        <f t="shared" si="53"/>
        <v>2668050</v>
      </c>
      <c r="Z64" s="225" t="str">
        <f t="shared" si="54"/>
        <v>VÁLIDA</v>
      </c>
      <c r="AA64" s="191">
        <v>40631</v>
      </c>
      <c r="AB64" s="224">
        <f t="shared" si="55"/>
        <v>2681646</v>
      </c>
      <c r="AC64" s="225" t="str">
        <f t="shared" si="56"/>
        <v>VÁLIDA</v>
      </c>
      <c r="AD64" s="191">
        <v>41083</v>
      </c>
      <c r="AE64" s="224">
        <f t="shared" si="57"/>
        <v>2711478</v>
      </c>
      <c r="AF64" s="225" t="str">
        <f t="shared" si="58"/>
        <v>VÁLIDA</v>
      </c>
      <c r="AH64" s="224">
        <f t="shared" si="59"/>
        <v>0</v>
      </c>
      <c r="AI64" s="225" t="str">
        <f t="shared" si="60"/>
        <v>VÁLIDA</v>
      </c>
      <c r="AJ64" s="224">
        <v>38207</v>
      </c>
      <c r="AK64" s="224">
        <f t="shared" si="61"/>
        <v>2521662</v>
      </c>
      <c r="AL64" s="225" t="str">
        <f t="shared" si="62"/>
        <v>VÁLIDA</v>
      </c>
      <c r="AM64" s="224">
        <v>40980</v>
      </c>
      <c r="AN64" s="224">
        <f t="shared" si="63"/>
        <v>2704680</v>
      </c>
      <c r="AO64" s="225" t="str">
        <f t="shared" si="64"/>
        <v>VÁLIDA</v>
      </c>
      <c r="AP64" s="224">
        <v>41083</v>
      </c>
      <c r="AQ64" s="224">
        <f t="shared" si="65"/>
        <v>2711478</v>
      </c>
      <c r="AR64" s="225" t="str">
        <f t="shared" si="66"/>
        <v>VÁLIDA</v>
      </c>
      <c r="AS64" s="224">
        <v>40000</v>
      </c>
      <c r="AT64" s="224">
        <f t="shared" si="67"/>
        <v>2640000</v>
      </c>
      <c r="AU64" s="225" t="str">
        <f t="shared" si="68"/>
        <v>VÁLIDA</v>
      </c>
      <c r="AV64" s="224">
        <v>54591.3</v>
      </c>
      <c r="AW64" s="224">
        <f t="shared" si="69"/>
        <v>3603025.8000000003</v>
      </c>
      <c r="AX64" s="225" t="str">
        <f t="shared" si="70"/>
        <v>NO VÁLIDA</v>
      </c>
      <c r="AY64" s="224">
        <v>41083</v>
      </c>
      <c r="AZ64" s="224">
        <f t="shared" si="71"/>
        <v>2711478</v>
      </c>
      <c r="BA64" s="225" t="str">
        <f t="shared" si="72"/>
        <v>VÁLIDA</v>
      </c>
      <c r="BB64" s="224">
        <v>39394.387882317998</v>
      </c>
      <c r="BC64" s="224">
        <f t="shared" si="73"/>
        <v>2600029.6002329877</v>
      </c>
      <c r="BD64" s="225" t="str">
        <f t="shared" si="74"/>
        <v>VÁLIDA</v>
      </c>
      <c r="BE64" s="224">
        <v>40196</v>
      </c>
      <c r="BF64" s="224">
        <f t="shared" si="75"/>
        <v>2652936</v>
      </c>
      <c r="BG64" s="225" t="str">
        <f t="shared" si="76"/>
        <v>VÁLIDA</v>
      </c>
      <c r="BH64" s="224">
        <v>40672.17</v>
      </c>
      <c r="BI64" s="224">
        <f t="shared" si="77"/>
        <v>2684363.2199999997</v>
      </c>
      <c r="BJ64" s="225" t="str">
        <f t="shared" si="78"/>
        <v>VÁLIDA</v>
      </c>
      <c r="BK64" s="224">
        <v>40754</v>
      </c>
      <c r="BL64" s="224">
        <f t="shared" si="79"/>
        <v>2689764</v>
      </c>
      <c r="BM64" s="225" t="str">
        <f t="shared" si="80"/>
        <v>VÁLIDA</v>
      </c>
      <c r="BN64" s="224">
        <v>40349</v>
      </c>
      <c r="BO64" s="224">
        <f t="shared" si="81"/>
        <v>2663034</v>
      </c>
      <c r="BP64" s="225" t="str">
        <f t="shared" si="82"/>
        <v>VÁLIDA</v>
      </c>
    </row>
    <row r="65" spans="2:68" s="167" customFormat="1" ht="16.5" customHeight="1" thickBot="1" x14ac:dyDescent="0.3">
      <c r="B65" s="78"/>
      <c r="C65" s="104">
        <f>C58+1</f>
        <v>3</v>
      </c>
      <c r="D65" s="101" t="s">
        <v>126</v>
      </c>
      <c r="E65" s="101"/>
      <c r="F65" s="82"/>
      <c r="G65" s="102"/>
      <c r="H65" s="83">
        <f>SUM(H66:H85)</f>
        <v>28149133</v>
      </c>
      <c r="I65" s="226"/>
      <c r="J65" s="192">
        <f>SUM(J66:J85)</f>
        <v>27710486</v>
      </c>
      <c r="K65" s="225" t="str">
        <f t="shared" si="44"/>
        <v>VÁLIDA</v>
      </c>
      <c r="L65" s="226"/>
      <c r="M65" s="192">
        <f>SUM(M66:M85)</f>
        <v>27839499</v>
      </c>
      <c r="N65" s="225" t="str">
        <f t="shared" si="46"/>
        <v>VÁLIDA</v>
      </c>
      <c r="O65" s="226"/>
      <c r="P65" s="192">
        <f>SUM(P66:P85)</f>
        <v>28149133</v>
      </c>
      <c r="Q65" s="225" t="str">
        <f t="shared" si="48"/>
        <v>VÁLIDA</v>
      </c>
      <c r="R65" s="226"/>
      <c r="S65" s="192">
        <f>SUM(S66:S85)</f>
        <v>27735298</v>
      </c>
      <c r="T65" s="225" t="str">
        <f t="shared" si="50"/>
        <v>VÁLIDA</v>
      </c>
      <c r="U65" s="226"/>
      <c r="V65" s="192">
        <f>SUM(V66:V85)</f>
        <v>28149133</v>
      </c>
      <c r="W65" s="225" t="str">
        <f t="shared" si="52"/>
        <v>VÁLIDA</v>
      </c>
      <c r="X65" s="226"/>
      <c r="Y65" s="192">
        <f>SUM(Y66:Y85)</f>
        <v>27698696</v>
      </c>
      <c r="Z65" s="225" t="str">
        <f t="shared" si="54"/>
        <v>VÁLIDA</v>
      </c>
      <c r="AA65" s="226"/>
      <c r="AB65" s="192">
        <f>SUM(AB66:AB85)</f>
        <v>27839499</v>
      </c>
      <c r="AC65" s="225" t="str">
        <f t="shared" si="56"/>
        <v>VÁLIDA</v>
      </c>
      <c r="AD65" s="226"/>
      <c r="AE65" s="192">
        <f>SUM(AE66:AE85)</f>
        <v>28149133</v>
      </c>
      <c r="AF65" s="225" t="str">
        <f t="shared" si="58"/>
        <v>VÁLIDA</v>
      </c>
      <c r="AH65" s="192">
        <f>SUM(AH66:AH85)</f>
        <v>0</v>
      </c>
      <c r="AI65" s="225" t="str">
        <f t="shared" si="60"/>
        <v>VÁLIDA</v>
      </c>
      <c r="AJ65" s="192"/>
      <c r="AK65" s="192">
        <f>SUM(AK66:AK85)</f>
        <v>26178693</v>
      </c>
      <c r="AL65" s="225" t="str">
        <f t="shared" si="62"/>
        <v>VÁLIDA</v>
      </c>
      <c r="AM65" s="192"/>
      <c r="AN65" s="192">
        <f>SUM(AN66:AN85)</f>
        <v>28078752</v>
      </c>
      <c r="AO65" s="225" t="str">
        <f t="shared" si="64"/>
        <v>VÁLIDA</v>
      </c>
      <c r="AP65" s="192"/>
      <c r="AQ65" s="192">
        <f>SUM(AQ66:AQ85)</f>
        <v>28149133</v>
      </c>
      <c r="AR65" s="225" t="str">
        <f t="shared" si="66"/>
        <v>VÁLIDA</v>
      </c>
      <c r="AS65" s="192"/>
      <c r="AT65" s="192">
        <f>SUM(AT66:AT85)</f>
        <v>27500800</v>
      </c>
      <c r="AU65" s="225" t="str">
        <f t="shared" si="68"/>
        <v>VÁLIDA</v>
      </c>
      <c r="AV65" s="192"/>
      <c r="AW65" s="192">
        <f>SUM(AW66:AW85)</f>
        <v>37404722.650000006</v>
      </c>
      <c r="AX65" s="225" t="str">
        <f t="shared" si="70"/>
        <v>NO VÁLIDA</v>
      </c>
      <c r="AY65" s="192"/>
      <c r="AZ65" s="192">
        <f>SUM(AZ66:AZ85)</f>
        <v>28149133</v>
      </c>
      <c r="BA65" s="225" t="str">
        <f t="shared" si="72"/>
        <v>VÁLIDA</v>
      </c>
      <c r="BB65" s="192"/>
      <c r="BC65" s="192">
        <f>SUM(BC66:BC85)</f>
        <v>26992134.55572762</v>
      </c>
      <c r="BD65" s="225" t="str">
        <f t="shared" si="74"/>
        <v>VÁLIDA</v>
      </c>
      <c r="BE65" s="192"/>
      <c r="BF65" s="192">
        <f>SUM(BF66:BF85)</f>
        <v>27541067</v>
      </c>
      <c r="BG65" s="225" t="str">
        <f t="shared" si="76"/>
        <v>VÁLIDA</v>
      </c>
      <c r="BH65" s="192"/>
      <c r="BI65" s="192">
        <f>SUM(BI66:BI85)</f>
        <v>27867641.669999998</v>
      </c>
      <c r="BJ65" s="225" t="str">
        <f t="shared" si="78"/>
        <v>VÁLIDA</v>
      </c>
      <c r="BK65" s="192"/>
      <c r="BL65" s="192">
        <f>SUM(BL66:BL85)</f>
        <v>27923917</v>
      </c>
      <c r="BM65" s="225" t="str">
        <f t="shared" si="80"/>
        <v>VÁLIDA</v>
      </c>
      <c r="BN65" s="192"/>
      <c r="BO65" s="192">
        <f>SUM(BO66:BO85)</f>
        <v>27646290</v>
      </c>
      <c r="BP65" s="225" t="str">
        <f t="shared" si="82"/>
        <v>VÁLIDA</v>
      </c>
    </row>
    <row r="66" spans="2:68" s="167" customFormat="1" ht="27" customHeight="1" x14ac:dyDescent="0.2">
      <c r="B66" s="103"/>
      <c r="C66" s="94">
        <f>C65+0.01</f>
        <v>3.01</v>
      </c>
      <c r="D66" s="95" t="s">
        <v>127</v>
      </c>
      <c r="E66" s="96" t="s">
        <v>88</v>
      </c>
      <c r="F66" s="127">
        <f>2+2</f>
        <v>4</v>
      </c>
      <c r="G66" s="98">
        <v>413236</v>
      </c>
      <c r="H66" s="98">
        <f t="shared" si="42"/>
        <v>1652944</v>
      </c>
      <c r="I66" s="191">
        <v>406797</v>
      </c>
      <c r="J66" s="224">
        <f t="shared" si="43"/>
        <v>1627188</v>
      </c>
      <c r="K66" s="225" t="str">
        <f t="shared" si="44"/>
        <v>VÁLIDA</v>
      </c>
      <c r="L66" s="191">
        <v>408690</v>
      </c>
      <c r="M66" s="224">
        <f t="shared" si="45"/>
        <v>1634760</v>
      </c>
      <c r="N66" s="225" t="str">
        <f t="shared" si="46"/>
        <v>VÁLIDA</v>
      </c>
      <c r="O66" s="191">
        <v>413236</v>
      </c>
      <c r="P66" s="224">
        <f t="shared" si="47"/>
        <v>1652944</v>
      </c>
      <c r="Q66" s="225" t="str">
        <f t="shared" si="48"/>
        <v>VÁLIDA</v>
      </c>
      <c r="R66" s="191">
        <v>407161</v>
      </c>
      <c r="S66" s="224">
        <f t="shared" si="49"/>
        <v>1628644</v>
      </c>
      <c r="T66" s="225" t="str">
        <f t="shared" si="50"/>
        <v>VÁLIDA</v>
      </c>
      <c r="U66" s="191">
        <v>413236</v>
      </c>
      <c r="V66" s="224">
        <f t="shared" si="51"/>
        <v>1652944</v>
      </c>
      <c r="W66" s="225" t="str">
        <f t="shared" si="52"/>
        <v>VÁLIDA</v>
      </c>
      <c r="X66" s="191">
        <v>406624</v>
      </c>
      <c r="Y66" s="224">
        <f t="shared" si="53"/>
        <v>1626496</v>
      </c>
      <c r="Z66" s="225" t="str">
        <f t="shared" si="54"/>
        <v>VÁLIDA</v>
      </c>
      <c r="AA66" s="191">
        <v>408690</v>
      </c>
      <c r="AB66" s="224">
        <f t="shared" si="55"/>
        <v>1634760</v>
      </c>
      <c r="AC66" s="225" t="str">
        <f t="shared" si="56"/>
        <v>VÁLIDA</v>
      </c>
      <c r="AD66" s="191">
        <v>413236</v>
      </c>
      <c r="AE66" s="224">
        <f t="shared" si="57"/>
        <v>1652944</v>
      </c>
      <c r="AF66" s="225" t="str">
        <f t="shared" si="58"/>
        <v>VÁLIDA</v>
      </c>
      <c r="AH66" s="224">
        <f t="shared" si="59"/>
        <v>0</v>
      </c>
      <c r="AI66" s="225" t="str">
        <f t="shared" si="60"/>
        <v>VÁLIDA</v>
      </c>
      <c r="AJ66" s="224">
        <v>384309</v>
      </c>
      <c r="AK66" s="224">
        <f t="shared" si="61"/>
        <v>1537236</v>
      </c>
      <c r="AL66" s="225" t="str">
        <f t="shared" si="62"/>
        <v>VÁLIDA</v>
      </c>
      <c r="AM66" s="224">
        <v>412203</v>
      </c>
      <c r="AN66" s="224">
        <f t="shared" si="63"/>
        <v>1648812</v>
      </c>
      <c r="AO66" s="225" t="str">
        <f t="shared" si="64"/>
        <v>VÁLIDA</v>
      </c>
      <c r="AP66" s="224">
        <v>413236</v>
      </c>
      <c r="AQ66" s="224">
        <f t="shared" si="65"/>
        <v>1652944</v>
      </c>
      <c r="AR66" s="225" t="str">
        <f t="shared" si="66"/>
        <v>VÁLIDA</v>
      </c>
      <c r="AS66" s="224">
        <v>404000</v>
      </c>
      <c r="AT66" s="224">
        <f t="shared" si="67"/>
        <v>1616000</v>
      </c>
      <c r="AU66" s="225" t="str">
        <f t="shared" si="68"/>
        <v>VÁLIDA</v>
      </c>
      <c r="AV66" s="224">
        <v>549109.80000000005</v>
      </c>
      <c r="AW66" s="224">
        <f t="shared" si="69"/>
        <v>2196439.2000000002</v>
      </c>
      <c r="AX66" s="225" t="str">
        <f t="shared" si="70"/>
        <v>NO VÁLIDA</v>
      </c>
      <c r="AY66" s="224">
        <v>413236</v>
      </c>
      <c r="AZ66" s="224">
        <f t="shared" si="71"/>
        <v>1652944</v>
      </c>
      <c r="BA66" s="225" t="str">
        <f t="shared" si="72"/>
        <v>VÁLIDA</v>
      </c>
      <c r="BB66" s="224">
        <v>396250.98631885601</v>
      </c>
      <c r="BC66" s="224">
        <f t="shared" si="73"/>
        <v>1585003.945275424</v>
      </c>
      <c r="BD66" s="225" t="str">
        <f t="shared" si="74"/>
        <v>VÁLIDA</v>
      </c>
      <c r="BE66" s="224">
        <v>404310</v>
      </c>
      <c r="BF66" s="224">
        <f t="shared" si="75"/>
        <v>1617240</v>
      </c>
      <c r="BG66" s="225" t="str">
        <f t="shared" si="76"/>
        <v>VÁLIDA</v>
      </c>
      <c r="BH66" s="224">
        <v>409103.64</v>
      </c>
      <c r="BI66" s="224">
        <f t="shared" si="77"/>
        <v>1636414.56</v>
      </c>
      <c r="BJ66" s="225" t="str">
        <f t="shared" si="78"/>
        <v>VÁLIDA</v>
      </c>
      <c r="BK66" s="224">
        <v>409930</v>
      </c>
      <c r="BL66" s="224">
        <f t="shared" si="79"/>
        <v>1639720</v>
      </c>
      <c r="BM66" s="225" t="str">
        <f t="shared" si="80"/>
        <v>VÁLIDA</v>
      </c>
      <c r="BN66" s="224">
        <v>405855</v>
      </c>
      <c r="BO66" s="224">
        <f t="shared" si="81"/>
        <v>1623420</v>
      </c>
      <c r="BP66" s="225" t="str">
        <f t="shared" si="82"/>
        <v>VÁLIDA</v>
      </c>
    </row>
    <row r="67" spans="2:68" s="230" customFormat="1" ht="27" customHeight="1" x14ac:dyDescent="0.2">
      <c r="B67" s="116"/>
      <c r="C67" s="94">
        <f t="shared" ref="C67:C73" si="83">C66+0.01</f>
        <v>3.0199999999999996</v>
      </c>
      <c r="D67" s="128" t="s">
        <v>128</v>
      </c>
      <c r="E67" s="129"/>
      <c r="F67" s="130"/>
      <c r="G67" s="131"/>
      <c r="H67" s="131"/>
      <c r="I67" s="194"/>
      <c r="J67" s="224"/>
      <c r="K67" s="225"/>
      <c r="L67" s="194"/>
      <c r="M67" s="224"/>
      <c r="N67" s="225"/>
      <c r="O67" s="194"/>
      <c r="P67" s="224"/>
      <c r="Q67" s="225"/>
      <c r="R67" s="194"/>
      <c r="S67" s="224"/>
      <c r="T67" s="225"/>
      <c r="U67" s="194"/>
      <c r="V67" s="224"/>
      <c r="W67" s="225"/>
      <c r="X67" s="194"/>
      <c r="Y67" s="224"/>
      <c r="Z67" s="225"/>
      <c r="AA67" s="194"/>
      <c r="AB67" s="224"/>
      <c r="AC67" s="225"/>
      <c r="AD67" s="194"/>
      <c r="AE67" s="224"/>
      <c r="AF67" s="225"/>
      <c r="AH67" s="224"/>
      <c r="AI67" s="225"/>
      <c r="AJ67" s="224"/>
      <c r="AK67" s="224"/>
      <c r="AL67" s="225"/>
      <c r="AM67" s="224"/>
      <c r="AN67" s="224"/>
      <c r="AO67" s="225"/>
      <c r="AP67" s="224"/>
      <c r="AQ67" s="224"/>
      <c r="AR67" s="225"/>
      <c r="AS67" s="224"/>
      <c r="AT67" s="224"/>
      <c r="AU67" s="225"/>
      <c r="AV67" s="224"/>
      <c r="AW67" s="224"/>
      <c r="AX67" s="225"/>
      <c r="AY67" s="224"/>
      <c r="AZ67" s="224"/>
      <c r="BA67" s="225"/>
      <c r="BB67" s="224"/>
      <c r="BC67" s="224"/>
      <c r="BD67" s="225"/>
      <c r="BE67" s="224"/>
      <c r="BF67" s="224"/>
      <c r="BG67" s="225"/>
      <c r="BH67" s="224"/>
      <c r="BI67" s="224"/>
      <c r="BJ67" s="225"/>
      <c r="BK67" s="224"/>
      <c r="BL67" s="224"/>
      <c r="BM67" s="225"/>
      <c r="BN67" s="224"/>
      <c r="BO67" s="224"/>
      <c r="BP67" s="225"/>
    </row>
    <row r="68" spans="2:68" s="167" customFormat="1" ht="15.75" customHeight="1" x14ac:dyDescent="0.2">
      <c r="B68" s="93">
        <v>3226</v>
      </c>
      <c r="C68" s="94">
        <f t="shared" si="83"/>
        <v>3.0299999999999994</v>
      </c>
      <c r="D68" s="95" t="str">
        <f>VLOOKUP(B68,[2]ITEMS!$B$4:$E$2466,2,FALSE)</f>
        <v>TUBERIA PVC D=4" TIPO U.M. RDE 21 (Suministro e Instalación)</v>
      </c>
      <c r="E68" s="96" t="str">
        <f>VLOOKUP(B68,[2]ITEMS!$B$4:$E$2466,3,FALSE)</f>
        <v>M</v>
      </c>
      <c r="F68" s="97">
        <v>114</v>
      </c>
      <c r="G68" s="98">
        <f>VLOOKUP(B68,[2]ITEMS!$B$4:$E$2466,4,FALSE)</f>
        <v>36371</v>
      </c>
      <c r="H68" s="98">
        <f t="shared" si="42"/>
        <v>4146294</v>
      </c>
      <c r="I68" s="191">
        <v>35804</v>
      </c>
      <c r="J68" s="224">
        <f t="shared" si="43"/>
        <v>4081656</v>
      </c>
      <c r="K68" s="225" t="str">
        <f t="shared" ref="K68:K73" si="84">IF(J68&lt;=$H68,"VÁLIDA","NO VÁLIDA")</f>
        <v>VÁLIDA</v>
      </c>
      <c r="L68" s="191">
        <v>35971</v>
      </c>
      <c r="M68" s="224">
        <f t="shared" si="45"/>
        <v>4100694</v>
      </c>
      <c r="N68" s="225" t="str">
        <f t="shared" ref="N68:N73" si="85">IF(M68&lt;=$H68,"VÁLIDA","NO VÁLIDA")</f>
        <v>VÁLIDA</v>
      </c>
      <c r="O68" s="191">
        <v>36371</v>
      </c>
      <c r="P68" s="224">
        <f t="shared" si="47"/>
        <v>4146294</v>
      </c>
      <c r="Q68" s="225" t="str">
        <f t="shared" ref="Q68:Q73" si="86">IF(P68&lt;=$H68,"VÁLIDA","NO VÁLIDA")</f>
        <v>VÁLIDA</v>
      </c>
      <c r="R68" s="191">
        <v>35836</v>
      </c>
      <c r="S68" s="224">
        <f t="shared" si="49"/>
        <v>4085304</v>
      </c>
      <c r="T68" s="225" t="str">
        <f t="shared" ref="T68:T73" si="87">IF(S68&lt;=$H68,"VÁLIDA","NO VÁLIDA")</f>
        <v>VÁLIDA</v>
      </c>
      <c r="U68" s="191">
        <v>36371</v>
      </c>
      <c r="V68" s="224">
        <f t="shared" si="51"/>
        <v>4146294</v>
      </c>
      <c r="W68" s="225" t="str">
        <f t="shared" ref="W68:W73" si="88">IF(V68&lt;=$H68,"VÁLIDA","NO VÁLIDA")</f>
        <v>VÁLIDA</v>
      </c>
      <c r="X68" s="191">
        <v>35789</v>
      </c>
      <c r="Y68" s="224">
        <f t="shared" si="53"/>
        <v>4079946</v>
      </c>
      <c r="Z68" s="225" t="str">
        <f t="shared" ref="Z68:Z73" si="89">IF(Y68&lt;=$H68,"VÁLIDA","NO VÁLIDA")</f>
        <v>VÁLIDA</v>
      </c>
      <c r="AA68" s="191">
        <v>35971</v>
      </c>
      <c r="AB68" s="224">
        <f t="shared" si="55"/>
        <v>4100694</v>
      </c>
      <c r="AC68" s="225" t="str">
        <f t="shared" ref="AC68:AC73" si="90">IF(AB68&lt;=$H68,"VÁLIDA","NO VÁLIDA")</f>
        <v>VÁLIDA</v>
      </c>
      <c r="AD68" s="191">
        <v>36371</v>
      </c>
      <c r="AE68" s="224">
        <f t="shared" si="57"/>
        <v>4146294</v>
      </c>
      <c r="AF68" s="225" t="str">
        <f t="shared" ref="AF68:AF73" si="91">IF(AE68&lt;=$H68,"VÁLIDA","NO VÁLIDA")</f>
        <v>VÁLIDA</v>
      </c>
      <c r="AH68" s="224">
        <f t="shared" si="59"/>
        <v>0</v>
      </c>
      <c r="AI68" s="225" t="str">
        <f t="shared" ref="AI68:AI73" si="92">IF(AH68&lt;=$H68,"VÁLIDA","NO VÁLIDA")</f>
        <v>VÁLIDA</v>
      </c>
      <c r="AJ68" s="224">
        <v>33825</v>
      </c>
      <c r="AK68" s="224">
        <f t="shared" si="61"/>
        <v>3856050</v>
      </c>
      <c r="AL68" s="225" t="str">
        <f t="shared" ref="AL68:AL73" si="93">IF(AK68&lt;=$H68,"VÁLIDA","NO VÁLIDA")</f>
        <v>VÁLIDA</v>
      </c>
      <c r="AM68" s="224">
        <v>36280</v>
      </c>
      <c r="AN68" s="224">
        <f t="shared" si="63"/>
        <v>4135920</v>
      </c>
      <c r="AO68" s="225" t="str">
        <f t="shared" ref="AO68:AO73" si="94">IF(AN68&lt;=$H68,"VÁLIDA","NO VÁLIDA")</f>
        <v>VÁLIDA</v>
      </c>
      <c r="AP68" s="224">
        <v>36371</v>
      </c>
      <c r="AQ68" s="224">
        <f t="shared" si="65"/>
        <v>4146294</v>
      </c>
      <c r="AR68" s="225" t="str">
        <f t="shared" ref="AR68:AR73" si="95">IF(AQ68&lt;=$H68,"VÁLIDA","NO VÁLIDA")</f>
        <v>VÁLIDA</v>
      </c>
      <c r="AS68" s="224">
        <v>35500</v>
      </c>
      <c r="AT68" s="224">
        <f t="shared" si="67"/>
        <v>4047000</v>
      </c>
      <c r="AU68" s="225" t="str">
        <f t="shared" ref="AU68:AU73" si="96">IF(AT68&lt;=$H68,"VÁLIDA","NO VÁLIDA")</f>
        <v>VÁLIDA</v>
      </c>
      <c r="AV68" s="224">
        <v>48330</v>
      </c>
      <c r="AW68" s="224">
        <f t="shared" si="69"/>
        <v>5509620</v>
      </c>
      <c r="AX68" s="225" t="str">
        <f t="shared" ref="AX68:AX73" si="97">IF(AW68&lt;=$H68,"VÁLIDA","NO VÁLIDA")</f>
        <v>NO VÁLIDA</v>
      </c>
      <c r="AY68" s="224">
        <v>36371</v>
      </c>
      <c r="AZ68" s="224">
        <f t="shared" si="71"/>
        <v>4146294</v>
      </c>
      <c r="BA68" s="225" t="str">
        <f t="shared" ref="BA68:BA73" si="98">IF(AZ68&lt;=$H68,"VÁLIDA","NO VÁLIDA")</f>
        <v>VÁLIDA</v>
      </c>
      <c r="BB68" s="224">
        <v>34876.062645566002</v>
      </c>
      <c r="BC68" s="224">
        <f t="shared" si="73"/>
        <v>3975871.141594524</v>
      </c>
      <c r="BD68" s="225" t="str">
        <f t="shared" ref="BD68:BD73" si="99">IF(BC68&lt;=$H68,"VÁLIDA","NO VÁLIDA")</f>
        <v>VÁLIDA</v>
      </c>
      <c r="BE68" s="224">
        <v>35585</v>
      </c>
      <c r="BF68" s="224">
        <f t="shared" si="75"/>
        <v>4056690</v>
      </c>
      <c r="BG68" s="225" t="str">
        <f t="shared" ref="BG68:BG73" si="100">IF(BF68&lt;=$H68,"VÁLIDA","NO VÁLIDA")</f>
        <v>VÁLIDA</v>
      </c>
      <c r="BH68" s="224">
        <v>36007.29</v>
      </c>
      <c r="BI68" s="224">
        <f t="shared" si="77"/>
        <v>4104831.06</v>
      </c>
      <c r="BJ68" s="225" t="str">
        <f t="shared" ref="BJ68:BJ73" si="101">IF(BI68&lt;=$H68,"VÁLIDA","NO VÁLIDA")</f>
        <v>VÁLIDA</v>
      </c>
      <c r="BK68" s="224">
        <v>36080</v>
      </c>
      <c r="BL68" s="224">
        <f t="shared" si="79"/>
        <v>4113120</v>
      </c>
      <c r="BM68" s="225" t="str">
        <f t="shared" ref="BM68:BM73" si="102">IF(BL68&lt;=$H68,"VÁLIDA","NO VÁLIDA")</f>
        <v>VÁLIDA</v>
      </c>
      <c r="BN68" s="224">
        <v>35721</v>
      </c>
      <c r="BO68" s="224">
        <f t="shared" si="81"/>
        <v>4072194</v>
      </c>
      <c r="BP68" s="225" t="str">
        <f t="shared" ref="BP68:BP73" si="103">IF(BO68&lt;=$H68,"VÁLIDA","NO VÁLIDA")</f>
        <v>VÁLIDA</v>
      </c>
    </row>
    <row r="69" spans="2:68" s="167" customFormat="1" ht="27" customHeight="1" x14ac:dyDescent="0.2">
      <c r="B69" s="93">
        <v>3227</v>
      </c>
      <c r="C69" s="94">
        <f t="shared" si="83"/>
        <v>3.0399999999999991</v>
      </c>
      <c r="D69" s="95" t="str">
        <f>VLOOKUP(B69,[2]ITEMS!$B$4:$E$2466,2,FALSE)</f>
        <v>TUBERIA PVC D=6" TIPO U.M. RDE 21 (Suministro e Instalación)</v>
      </c>
      <c r="E69" s="96" t="str">
        <f>VLOOKUP(B69,[2]ITEMS!$B$4:$E$2466,3,FALSE)</f>
        <v>M</v>
      </c>
      <c r="F69" s="97">
        <v>11</v>
      </c>
      <c r="G69" s="98">
        <f>VLOOKUP(B69,[2]ITEMS!$B$4:$E$2466,4,FALSE)</f>
        <v>76218</v>
      </c>
      <c r="H69" s="98">
        <f t="shared" si="42"/>
        <v>838398</v>
      </c>
      <c r="I69" s="191">
        <v>75030</v>
      </c>
      <c r="J69" s="224">
        <f t="shared" si="43"/>
        <v>825330</v>
      </c>
      <c r="K69" s="225" t="str">
        <f t="shared" si="84"/>
        <v>VÁLIDA</v>
      </c>
      <c r="L69" s="191">
        <v>75380</v>
      </c>
      <c r="M69" s="224">
        <f t="shared" si="45"/>
        <v>829180</v>
      </c>
      <c r="N69" s="225" t="str">
        <f t="shared" si="85"/>
        <v>VÁLIDA</v>
      </c>
      <c r="O69" s="191">
        <v>76218</v>
      </c>
      <c r="P69" s="224">
        <f t="shared" si="47"/>
        <v>838398</v>
      </c>
      <c r="Q69" s="225" t="str">
        <f t="shared" si="86"/>
        <v>VÁLIDA</v>
      </c>
      <c r="R69" s="191">
        <v>75098</v>
      </c>
      <c r="S69" s="224">
        <f t="shared" si="49"/>
        <v>826078</v>
      </c>
      <c r="T69" s="225" t="str">
        <f t="shared" si="87"/>
        <v>VÁLIDA</v>
      </c>
      <c r="U69" s="191">
        <v>76218</v>
      </c>
      <c r="V69" s="224">
        <f t="shared" si="51"/>
        <v>838398</v>
      </c>
      <c r="W69" s="225" t="str">
        <f t="shared" si="88"/>
        <v>VÁLIDA</v>
      </c>
      <c r="X69" s="191">
        <v>74998</v>
      </c>
      <c r="Y69" s="224">
        <f t="shared" si="53"/>
        <v>824978</v>
      </c>
      <c r="Z69" s="225" t="str">
        <f t="shared" si="89"/>
        <v>VÁLIDA</v>
      </c>
      <c r="AA69" s="191">
        <v>75380</v>
      </c>
      <c r="AB69" s="224">
        <f t="shared" si="55"/>
        <v>829180</v>
      </c>
      <c r="AC69" s="225" t="str">
        <f t="shared" si="90"/>
        <v>VÁLIDA</v>
      </c>
      <c r="AD69" s="191">
        <v>76218</v>
      </c>
      <c r="AE69" s="224">
        <f t="shared" si="57"/>
        <v>838398</v>
      </c>
      <c r="AF69" s="225" t="str">
        <f t="shared" si="91"/>
        <v>VÁLIDA</v>
      </c>
      <c r="AH69" s="224">
        <f t="shared" si="59"/>
        <v>0</v>
      </c>
      <c r="AI69" s="225" t="str">
        <f t="shared" si="92"/>
        <v>VÁLIDA</v>
      </c>
      <c r="AJ69" s="224">
        <v>70883</v>
      </c>
      <c r="AK69" s="224">
        <f t="shared" si="61"/>
        <v>779713</v>
      </c>
      <c r="AL69" s="225" t="str">
        <f t="shared" si="93"/>
        <v>VÁLIDA</v>
      </c>
      <c r="AM69" s="224">
        <v>76027</v>
      </c>
      <c r="AN69" s="224">
        <f t="shared" si="63"/>
        <v>836297</v>
      </c>
      <c r="AO69" s="225" t="str">
        <f t="shared" si="94"/>
        <v>VÁLIDA</v>
      </c>
      <c r="AP69" s="224">
        <v>76218</v>
      </c>
      <c r="AQ69" s="224">
        <f t="shared" si="65"/>
        <v>838398</v>
      </c>
      <c r="AR69" s="225" t="str">
        <f t="shared" si="95"/>
        <v>VÁLIDA</v>
      </c>
      <c r="AS69" s="224">
        <v>74500</v>
      </c>
      <c r="AT69" s="224">
        <f t="shared" si="67"/>
        <v>819500</v>
      </c>
      <c r="AU69" s="225" t="str">
        <f t="shared" si="96"/>
        <v>VÁLIDA</v>
      </c>
      <c r="AV69" s="224">
        <v>101278.35</v>
      </c>
      <c r="AW69" s="224">
        <f t="shared" si="69"/>
        <v>1114061.8500000001</v>
      </c>
      <c r="AX69" s="225" t="str">
        <f t="shared" si="97"/>
        <v>NO VÁLIDA</v>
      </c>
      <c r="AY69" s="224">
        <v>76218</v>
      </c>
      <c r="AZ69" s="224">
        <f t="shared" si="71"/>
        <v>838398</v>
      </c>
      <c r="BA69" s="225" t="str">
        <f t="shared" si="98"/>
        <v>VÁLIDA</v>
      </c>
      <c r="BB69" s="224">
        <v>73085.253161027998</v>
      </c>
      <c r="BC69" s="224">
        <f t="shared" si="73"/>
        <v>803937.78477130795</v>
      </c>
      <c r="BD69" s="225" t="str">
        <f t="shared" si="99"/>
        <v>VÁLIDA</v>
      </c>
      <c r="BE69" s="224">
        <v>74572</v>
      </c>
      <c r="BF69" s="224">
        <f t="shared" si="75"/>
        <v>820292</v>
      </c>
      <c r="BG69" s="225" t="str">
        <f t="shared" si="100"/>
        <v>VÁLIDA</v>
      </c>
      <c r="BH69" s="224">
        <v>75455.819999999992</v>
      </c>
      <c r="BI69" s="224">
        <f t="shared" si="77"/>
        <v>830014.0199999999</v>
      </c>
      <c r="BJ69" s="225" t="str">
        <f t="shared" si="101"/>
        <v>VÁLIDA</v>
      </c>
      <c r="BK69" s="224">
        <v>75608</v>
      </c>
      <c r="BL69" s="224">
        <f t="shared" si="79"/>
        <v>831688</v>
      </c>
      <c r="BM69" s="225" t="str">
        <f t="shared" si="102"/>
        <v>VÁLIDA</v>
      </c>
      <c r="BN69" s="224">
        <v>74856</v>
      </c>
      <c r="BO69" s="224">
        <f t="shared" si="81"/>
        <v>823416</v>
      </c>
      <c r="BP69" s="225" t="str">
        <f t="shared" si="103"/>
        <v>VÁLIDA</v>
      </c>
    </row>
    <row r="70" spans="2:68" s="167" customFormat="1" ht="27" customHeight="1" x14ac:dyDescent="0.2">
      <c r="B70" s="93">
        <v>3238</v>
      </c>
      <c r="C70" s="94">
        <f t="shared" si="83"/>
        <v>3.0499999999999989</v>
      </c>
      <c r="D70" s="95" t="str">
        <f>VLOOKUP(B70,[2]ITEMS!$B$4:$E$2466,2,FALSE)</f>
        <v>TUBERIA PVC D=12" TIPO U.M. RDE 26 (Suministro e Instalación)</v>
      </c>
      <c r="E70" s="96" t="str">
        <f>VLOOKUP(B70,[2]ITEMS!$B$4:$E$2466,3,FALSE)</f>
        <v>M</v>
      </c>
      <c r="F70" s="97">
        <v>11</v>
      </c>
      <c r="G70" s="98">
        <f>VLOOKUP(B70,[2]ITEMS!$B$4:$E$2466,4,FALSE)</f>
        <v>221692</v>
      </c>
      <c r="H70" s="98">
        <f t="shared" si="42"/>
        <v>2438612</v>
      </c>
      <c r="I70" s="191">
        <v>218238</v>
      </c>
      <c r="J70" s="224">
        <f t="shared" si="43"/>
        <v>2400618</v>
      </c>
      <c r="K70" s="225" t="str">
        <f t="shared" si="84"/>
        <v>VÁLIDA</v>
      </c>
      <c r="L70" s="191">
        <v>219253</v>
      </c>
      <c r="M70" s="224">
        <f t="shared" si="45"/>
        <v>2411783</v>
      </c>
      <c r="N70" s="225" t="str">
        <f t="shared" si="85"/>
        <v>VÁLIDA</v>
      </c>
      <c r="O70" s="191">
        <v>221692</v>
      </c>
      <c r="P70" s="224">
        <f t="shared" si="47"/>
        <v>2438612</v>
      </c>
      <c r="Q70" s="225" t="str">
        <f t="shared" si="86"/>
        <v>VÁLIDA</v>
      </c>
      <c r="R70" s="191">
        <v>218433</v>
      </c>
      <c r="S70" s="224">
        <f t="shared" si="49"/>
        <v>2402763</v>
      </c>
      <c r="T70" s="225" t="str">
        <f t="shared" si="87"/>
        <v>VÁLIDA</v>
      </c>
      <c r="U70" s="191">
        <v>221692</v>
      </c>
      <c r="V70" s="224">
        <f t="shared" si="51"/>
        <v>2438612</v>
      </c>
      <c r="W70" s="225" t="str">
        <f t="shared" si="88"/>
        <v>VÁLIDA</v>
      </c>
      <c r="X70" s="191">
        <v>218144</v>
      </c>
      <c r="Y70" s="224">
        <f t="shared" si="53"/>
        <v>2399584</v>
      </c>
      <c r="Z70" s="225" t="str">
        <f t="shared" si="89"/>
        <v>VÁLIDA</v>
      </c>
      <c r="AA70" s="191">
        <v>219253</v>
      </c>
      <c r="AB70" s="224">
        <f t="shared" si="55"/>
        <v>2411783</v>
      </c>
      <c r="AC70" s="225" t="str">
        <f t="shared" si="90"/>
        <v>VÁLIDA</v>
      </c>
      <c r="AD70" s="191">
        <v>221692</v>
      </c>
      <c r="AE70" s="224">
        <f t="shared" si="57"/>
        <v>2438612</v>
      </c>
      <c r="AF70" s="225" t="str">
        <f t="shared" si="91"/>
        <v>VÁLIDA</v>
      </c>
      <c r="AH70" s="224">
        <f t="shared" si="59"/>
        <v>0</v>
      </c>
      <c r="AI70" s="225" t="str">
        <f t="shared" si="92"/>
        <v>VÁLIDA</v>
      </c>
      <c r="AJ70" s="224">
        <v>206174</v>
      </c>
      <c r="AK70" s="224">
        <f t="shared" si="61"/>
        <v>2267914</v>
      </c>
      <c r="AL70" s="225" t="str">
        <f t="shared" si="93"/>
        <v>VÁLIDA</v>
      </c>
      <c r="AM70" s="224">
        <v>221138</v>
      </c>
      <c r="AN70" s="224">
        <f t="shared" si="63"/>
        <v>2432518</v>
      </c>
      <c r="AO70" s="225" t="str">
        <f t="shared" si="94"/>
        <v>VÁLIDA</v>
      </c>
      <c r="AP70" s="224">
        <v>221692</v>
      </c>
      <c r="AQ70" s="224">
        <f t="shared" si="65"/>
        <v>2438612</v>
      </c>
      <c r="AR70" s="225" t="str">
        <f t="shared" si="95"/>
        <v>VÁLIDA</v>
      </c>
      <c r="AS70" s="224">
        <v>216900</v>
      </c>
      <c r="AT70" s="224">
        <f t="shared" si="67"/>
        <v>2385900</v>
      </c>
      <c r="AU70" s="225" t="str">
        <f t="shared" si="96"/>
        <v>VÁLIDA</v>
      </c>
      <c r="AV70" s="224">
        <v>294584.84999999998</v>
      </c>
      <c r="AW70" s="224">
        <f t="shared" si="69"/>
        <v>3240433.3499999996</v>
      </c>
      <c r="AX70" s="225" t="str">
        <f t="shared" si="97"/>
        <v>NO VÁLIDA</v>
      </c>
      <c r="AY70" s="224">
        <v>221692</v>
      </c>
      <c r="AZ70" s="224">
        <f t="shared" si="71"/>
        <v>2438612</v>
      </c>
      <c r="BA70" s="225" t="str">
        <f t="shared" si="98"/>
        <v>VÁLIDA</v>
      </c>
      <c r="BB70" s="224">
        <v>212579.914767832</v>
      </c>
      <c r="BC70" s="224">
        <f t="shared" si="73"/>
        <v>2338379.0624461519</v>
      </c>
      <c r="BD70" s="225" t="str">
        <f t="shared" si="99"/>
        <v>VÁLIDA</v>
      </c>
      <c r="BE70" s="224">
        <v>216903</v>
      </c>
      <c r="BF70" s="224">
        <f t="shared" si="75"/>
        <v>2385933</v>
      </c>
      <c r="BG70" s="225" t="str">
        <f t="shared" si="100"/>
        <v>VÁLIDA</v>
      </c>
      <c r="BH70" s="224">
        <v>219475.08</v>
      </c>
      <c r="BI70" s="224">
        <f t="shared" si="77"/>
        <v>2414225.88</v>
      </c>
      <c r="BJ70" s="225" t="str">
        <f t="shared" si="101"/>
        <v>VÁLIDA</v>
      </c>
      <c r="BK70" s="224">
        <v>219918</v>
      </c>
      <c r="BL70" s="224">
        <f t="shared" si="79"/>
        <v>2419098</v>
      </c>
      <c r="BM70" s="225" t="str">
        <f t="shared" si="102"/>
        <v>VÁLIDA</v>
      </c>
      <c r="BN70" s="224">
        <v>217732</v>
      </c>
      <c r="BO70" s="224">
        <f t="shared" si="81"/>
        <v>2395052</v>
      </c>
      <c r="BP70" s="225" t="str">
        <f t="shared" si="103"/>
        <v>VÁLIDA</v>
      </c>
    </row>
    <row r="71" spans="2:68" s="167" customFormat="1" ht="15.75" customHeight="1" x14ac:dyDescent="0.2">
      <c r="B71" s="93">
        <v>3602</v>
      </c>
      <c r="C71" s="94">
        <f t="shared" si="83"/>
        <v>3.0599999999999987</v>
      </c>
      <c r="D71" s="95" t="str">
        <f>VLOOKUP(B71,[2]ITEMS!$B$4:$E$2466,2,FALSE)</f>
        <v>UNION PVC TIPO U.M. D= 4" (Suministro e Instalación)</v>
      </c>
      <c r="E71" s="96" t="str">
        <f>VLOOKUP(B71,[2]ITEMS!$B$4:$E$2466,3,FALSE)</f>
        <v>UN</v>
      </c>
      <c r="F71" s="97">
        <v>16</v>
      </c>
      <c r="G71" s="98">
        <f>VLOOKUP(B71,[2]ITEMS!$B$4:$E$2466,4,FALSE)</f>
        <v>52236</v>
      </c>
      <c r="H71" s="98">
        <f t="shared" si="42"/>
        <v>835776</v>
      </c>
      <c r="I71" s="191">
        <v>51422</v>
      </c>
      <c r="J71" s="224">
        <f t="shared" si="43"/>
        <v>822752</v>
      </c>
      <c r="K71" s="225" t="str">
        <f t="shared" si="84"/>
        <v>VÁLIDA</v>
      </c>
      <c r="L71" s="191">
        <v>51661</v>
      </c>
      <c r="M71" s="224">
        <f t="shared" si="45"/>
        <v>826576</v>
      </c>
      <c r="N71" s="225" t="str">
        <f t="shared" si="85"/>
        <v>VÁLIDA</v>
      </c>
      <c r="O71" s="191">
        <v>52236</v>
      </c>
      <c r="P71" s="224">
        <f t="shared" si="47"/>
        <v>835776</v>
      </c>
      <c r="Q71" s="225" t="str">
        <f t="shared" si="86"/>
        <v>VÁLIDA</v>
      </c>
      <c r="R71" s="191">
        <v>51468</v>
      </c>
      <c r="S71" s="224">
        <f t="shared" si="49"/>
        <v>823488</v>
      </c>
      <c r="T71" s="225" t="str">
        <f t="shared" si="87"/>
        <v>VÁLIDA</v>
      </c>
      <c r="U71" s="191">
        <v>52236</v>
      </c>
      <c r="V71" s="224">
        <f t="shared" si="51"/>
        <v>835776</v>
      </c>
      <c r="W71" s="225" t="str">
        <f t="shared" si="88"/>
        <v>VÁLIDA</v>
      </c>
      <c r="X71" s="191">
        <v>51400</v>
      </c>
      <c r="Y71" s="224">
        <f t="shared" si="53"/>
        <v>822400</v>
      </c>
      <c r="Z71" s="225" t="str">
        <f t="shared" si="89"/>
        <v>VÁLIDA</v>
      </c>
      <c r="AA71" s="191">
        <v>51661</v>
      </c>
      <c r="AB71" s="224">
        <f t="shared" si="55"/>
        <v>826576</v>
      </c>
      <c r="AC71" s="225" t="str">
        <f t="shared" si="90"/>
        <v>VÁLIDA</v>
      </c>
      <c r="AD71" s="191">
        <v>52236</v>
      </c>
      <c r="AE71" s="224">
        <f t="shared" si="57"/>
        <v>835776</v>
      </c>
      <c r="AF71" s="225" t="str">
        <f t="shared" si="91"/>
        <v>VÁLIDA</v>
      </c>
      <c r="AH71" s="224">
        <f t="shared" si="59"/>
        <v>0</v>
      </c>
      <c r="AI71" s="225" t="str">
        <f t="shared" si="92"/>
        <v>VÁLIDA</v>
      </c>
      <c r="AJ71" s="224">
        <v>48579</v>
      </c>
      <c r="AK71" s="224">
        <f t="shared" si="61"/>
        <v>777264</v>
      </c>
      <c r="AL71" s="225" t="str">
        <f t="shared" si="93"/>
        <v>VÁLIDA</v>
      </c>
      <c r="AM71" s="224">
        <v>52105</v>
      </c>
      <c r="AN71" s="224">
        <f t="shared" si="63"/>
        <v>833680</v>
      </c>
      <c r="AO71" s="225" t="str">
        <f t="shared" si="94"/>
        <v>VÁLIDA</v>
      </c>
      <c r="AP71" s="224">
        <v>52236</v>
      </c>
      <c r="AQ71" s="224">
        <f t="shared" si="65"/>
        <v>835776</v>
      </c>
      <c r="AR71" s="225" t="str">
        <f t="shared" si="95"/>
        <v>VÁLIDA</v>
      </c>
      <c r="AS71" s="224">
        <v>51100</v>
      </c>
      <c r="AT71" s="224">
        <f t="shared" si="67"/>
        <v>817600</v>
      </c>
      <c r="AU71" s="225" t="str">
        <f t="shared" si="96"/>
        <v>VÁLIDA</v>
      </c>
      <c r="AV71" s="224">
        <v>69411.600000000006</v>
      </c>
      <c r="AW71" s="224">
        <f t="shared" si="69"/>
        <v>1110585.6000000001</v>
      </c>
      <c r="AX71" s="225" t="str">
        <f t="shared" si="97"/>
        <v>NO VÁLIDA</v>
      </c>
      <c r="AY71" s="224">
        <v>52236</v>
      </c>
      <c r="AZ71" s="224">
        <f t="shared" si="71"/>
        <v>835776</v>
      </c>
      <c r="BA71" s="225" t="str">
        <f t="shared" si="98"/>
        <v>VÁLIDA</v>
      </c>
      <c r="BB71" s="224">
        <v>50088.972212856002</v>
      </c>
      <c r="BC71" s="224">
        <f t="shared" si="73"/>
        <v>801423.55540569604</v>
      </c>
      <c r="BD71" s="225" t="str">
        <f t="shared" si="99"/>
        <v>VÁLIDA</v>
      </c>
      <c r="BE71" s="224">
        <v>51108</v>
      </c>
      <c r="BF71" s="224">
        <f t="shared" si="75"/>
        <v>817728</v>
      </c>
      <c r="BG71" s="225" t="str">
        <f t="shared" si="100"/>
        <v>VÁLIDA</v>
      </c>
      <c r="BH71" s="224">
        <v>51713.64</v>
      </c>
      <c r="BI71" s="224">
        <f t="shared" si="77"/>
        <v>827418.24</v>
      </c>
      <c r="BJ71" s="225" t="str">
        <f t="shared" si="101"/>
        <v>VÁLIDA</v>
      </c>
      <c r="BK71" s="224">
        <v>51818</v>
      </c>
      <c r="BL71" s="224">
        <f t="shared" si="79"/>
        <v>829088</v>
      </c>
      <c r="BM71" s="225" t="str">
        <f t="shared" si="102"/>
        <v>VÁLIDA</v>
      </c>
      <c r="BN71" s="224">
        <v>51303</v>
      </c>
      <c r="BO71" s="224">
        <f t="shared" si="81"/>
        <v>820848</v>
      </c>
      <c r="BP71" s="225" t="str">
        <f t="shared" si="103"/>
        <v>VÁLIDA</v>
      </c>
    </row>
    <row r="72" spans="2:68" s="167" customFormat="1" ht="12" x14ac:dyDescent="0.2">
      <c r="B72" s="93">
        <v>3603</v>
      </c>
      <c r="C72" s="94">
        <f t="shared" si="83"/>
        <v>3.0699999999999985</v>
      </c>
      <c r="D72" s="95" t="str">
        <f>VLOOKUP(B72,[2]ITEMS!$B$4:$E$2466,2,FALSE)</f>
        <v>UNION PVC TIPO U.M. D= 6" (Suministro e Instalación)</v>
      </c>
      <c r="E72" s="96" t="str">
        <f>VLOOKUP(B72,[2]ITEMS!$B$4:$E$2466,3,FALSE)</f>
        <v>UN</v>
      </c>
      <c r="F72" s="97">
        <v>4</v>
      </c>
      <c r="G72" s="98">
        <f>VLOOKUP(B72,[2]ITEMS!$B$4:$E$2466,4,FALSE)</f>
        <v>117648</v>
      </c>
      <c r="H72" s="98">
        <f t="shared" si="42"/>
        <v>470592</v>
      </c>
      <c r="I72" s="191">
        <v>115815</v>
      </c>
      <c r="J72" s="224">
        <f t="shared" si="43"/>
        <v>463260</v>
      </c>
      <c r="K72" s="225" t="str">
        <f t="shared" si="84"/>
        <v>VÁLIDA</v>
      </c>
      <c r="L72" s="191">
        <v>116354</v>
      </c>
      <c r="M72" s="224">
        <f t="shared" si="45"/>
        <v>465416</v>
      </c>
      <c r="N72" s="225" t="str">
        <f t="shared" si="85"/>
        <v>VÁLIDA</v>
      </c>
      <c r="O72" s="191">
        <v>117648</v>
      </c>
      <c r="P72" s="224">
        <f t="shared" si="47"/>
        <v>470592</v>
      </c>
      <c r="Q72" s="225" t="str">
        <f t="shared" si="86"/>
        <v>VÁLIDA</v>
      </c>
      <c r="R72" s="191">
        <v>115919</v>
      </c>
      <c r="S72" s="224">
        <f t="shared" si="49"/>
        <v>463676</v>
      </c>
      <c r="T72" s="225" t="str">
        <f t="shared" si="87"/>
        <v>VÁLIDA</v>
      </c>
      <c r="U72" s="191">
        <v>117648</v>
      </c>
      <c r="V72" s="224">
        <f t="shared" si="51"/>
        <v>470592</v>
      </c>
      <c r="W72" s="225" t="str">
        <f t="shared" si="88"/>
        <v>VÁLIDA</v>
      </c>
      <c r="X72" s="191">
        <v>115765</v>
      </c>
      <c r="Y72" s="224">
        <f t="shared" si="53"/>
        <v>463060</v>
      </c>
      <c r="Z72" s="225" t="str">
        <f t="shared" si="89"/>
        <v>VÁLIDA</v>
      </c>
      <c r="AA72" s="191">
        <v>116354</v>
      </c>
      <c r="AB72" s="224">
        <f t="shared" si="55"/>
        <v>465416</v>
      </c>
      <c r="AC72" s="225" t="str">
        <f t="shared" si="90"/>
        <v>VÁLIDA</v>
      </c>
      <c r="AD72" s="191">
        <v>117648</v>
      </c>
      <c r="AE72" s="224">
        <f t="shared" si="57"/>
        <v>470592</v>
      </c>
      <c r="AF72" s="225" t="str">
        <f t="shared" si="91"/>
        <v>VÁLIDA</v>
      </c>
      <c r="AH72" s="224">
        <f t="shared" si="59"/>
        <v>0</v>
      </c>
      <c r="AI72" s="225" t="str">
        <f t="shared" si="92"/>
        <v>VÁLIDA</v>
      </c>
      <c r="AJ72" s="224">
        <v>109413</v>
      </c>
      <c r="AK72" s="224">
        <f t="shared" si="61"/>
        <v>437652</v>
      </c>
      <c r="AL72" s="225" t="str">
        <f t="shared" si="93"/>
        <v>VÁLIDA</v>
      </c>
      <c r="AM72" s="224">
        <v>117354</v>
      </c>
      <c r="AN72" s="224">
        <f t="shared" si="63"/>
        <v>469416</v>
      </c>
      <c r="AO72" s="225" t="str">
        <f t="shared" si="94"/>
        <v>VÁLIDA</v>
      </c>
      <c r="AP72" s="224">
        <v>117648</v>
      </c>
      <c r="AQ72" s="224">
        <f t="shared" si="65"/>
        <v>470592</v>
      </c>
      <c r="AR72" s="225" t="str">
        <f t="shared" si="95"/>
        <v>VÁLIDA</v>
      </c>
      <c r="AS72" s="224">
        <v>115100</v>
      </c>
      <c r="AT72" s="224">
        <f t="shared" si="67"/>
        <v>460400</v>
      </c>
      <c r="AU72" s="225" t="str">
        <f t="shared" si="96"/>
        <v>VÁLIDA</v>
      </c>
      <c r="AV72" s="224">
        <v>156331.35</v>
      </c>
      <c r="AW72" s="224">
        <f t="shared" si="69"/>
        <v>625325.4</v>
      </c>
      <c r="AX72" s="225" t="str">
        <f t="shared" si="97"/>
        <v>NO VÁLIDA</v>
      </c>
      <c r="AY72" s="224">
        <v>117648</v>
      </c>
      <c r="AZ72" s="224">
        <f t="shared" si="71"/>
        <v>470592</v>
      </c>
      <c r="BA72" s="225" t="str">
        <f t="shared" si="98"/>
        <v>VÁLIDA</v>
      </c>
      <c r="BB72" s="224">
        <v>112812.37849180801</v>
      </c>
      <c r="BC72" s="224">
        <f t="shared" si="73"/>
        <v>451249.51396723202</v>
      </c>
      <c r="BD72" s="225" t="str">
        <f t="shared" si="99"/>
        <v>VÁLIDA</v>
      </c>
      <c r="BE72" s="224">
        <v>115107</v>
      </c>
      <c r="BF72" s="224">
        <f t="shared" si="75"/>
        <v>460428</v>
      </c>
      <c r="BG72" s="225" t="str">
        <f t="shared" si="100"/>
        <v>VÁLIDA</v>
      </c>
      <c r="BH72" s="224">
        <v>116471.52</v>
      </c>
      <c r="BI72" s="224">
        <f t="shared" si="77"/>
        <v>465886.08</v>
      </c>
      <c r="BJ72" s="225" t="str">
        <f t="shared" si="101"/>
        <v>VÁLIDA</v>
      </c>
      <c r="BK72" s="224">
        <v>116707</v>
      </c>
      <c r="BL72" s="224">
        <f t="shared" si="79"/>
        <v>466828</v>
      </c>
      <c r="BM72" s="225" t="str">
        <f t="shared" si="102"/>
        <v>VÁLIDA</v>
      </c>
      <c r="BN72" s="224">
        <v>115546</v>
      </c>
      <c r="BO72" s="224">
        <f t="shared" si="81"/>
        <v>462184</v>
      </c>
      <c r="BP72" s="225" t="str">
        <f t="shared" si="103"/>
        <v>VÁLIDA</v>
      </c>
    </row>
    <row r="73" spans="2:68" s="167" customFormat="1" ht="12" x14ac:dyDescent="0.2">
      <c r="B73" s="93">
        <v>3604</v>
      </c>
      <c r="C73" s="94">
        <f t="shared" si="83"/>
        <v>3.0799999999999983</v>
      </c>
      <c r="D73" s="95" t="str">
        <f>VLOOKUP(B73,[2]ITEMS!$B$4:$E$2466,2,FALSE)</f>
        <v>UNION PVC TIPO U.M. D= 8" (Suministro e Instalación)</v>
      </c>
      <c r="E73" s="96" t="str">
        <f>VLOOKUP(B73,[2]ITEMS!$B$4:$E$2466,3,FALSE)</f>
        <v>UN</v>
      </c>
      <c r="F73" s="97">
        <v>5</v>
      </c>
      <c r="G73" s="98">
        <f>VLOOKUP(B73,[2]ITEMS!$B$4:$E$2466,4,FALSE)</f>
        <v>214081</v>
      </c>
      <c r="H73" s="98">
        <f t="shared" si="42"/>
        <v>1070405</v>
      </c>
      <c r="I73" s="191">
        <v>210745</v>
      </c>
      <c r="J73" s="224">
        <f t="shared" si="43"/>
        <v>1053725</v>
      </c>
      <c r="K73" s="225" t="str">
        <f t="shared" si="84"/>
        <v>VÁLIDA</v>
      </c>
      <c r="L73" s="191">
        <v>211726</v>
      </c>
      <c r="M73" s="224">
        <f t="shared" si="45"/>
        <v>1058630</v>
      </c>
      <c r="N73" s="225" t="str">
        <f t="shared" si="85"/>
        <v>VÁLIDA</v>
      </c>
      <c r="O73" s="191">
        <v>214081</v>
      </c>
      <c r="P73" s="224">
        <f t="shared" si="47"/>
        <v>1070405</v>
      </c>
      <c r="Q73" s="225" t="str">
        <f t="shared" si="86"/>
        <v>VÁLIDA</v>
      </c>
      <c r="R73" s="191">
        <v>210934</v>
      </c>
      <c r="S73" s="224">
        <f t="shared" si="49"/>
        <v>1054670</v>
      </c>
      <c r="T73" s="225" t="str">
        <f t="shared" si="87"/>
        <v>VÁLIDA</v>
      </c>
      <c r="U73" s="191">
        <v>214081</v>
      </c>
      <c r="V73" s="224">
        <f t="shared" si="51"/>
        <v>1070405</v>
      </c>
      <c r="W73" s="225" t="str">
        <f t="shared" si="88"/>
        <v>VÁLIDA</v>
      </c>
      <c r="X73" s="191">
        <v>210655</v>
      </c>
      <c r="Y73" s="224">
        <f t="shared" si="53"/>
        <v>1053275</v>
      </c>
      <c r="Z73" s="225" t="str">
        <f t="shared" si="89"/>
        <v>VÁLIDA</v>
      </c>
      <c r="AA73" s="191">
        <v>211726</v>
      </c>
      <c r="AB73" s="224">
        <f t="shared" si="55"/>
        <v>1058630</v>
      </c>
      <c r="AC73" s="225" t="str">
        <f t="shared" si="90"/>
        <v>VÁLIDA</v>
      </c>
      <c r="AD73" s="191">
        <v>214081</v>
      </c>
      <c r="AE73" s="224">
        <f t="shared" si="57"/>
        <v>1070405</v>
      </c>
      <c r="AF73" s="225" t="str">
        <f t="shared" si="91"/>
        <v>VÁLIDA</v>
      </c>
      <c r="AH73" s="224">
        <f t="shared" si="59"/>
        <v>0</v>
      </c>
      <c r="AI73" s="225" t="str">
        <f t="shared" si="92"/>
        <v>VÁLIDA</v>
      </c>
      <c r="AJ73" s="224">
        <v>199095</v>
      </c>
      <c r="AK73" s="224">
        <f t="shared" si="61"/>
        <v>995475</v>
      </c>
      <c r="AL73" s="225" t="str">
        <f t="shared" si="93"/>
        <v>VÁLIDA</v>
      </c>
      <c r="AM73" s="224">
        <v>213546</v>
      </c>
      <c r="AN73" s="224">
        <f t="shared" si="63"/>
        <v>1067730</v>
      </c>
      <c r="AO73" s="225" t="str">
        <f t="shared" si="94"/>
        <v>VÁLIDA</v>
      </c>
      <c r="AP73" s="224">
        <v>214081</v>
      </c>
      <c r="AQ73" s="224">
        <f t="shared" si="65"/>
        <v>1070405</v>
      </c>
      <c r="AR73" s="225" t="str">
        <f t="shared" si="95"/>
        <v>VÁLIDA</v>
      </c>
      <c r="AS73" s="224">
        <v>209000</v>
      </c>
      <c r="AT73" s="224">
        <f t="shared" si="67"/>
        <v>1045000</v>
      </c>
      <c r="AU73" s="225" t="str">
        <f t="shared" si="96"/>
        <v>VÁLIDA</v>
      </c>
      <c r="AV73" s="224">
        <v>284472</v>
      </c>
      <c r="AW73" s="224">
        <f t="shared" si="69"/>
        <v>1422360</v>
      </c>
      <c r="AX73" s="225" t="str">
        <f t="shared" si="97"/>
        <v>NO VÁLIDA</v>
      </c>
      <c r="AY73" s="224">
        <v>214081</v>
      </c>
      <c r="AZ73" s="224">
        <f t="shared" si="71"/>
        <v>1070405</v>
      </c>
      <c r="BA73" s="225" t="str">
        <f t="shared" si="98"/>
        <v>VÁLIDA</v>
      </c>
      <c r="BB73" s="224">
        <v>205281.745545226</v>
      </c>
      <c r="BC73" s="224">
        <f t="shared" si="73"/>
        <v>1026408.72772613</v>
      </c>
      <c r="BD73" s="225" t="str">
        <f t="shared" si="99"/>
        <v>VÁLIDA</v>
      </c>
      <c r="BE73" s="224">
        <v>209457</v>
      </c>
      <c r="BF73" s="224">
        <f t="shared" si="75"/>
        <v>1047285</v>
      </c>
      <c r="BG73" s="225" t="str">
        <f t="shared" si="100"/>
        <v>VÁLIDA</v>
      </c>
      <c r="BH73" s="224">
        <v>211940.19</v>
      </c>
      <c r="BI73" s="224">
        <f t="shared" si="77"/>
        <v>1059700.95</v>
      </c>
      <c r="BJ73" s="225" t="str">
        <f t="shared" si="101"/>
        <v>VÁLIDA</v>
      </c>
      <c r="BK73" s="224">
        <v>212368</v>
      </c>
      <c r="BL73" s="224">
        <f t="shared" si="79"/>
        <v>1061840</v>
      </c>
      <c r="BM73" s="225" t="str">
        <f t="shared" si="102"/>
        <v>VÁLIDA</v>
      </c>
      <c r="BN73" s="224">
        <v>210257</v>
      </c>
      <c r="BO73" s="224">
        <f t="shared" si="81"/>
        <v>1051285</v>
      </c>
      <c r="BP73" s="225" t="str">
        <f t="shared" si="103"/>
        <v>VÁLIDA</v>
      </c>
    </row>
    <row r="74" spans="2:68" s="230" customFormat="1" ht="12" x14ac:dyDescent="0.25">
      <c r="B74" s="116"/>
      <c r="C74" s="132"/>
      <c r="D74" s="128" t="s">
        <v>129</v>
      </c>
      <c r="E74" s="129"/>
      <c r="F74" s="130"/>
      <c r="G74" s="131"/>
      <c r="H74" s="131"/>
      <c r="I74" s="194"/>
      <c r="J74" s="227"/>
      <c r="K74" s="225"/>
      <c r="L74" s="194"/>
      <c r="M74" s="227"/>
      <c r="N74" s="225"/>
      <c r="O74" s="194"/>
      <c r="P74" s="227"/>
      <c r="Q74" s="225"/>
      <c r="R74" s="194"/>
      <c r="S74" s="227"/>
      <c r="T74" s="225"/>
      <c r="U74" s="194"/>
      <c r="V74" s="227"/>
      <c r="W74" s="225"/>
      <c r="X74" s="194"/>
      <c r="Y74" s="227"/>
      <c r="Z74" s="225"/>
      <c r="AA74" s="194"/>
      <c r="AB74" s="227"/>
      <c r="AC74" s="225"/>
      <c r="AD74" s="194"/>
      <c r="AE74" s="227"/>
      <c r="AF74" s="225"/>
      <c r="AH74" s="227"/>
      <c r="AI74" s="225"/>
      <c r="AJ74" s="227"/>
      <c r="AK74" s="227"/>
      <c r="AL74" s="225"/>
      <c r="AM74" s="227"/>
      <c r="AN74" s="227"/>
      <c r="AO74" s="225"/>
      <c r="AP74" s="227"/>
      <c r="AQ74" s="227"/>
      <c r="AR74" s="225"/>
      <c r="AS74" s="227"/>
      <c r="AT74" s="227"/>
      <c r="AU74" s="225"/>
      <c r="AV74" s="227"/>
      <c r="AW74" s="227"/>
      <c r="AX74" s="225"/>
      <c r="AY74" s="227"/>
      <c r="AZ74" s="227"/>
      <c r="BA74" s="225"/>
      <c r="BB74" s="227"/>
      <c r="BC74" s="227"/>
      <c r="BD74" s="225"/>
      <c r="BE74" s="227"/>
      <c r="BF74" s="227"/>
      <c r="BG74" s="225"/>
      <c r="BH74" s="227"/>
      <c r="BI74" s="227"/>
      <c r="BJ74" s="225"/>
      <c r="BK74" s="227"/>
      <c r="BL74" s="227"/>
      <c r="BM74" s="225"/>
      <c r="BN74" s="227"/>
      <c r="BO74" s="227"/>
      <c r="BP74" s="225"/>
    </row>
    <row r="75" spans="2:68" s="230" customFormat="1" ht="12" x14ac:dyDescent="0.25">
      <c r="B75" s="116"/>
      <c r="C75" s="132"/>
      <c r="D75" s="128" t="s">
        <v>130</v>
      </c>
      <c r="E75" s="129"/>
      <c r="F75" s="130"/>
      <c r="G75" s="131"/>
      <c r="H75" s="131"/>
      <c r="I75" s="194"/>
      <c r="J75" s="227"/>
      <c r="K75" s="225"/>
      <c r="L75" s="194"/>
      <c r="M75" s="227"/>
      <c r="N75" s="225"/>
      <c r="O75" s="194"/>
      <c r="P75" s="227"/>
      <c r="Q75" s="225"/>
      <c r="R75" s="194"/>
      <c r="S75" s="227"/>
      <c r="T75" s="225"/>
      <c r="U75" s="194"/>
      <c r="V75" s="227"/>
      <c r="W75" s="225"/>
      <c r="X75" s="194"/>
      <c r="Y75" s="227"/>
      <c r="Z75" s="225"/>
      <c r="AA75" s="194"/>
      <c r="AB75" s="227"/>
      <c r="AC75" s="225"/>
      <c r="AD75" s="194"/>
      <c r="AE75" s="227"/>
      <c r="AF75" s="225"/>
      <c r="AH75" s="227"/>
      <c r="AI75" s="225"/>
      <c r="AJ75" s="227"/>
      <c r="AK75" s="227"/>
      <c r="AL75" s="225"/>
      <c r="AM75" s="227"/>
      <c r="AN75" s="227"/>
      <c r="AO75" s="225"/>
      <c r="AP75" s="227"/>
      <c r="AQ75" s="227"/>
      <c r="AR75" s="225"/>
      <c r="AS75" s="227"/>
      <c r="AT75" s="227"/>
      <c r="AU75" s="225"/>
      <c r="AV75" s="227"/>
      <c r="AW75" s="227"/>
      <c r="AX75" s="225"/>
      <c r="AY75" s="227"/>
      <c r="AZ75" s="227"/>
      <c r="BA75" s="225"/>
      <c r="BB75" s="227"/>
      <c r="BC75" s="227"/>
      <c r="BD75" s="225"/>
      <c r="BE75" s="227"/>
      <c r="BF75" s="227"/>
      <c r="BG75" s="225"/>
      <c r="BH75" s="227"/>
      <c r="BI75" s="227"/>
      <c r="BJ75" s="225"/>
      <c r="BK75" s="227"/>
      <c r="BL75" s="227"/>
      <c r="BM75" s="225"/>
      <c r="BN75" s="227"/>
      <c r="BO75" s="227"/>
      <c r="BP75" s="225"/>
    </row>
    <row r="76" spans="2:68" s="167" customFormat="1" ht="24" x14ac:dyDescent="0.25">
      <c r="B76" s="93">
        <v>4402</v>
      </c>
      <c r="C76" s="94">
        <f>C73+0.01</f>
        <v>3.0899999999999981</v>
      </c>
      <c r="D76" s="95" t="str">
        <f>VLOOKUP(B76,[2]ITEMS!$B$4:$E$2466,2,FALSE)</f>
        <v>VALVULA COMPUERTA ELASTICA VASTAGO NO ASCENDENTE EXTREMO LISO D=4" (Suministro e Instalación)</v>
      </c>
      <c r="E76" s="96" t="str">
        <f>VLOOKUP(B76,[2]ITEMS!$B$4:$E$2466,3,FALSE)</f>
        <v>UN</v>
      </c>
      <c r="F76" s="97">
        <v>1</v>
      </c>
      <c r="G76" s="98">
        <f>VLOOKUP(B76,[2]ITEMS!$B$4:$E$2466,4,FALSE)</f>
        <v>764764</v>
      </c>
      <c r="H76" s="98">
        <f t="shared" ref="H76:H85" si="104">F76*G76</f>
        <v>764764</v>
      </c>
      <c r="I76" s="191">
        <v>752848</v>
      </c>
      <c r="J76" s="227">
        <f t="shared" ref="J76" si="105">I76*F76</f>
        <v>752848</v>
      </c>
      <c r="K76" s="225" t="str">
        <f>IF(J76&lt;=$H76,"VÁLIDA","NO VÁLIDA")</f>
        <v>VÁLIDA</v>
      </c>
      <c r="L76" s="191">
        <v>756352</v>
      </c>
      <c r="M76" s="227">
        <f t="shared" ref="M76:M85" si="106">L76*$F76</f>
        <v>756352</v>
      </c>
      <c r="N76" s="225" t="str">
        <f>IF(M76&lt;=$H76,"VÁLIDA","NO VÁLIDA")</f>
        <v>VÁLIDA</v>
      </c>
      <c r="O76" s="191">
        <v>764764</v>
      </c>
      <c r="P76" s="227">
        <f t="shared" ref="P76:P85" si="107">O76*$F76</f>
        <v>764764</v>
      </c>
      <c r="Q76" s="225" t="str">
        <f>IF(P76&lt;=$H76,"VÁLIDA","NO VÁLIDA")</f>
        <v>VÁLIDA</v>
      </c>
      <c r="R76" s="191">
        <v>753522</v>
      </c>
      <c r="S76" s="227">
        <f t="shared" ref="S76:S85" si="108">R76*$F76</f>
        <v>753522</v>
      </c>
      <c r="T76" s="225" t="str">
        <f>IF(S76&lt;=$H76,"VÁLIDA","NO VÁLIDA")</f>
        <v>VÁLIDA</v>
      </c>
      <c r="U76" s="191">
        <v>764764</v>
      </c>
      <c r="V76" s="227">
        <f t="shared" ref="V76:V85" si="109">U76*$F76</f>
        <v>764764</v>
      </c>
      <c r="W76" s="225" t="str">
        <f>IF(V76&lt;=$H76,"VÁLIDA","NO VÁLIDA")</f>
        <v>VÁLIDA</v>
      </c>
      <c r="X76" s="191">
        <v>752527</v>
      </c>
      <c r="Y76" s="227">
        <f t="shared" ref="Y76:Y85" si="110">X76*$F76</f>
        <v>752527</v>
      </c>
      <c r="Z76" s="225" t="str">
        <f>IF(Y76&lt;=$H76,"VÁLIDA","NO VÁLIDA")</f>
        <v>VÁLIDA</v>
      </c>
      <c r="AA76" s="191">
        <v>756352</v>
      </c>
      <c r="AB76" s="227">
        <f t="shared" ref="AB76:AB85" si="111">AA76*$F76</f>
        <v>756352</v>
      </c>
      <c r="AC76" s="225" t="str">
        <f>IF(AB76&lt;=$H76,"VÁLIDA","NO VÁLIDA")</f>
        <v>VÁLIDA</v>
      </c>
      <c r="AD76" s="191">
        <v>764764</v>
      </c>
      <c r="AE76" s="227">
        <f t="shared" ref="AE76:AE85" si="112">AD76*$F76</f>
        <v>764764</v>
      </c>
      <c r="AF76" s="225" t="str">
        <f>IF(AE76&lt;=$H76,"VÁLIDA","NO VÁLIDA")</f>
        <v>VÁLIDA</v>
      </c>
      <c r="AH76" s="227">
        <f t="shared" ref="AH76:AH85" si="113">AG76*$F76</f>
        <v>0</v>
      </c>
      <c r="AI76" s="225" t="str">
        <f>IF(AH76&lt;=$H76,"VÁLIDA","NO VÁLIDA")</f>
        <v>VÁLIDA</v>
      </c>
      <c r="AJ76" s="227">
        <v>711231</v>
      </c>
      <c r="AK76" s="227">
        <f t="shared" ref="AK76:AK85" si="114">AJ76*$F76</f>
        <v>711231</v>
      </c>
      <c r="AL76" s="225" t="str">
        <f>IF(AK76&lt;=$H76,"VÁLIDA","NO VÁLIDA")</f>
        <v>VÁLIDA</v>
      </c>
      <c r="AM76" s="227">
        <v>762852</v>
      </c>
      <c r="AN76" s="227">
        <f t="shared" ref="AN76:AN85" si="115">AM76*$F76</f>
        <v>762852</v>
      </c>
      <c r="AO76" s="225" t="str">
        <f>IF(AN76&lt;=$H76,"VÁLIDA","NO VÁLIDA")</f>
        <v>VÁLIDA</v>
      </c>
      <c r="AP76" s="227">
        <v>764764</v>
      </c>
      <c r="AQ76" s="227">
        <f t="shared" ref="AQ76:AQ85" si="116">AP76*$F76</f>
        <v>764764</v>
      </c>
      <c r="AR76" s="225" t="str">
        <f>IF(AQ76&lt;=$H76,"VÁLIDA","NO VÁLIDA")</f>
        <v>VÁLIDA</v>
      </c>
      <c r="AS76" s="227">
        <v>728000</v>
      </c>
      <c r="AT76" s="227">
        <f t="shared" ref="AT76:AT85" si="117">AS76*$F76</f>
        <v>728000</v>
      </c>
      <c r="AU76" s="225" t="str">
        <f>IF(AT76&lt;=$H76,"VÁLIDA","NO VÁLIDA")</f>
        <v>VÁLIDA</v>
      </c>
      <c r="AV76" s="227">
        <v>1016221.95</v>
      </c>
      <c r="AW76" s="227">
        <f t="shared" ref="AW76:AW85" si="118">AV76*$F76</f>
        <v>1016221.95</v>
      </c>
      <c r="AX76" s="225" t="str">
        <f>IF(AW76&lt;=$H76,"VÁLIDA","NO VÁLIDA")</f>
        <v>NO VÁLIDA</v>
      </c>
      <c r="AY76" s="227">
        <v>764764</v>
      </c>
      <c r="AZ76" s="227">
        <f t="shared" ref="AZ76:AZ85" si="119">AY76*$F76</f>
        <v>764764</v>
      </c>
      <c r="BA76" s="225" t="str">
        <f>IF(AZ76&lt;=$H76,"VÁLIDA","NO VÁLIDA")</f>
        <v>VÁLIDA</v>
      </c>
      <c r="BB76" s="227">
        <v>733330.32286914403</v>
      </c>
      <c r="BC76" s="227">
        <f t="shared" ref="BC76:BC85" si="120">BB76*$F76</f>
        <v>733330.32286914403</v>
      </c>
      <c r="BD76" s="225" t="str">
        <f>IF(BC76&lt;=$H76,"VÁLIDA","NO VÁLIDA")</f>
        <v>VÁLIDA</v>
      </c>
      <c r="BE76" s="227">
        <v>748245</v>
      </c>
      <c r="BF76" s="227">
        <f t="shared" ref="BF76:BF85" si="121">BE76*$F76</f>
        <v>748245</v>
      </c>
      <c r="BG76" s="225" t="str">
        <f>IF(BF76&lt;=$H76,"VÁLIDA","NO VÁLIDA")</f>
        <v>VÁLIDA</v>
      </c>
      <c r="BH76" s="227">
        <v>757116.36</v>
      </c>
      <c r="BI76" s="227">
        <f t="shared" ref="BI76:BI85" si="122">BH76*$F76</f>
        <v>757116.36</v>
      </c>
      <c r="BJ76" s="225" t="str">
        <f>IF(BI76&lt;=$H76,"VÁLIDA","NO VÁLIDA")</f>
        <v>VÁLIDA</v>
      </c>
      <c r="BK76" s="227">
        <v>758646</v>
      </c>
      <c r="BL76" s="227">
        <f t="shared" ref="BL76:BL85" si="123">BK76*$F76</f>
        <v>758646</v>
      </c>
      <c r="BM76" s="225" t="str">
        <f>IF(BL76&lt;=$H76,"VÁLIDA","NO VÁLIDA")</f>
        <v>VÁLIDA</v>
      </c>
      <c r="BN76" s="227">
        <v>751105</v>
      </c>
      <c r="BO76" s="227">
        <f t="shared" ref="BO76:BO85" si="124">BN76*$F76</f>
        <v>751105</v>
      </c>
      <c r="BP76" s="225" t="str">
        <f>IF(BO76&lt;=$H76,"VÁLIDA","NO VÁLIDA")</f>
        <v>VÁLIDA</v>
      </c>
    </row>
    <row r="77" spans="2:68" s="230" customFormat="1" ht="12" x14ac:dyDescent="0.25">
      <c r="B77" s="116"/>
      <c r="C77" s="132"/>
      <c r="D77" s="128" t="s">
        <v>131</v>
      </c>
      <c r="E77" s="129"/>
      <c r="F77" s="130"/>
      <c r="G77" s="131"/>
      <c r="H77" s="131"/>
      <c r="I77" s="194"/>
      <c r="J77" s="227"/>
      <c r="K77" s="225"/>
      <c r="L77" s="194"/>
      <c r="M77" s="227"/>
      <c r="N77" s="225"/>
      <c r="O77" s="194"/>
      <c r="P77" s="227"/>
      <c r="Q77" s="225"/>
      <c r="R77" s="194"/>
      <c r="S77" s="227"/>
      <c r="T77" s="225"/>
      <c r="U77" s="194"/>
      <c r="V77" s="227"/>
      <c r="W77" s="225"/>
      <c r="X77" s="194"/>
      <c r="Y77" s="227"/>
      <c r="Z77" s="225"/>
      <c r="AA77" s="194"/>
      <c r="AB77" s="227"/>
      <c r="AC77" s="225"/>
      <c r="AD77" s="194"/>
      <c r="AE77" s="227"/>
      <c r="AF77" s="225"/>
      <c r="AH77" s="227"/>
      <c r="AI77" s="225"/>
      <c r="AJ77" s="227"/>
      <c r="AK77" s="227"/>
      <c r="AL77" s="225"/>
      <c r="AM77" s="227"/>
      <c r="AN77" s="227"/>
      <c r="AO77" s="225"/>
      <c r="AP77" s="227"/>
      <c r="AQ77" s="227"/>
      <c r="AR77" s="225"/>
      <c r="AS77" s="227"/>
      <c r="AT77" s="227"/>
      <c r="AU77" s="225"/>
      <c r="AV77" s="227"/>
      <c r="AW77" s="227"/>
      <c r="AX77" s="225"/>
      <c r="AY77" s="227"/>
      <c r="AZ77" s="227"/>
      <c r="BA77" s="225"/>
      <c r="BB77" s="227"/>
      <c r="BC77" s="227"/>
      <c r="BD77" s="225"/>
      <c r="BE77" s="227"/>
      <c r="BF77" s="227"/>
      <c r="BG77" s="225"/>
      <c r="BH77" s="227"/>
      <c r="BI77" s="227"/>
      <c r="BJ77" s="225"/>
      <c r="BK77" s="227"/>
      <c r="BL77" s="227"/>
      <c r="BM77" s="225"/>
      <c r="BN77" s="227"/>
      <c r="BO77" s="227"/>
      <c r="BP77" s="225"/>
    </row>
    <row r="78" spans="2:68" s="167" customFormat="1" ht="24" x14ac:dyDescent="0.25">
      <c r="B78" s="103">
        <v>4843</v>
      </c>
      <c r="C78" s="94">
        <f>C76+0.01</f>
        <v>3.0999999999999979</v>
      </c>
      <c r="D78" s="95" t="str">
        <f>VLOOKUP(B78,[2]ITEMS!$B$4:$E$2466,2,FALSE)</f>
        <v>EMPATES DE TUBERÍA EN PVC A AC 3" LINEAL SEGÚN NORMA NS-023. SUMINISTRO E INSTALACIÓN. (INCLUYE ACCESORIOS).</v>
      </c>
      <c r="E78" s="96" t="str">
        <f>VLOOKUP(B78,[2]ITEMS!$B$4:$E$2466,3,FALSE)</f>
        <v>UN</v>
      </c>
      <c r="F78" s="97">
        <v>4</v>
      </c>
      <c r="G78" s="98">
        <f>VLOOKUP(B78,[2]ITEMS!$B$4:$E$2466,4,FALSE)</f>
        <v>181327</v>
      </c>
      <c r="H78" s="98">
        <f t="shared" si="104"/>
        <v>725308</v>
      </c>
      <c r="I78" s="191">
        <v>178502</v>
      </c>
      <c r="J78" s="227">
        <f t="shared" ref="J78:J79" si="125">I78*F78</f>
        <v>714008</v>
      </c>
      <c r="K78" s="225" t="str">
        <f>IF(J78&lt;=$H78,"VÁLIDA","NO VÁLIDA")</f>
        <v>VÁLIDA</v>
      </c>
      <c r="L78" s="191">
        <v>179332</v>
      </c>
      <c r="M78" s="227">
        <f t="shared" si="106"/>
        <v>717328</v>
      </c>
      <c r="N78" s="225" t="str">
        <f>IF(M78&lt;=$H78,"VÁLIDA","NO VÁLIDA")</f>
        <v>VÁLIDA</v>
      </c>
      <c r="O78" s="191">
        <v>181327</v>
      </c>
      <c r="P78" s="227">
        <f t="shared" si="107"/>
        <v>725308</v>
      </c>
      <c r="Q78" s="225" t="str">
        <f>IF(P78&lt;=$H78,"VÁLIDA","NO VÁLIDA")</f>
        <v>VÁLIDA</v>
      </c>
      <c r="R78" s="191">
        <v>178661</v>
      </c>
      <c r="S78" s="227">
        <f t="shared" si="108"/>
        <v>714644</v>
      </c>
      <c r="T78" s="225" t="str">
        <f>IF(S78&lt;=$H78,"VÁLIDA","NO VÁLIDA")</f>
        <v>VÁLIDA</v>
      </c>
      <c r="U78" s="191">
        <v>181327</v>
      </c>
      <c r="V78" s="227">
        <f t="shared" si="109"/>
        <v>725308</v>
      </c>
      <c r="W78" s="225" t="str">
        <f>IF(V78&lt;=$H78,"VÁLIDA","NO VÁLIDA")</f>
        <v>VÁLIDA</v>
      </c>
      <c r="X78" s="191">
        <v>178425</v>
      </c>
      <c r="Y78" s="227">
        <f t="shared" si="110"/>
        <v>713700</v>
      </c>
      <c r="Z78" s="225" t="str">
        <f>IF(Y78&lt;=$H78,"VÁLIDA","NO VÁLIDA")</f>
        <v>VÁLIDA</v>
      </c>
      <c r="AA78" s="191">
        <v>179332</v>
      </c>
      <c r="AB78" s="227">
        <f t="shared" si="111"/>
        <v>717328</v>
      </c>
      <c r="AC78" s="225" t="str">
        <f>IF(AB78&lt;=$H78,"VÁLIDA","NO VÁLIDA")</f>
        <v>VÁLIDA</v>
      </c>
      <c r="AD78" s="191">
        <v>181327</v>
      </c>
      <c r="AE78" s="227">
        <f t="shared" si="112"/>
        <v>725308</v>
      </c>
      <c r="AF78" s="225" t="str">
        <f>IF(AE78&lt;=$H78,"VÁLIDA","NO VÁLIDA")</f>
        <v>VÁLIDA</v>
      </c>
      <c r="AH78" s="227">
        <f t="shared" si="113"/>
        <v>0</v>
      </c>
      <c r="AI78" s="225" t="str">
        <f>IF(AH78&lt;=$H78,"VÁLIDA","NO VÁLIDA")</f>
        <v>VÁLIDA</v>
      </c>
      <c r="AJ78" s="227">
        <v>168634</v>
      </c>
      <c r="AK78" s="227">
        <f t="shared" si="114"/>
        <v>674536</v>
      </c>
      <c r="AL78" s="225" t="str">
        <f>IF(AK78&lt;=$H78,"VÁLIDA","NO VÁLIDA")</f>
        <v>VÁLIDA</v>
      </c>
      <c r="AM78" s="227">
        <v>180874</v>
      </c>
      <c r="AN78" s="227">
        <f t="shared" si="115"/>
        <v>723496</v>
      </c>
      <c r="AO78" s="225" t="str">
        <f>IF(AN78&lt;=$H78,"VÁLIDA","NO VÁLIDA")</f>
        <v>VÁLIDA</v>
      </c>
      <c r="AP78" s="227">
        <v>181327</v>
      </c>
      <c r="AQ78" s="227">
        <f t="shared" si="116"/>
        <v>725308</v>
      </c>
      <c r="AR78" s="225" t="str">
        <f>IF(AQ78&lt;=$H78,"VÁLIDA","NO VÁLIDA")</f>
        <v>VÁLIDA</v>
      </c>
      <c r="AS78" s="227">
        <v>177400</v>
      </c>
      <c r="AT78" s="227">
        <f t="shared" si="117"/>
        <v>709600</v>
      </c>
      <c r="AU78" s="225" t="str">
        <f>IF(AT78&lt;=$H78,"VÁLIDA","NO VÁLIDA")</f>
        <v>VÁLIDA</v>
      </c>
      <c r="AV78" s="227">
        <v>240948</v>
      </c>
      <c r="AW78" s="227">
        <f t="shared" si="118"/>
        <v>963792</v>
      </c>
      <c r="AX78" s="225" t="str">
        <f>IF(AW78&lt;=$H78,"VÁLIDA","NO VÁLIDA")</f>
        <v>NO VÁLIDA</v>
      </c>
      <c r="AY78" s="227">
        <v>181327</v>
      </c>
      <c r="AZ78" s="227">
        <f t="shared" si="119"/>
        <v>725308</v>
      </c>
      <c r="BA78" s="225" t="str">
        <f>IF(AZ78&lt;=$H78,"VÁLIDA","NO VÁLIDA")</f>
        <v>VÁLIDA</v>
      </c>
      <c r="BB78" s="227">
        <v>173874.015323542</v>
      </c>
      <c r="BC78" s="227">
        <f t="shared" si="120"/>
        <v>695496.061294168</v>
      </c>
      <c r="BD78" s="225" t="str">
        <f>IF(BC78&lt;=$H78,"VÁLIDA","NO VÁLIDA")</f>
        <v>VÁLIDA</v>
      </c>
      <c r="BE78" s="227">
        <v>177410</v>
      </c>
      <c r="BF78" s="227">
        <f t="shared" si="121"/>
        <v>709640</v>
      </c>
      <c r="BG78" s="225" t="str">
        <f>IF(BF78&lt;=$H78,"VÁLIDA","NO VÁLIDA")</f>
        <v>VÁLIDA</v>
      </c>
      <c r="BH78" s="227">
        <v>179513.73</v>
      </c>
      <c r="BI78" s="227">
        <f t="shared" si="122"/>
        <v>718054.92</v>
      </c>
      <c r="BJ78" s="225" t="str">
        <f>IF(BI78&lt;=$H78,"VÁLIDA","NO VÁLIDA")</f>
        <v>VÁLIDA</v>
      </c>
      <c r="BK78" s="227">
        <v>179876</v>
      </c>
      <c r="BL78" s="227">
        <f t="shared" si="123"/>
        <v>719504</v>
      </c>
      <c r="BM78" s="225" t="str">
        <f>IF(BL78&lt;=$H78,"VÁLIDA","NO VÁLIDA")</f>
        <v>VÁLIDA</v>
      </c>
      <c r="BN78" s="227">
        <v>178088</v>
      </c>
      <c r="BO78" s="227">
        <f t="shared" si="124"/>
        <v>712352</v>
      </c>
      <c r="BP78" s="225" t="str">
        <f>IF(BO78&lt;=$H78,"VÁLIDA","NO VÁLIDA")</f>
        <v>VÁLIDA</v>
      </c>
    </row>
    <row r="79" spans="2:68" s="167" customFormat="1" ht="24" x14ac:dyDescent="0.25">
      <c r="B79" s="103">
        <v>4845</v>
      </c>
      <c r="C79" s="94">
        <f>C78+0.01</f>
        <v>3.1099999999999977</v>
      </c>
      <c r="D79" s="95" t="str">
        <f>VLOOKUP(B79,[2]ITEMS!$B$4:$E$2466,2,FALSE)</f>
        <v>EMPATES DE TUBERÍA EN PVC A PVC 8" LINEAL SEGÚN NORMA NS-023. SUMINISTRO E INSTALACIÓN. (INCLUYE ACCESORIOS).</v>
      </c>
      <c r="E79" s="96" t="str">
        <f>VLOOKUP(B79,[2]ITEMS!$B$4:$E$2466,3,FALSE)</f>
        <v>UN</v>
      </c>
      <c r="F79" s="97">
        <v>4</v>
      </c>
      <c r="G79" s="98">
        <f>VLOOKUP(B79,[2]ITEMS!$B$4:$E$2466,4,FALSE)</f>
        <v>606462</v>
      </c>
      <c r="H79" s="98">
        <f t="shared" si="104"/>
        <v>2425848</v>
      </c>
      <c r="I79" s="191">
        <v>597012</v>
      </c>
      <c r="J79" s="227">
        <f t="shared" si="125"/>
        <v>2388048</v>
      </c>
      <c r="K79" s="225" t="str">
        <f>IF(J79&lt;=$H79,"VÁLIDA","NO VÁLIDA")</f>
        <v>VÁLIDA</v>
      </c>
      <c r="L79" s="191">
        <v>599791</v>
      </c>
      <c r="M79" s="227">
        <f t="shared" si="106"/>
        <v>2399164</v>
      </c>
      <c r="N79" s="225" t="str">
        <f>IF(M79&lt;=$H79,"VÁLIDA","NO VÁLIDA")</f>
        <v>VÁLIDA</v>
      </c>
      <c r="O79" s="191">
        <v>606462</v>
      </c>
      <c r="P79" s="227">
        <f t="shared" si="107"/>
        <v>2425848</v>
      </c>
      <c r="Q79" s="225" t="str">
        <f>IF(P79&lt;=$H79,"VÁLIDA","NO VÁLIDA")</f>
        <v>VÁLIDA</v>
      </c>
      <c r="R79" s="191">
        <v>597547</v>
      </c>
      <c r="S79" s="227">
        <f t="shared" si="108"/>
        <v>2390188</v>
      </c>
      <c r="T79" s="225" t="str">
        <f>IF(S79&lt;=$H79,"VÁLIDA","NO VÁLIDA")</f>
        <v>VÁLIDA</v>
      </c>
      <c r="U79" s="191">
        <v>606462</v>
      </c>
      <c r="V79" s="227">
        <f t="shared" si="109"/>
        <v>2425848</v>
      </c>
      <c r="W79" s="225" t="str">
        <f>IF(V79&lt;=$H79,"VÁLIDA","NO VÁLIDA")</f>
        <v>VÁLIDA</v>
      </c>
      <c r="X79" s="191">
        <v>596758</v>
      </c>
      <c r="Y79" s="227">
        <f t="shared" si="110"/>
        <v>2387032</v>
      </c>
      <c r="Z79" s="225" t="str">
        <f>IF(Y79&lt;=$H79,"VÁLIDA","NO VÁLIDA")</f>
        <v>VÁLIDA</v>
      </c>
      <c r="AA79" s="191">
        <v>599791</v>
      </c>
      <c r="AB79" s="227">
        <f t="shared" si="111"/>
        <v>2399164</v>
      </c>
      <c r="AC79" s="225" t="str">
        <f>IF(AB79&lt;=$H79,"VÁLIDA","NO VÁLIDA")</f>
        <v>VÁLIDA</v>
      </c>
      <c r="AD79" s="191">
        <v>606462</v>
      </c>
      <c r="AE79" s="227">
        <f t="shared" si="112"/>
        <v>2425848</v>
      </c>
      <c r="AF79" s="225" t="str">
        <f>IF(AE79&lt;=$H79,"VÁLIDA","NO VÁLIDA")</f>
        <v>VÁLIDA</v>
      </c>
      <c r="AH79" s="227">
        <f t="shared" si="113"/>
        <v>0</v>
      </c>
      <c r="AI79" s="225" t="str">
        <f>IF(AH79&lt;=$H79,"VÁLIDA","NO VÁLIDA")</f>
        <v>VÁLIDA</v>
      </c>
      <c r="AJ79" s="227">
        <v>564010</v>
      </c>
      <c r="AK79" s="227">
        <f t="shared" si="114"/>
        <v>2256040</v>
      </c>
      <c r="AL79" s="225" t="str">
        <f>IF(AK79&lt;=$H79,"VÁLIDA","NO VÁLIDA")</f>
        <v>VÁLIDA</v>
      </c>
      <c r="AM79" s="227">
        <v>604946</v>
      </c>
      <c r="AN79" s="227">
        <f t="shared" si="115"/>
        <v>2419784</v>
      </c>
      <c r="AO79" s="225" t="str">
        <f>IF(AN79&lt;=$H79,"VÁLIDA","NO VÁLIDA")</f>
        <v>VÁLIDA</v>
      </c>
      <c r="AP79" s="227">
        <v>606462</v>
      </c>
      <c r="AQ79" s="227">
        <f t="shared" si="116"/>
        <v>2425848</v>
      </c>
      <c r="AR79" s="225" t="str">
        <f>IF(AQ79&lt;=$H79,"VÁLIDA","NO VÁLIDA")</f>
        <v>VÁLIDA</v>
      </c>
      <c r="AS79" s="227">
        <v>593300</v>
      </c>
      <c r="AT79" s="227">
        <f t="shared" si="117"/>
        <v>2373200</v>
      </c>
      <c r="AU79" s="225" t="str">
        <f>IF(AT79&lt;=$H79,"VÁLIDA","NO VÁLIDA")</f>
        <v>VÁLIDA</v>
      </c>
      <c r="AV79" s="227">
        <v>805870.35</v>
      </c>
      <c r="AW79" s="227">
        <f t="shared" si="118"/>
        <v>3223481.4</v>
      </c>
      <c r="AX79" s="225" t="str">
        <f>IF(AW79&lt;=$H79,"VÁLIDA","NO VÁLIDA")</f>
        <v>NO VÁLIDA</v>
      </c>
      <c r="AY79" s="227">
        <v>606462</v>
      </c>
      <c r="AZ79" s="227">
        <f t="shared" si="119"/>
        <v>2425848</v>
      </c>
      <c r="BA79" s="225" t="str">
        <f>IF(AZ79&lt;=$H79,"VÁLIDA","NO VÁLIDA")</f>
        <v>VÁLIDA</v>
      </c>
      <c r="BB79" s="227">
        <v>581534.92354225204</v>
      </c>
      <c r="BC79" s="227">
        <f t="shared" si="120"/>
        <v>2326139.6941690082</v>
      </c>
      <c r="BD79" s="225" t="str">
        <f>IF(BC79&lt;=$H79,"VÁLIDA","NO VÁLIDA")</f>
        <v>VÁLIDA</v>
      </c>
      <c r="BE79" s="227">
        <v>593362</v>
      </c>
      <c r="BF79" s="227">
        <f t="shared" si="121"/>
        <v>2373448</v>
      </c>
      <c r="BG79" s="225" t="str">
        <f>IF(BF79&lt;=$H79,"VÁLIDA","NO VÁLIDA")</f>
        <v>VÁLIDA</v>
      </c>
      <c r="BH79" s="227">
        <v>600397.38</v>
      </c>
      <c r="BI79" s="227">
        <f t="shared" si="122"/>
        <v>2401589.52</v>
      </c>
      <c r="BJ79" s="225" t="str">
        <f>IF(BI79&lt;=$H79,"VÁLIDA","NO VÁLIDA")</f>
        <v>VÁLIDA</v>
      </c>
      <c r="BK79" s="227">
        <v>601610</v>
      </c>
      <c r="BL79" s="227">
        <f t="shared" si="123"/>
        <v>2406440</v>
      </c>
      <c r="BM79" s="225" t="str">
        <f>IF(BL79&lt;=$H79,"VÁLIDA","NO VÁLIDA")</f>
        <v>VÁLIDA</v>
      </c>
      <c r="BN79" s="227">
        <v>595630</v>
      </c>
      <c r="BO79" s="227">
        <f t="shared" si="124"/>
        <v>2382520</v>
      </c>
      <c r="BP79" s="225" t="str">
        <f>IF(BO79&lt;=$H79,"VÁLIDA","NO VÁLIDA")</f>
        <v>VÁLIDA</v>
      </c>
    </row>
    <row r="80" spans="2:68" s="230" customFormat="1" ht="12" x14ac:dyDescent="0.25">
      <c r="B80" s="116"/>
      <c r="C80" s="132"/>
      <c r="D80" s="128" t="s">
        <v>132</v>
      </c>
      <c r="E80" s="129"/>
      <c r="F80" s="130"/>
      <c r="G80" s="131"/>
      <c r="H80" s="131"/>
      <c r="I80" s="194"/>
      <c r="J80" s="227"/>
      <c r="K80" s="225"/>
      <c r="L80" s="194"/>
      <c r="M80" s="227"/>
      <c r="N80" s="225"/>
      <c r="O80" s="194"/>
      <c r="P80" s="227"/>
      <c r="Q80" s="225"/>
      <c r="R80" s="194"/>
      <c r="S80" s="227"/>
      <c r="T80" s="225"/>
      <c r="U80" s="194"/>
      <c r="V80" s="227"/>
      <c r="W80" s="225"/>
      <c r="X80" s="194"/>
      <c r="Y80" s="227"/>
      <c r="Z80" s="225"/>
      <c r="AA80" s="194"/>
      <c r="AB80" s="227"/>
      <c r="AC80" s="225"/>
      <c r="AD80" s="194"/>
      <c r="AE80" s="227"/>
      <c r="AF80" s="225"/>
      <c r="AH80" s="227"/>
      <c r="AI80" s="225"/>
      <c r="AJ80" s="227"/>
      <c r="AK80" s="227"/>
      <c r="AL80" s="225"/>
      <c r="AM80" s="227"/>
      <c r="AN80" s="227"/>
      <c r="AO80" s="225"/>
      <c r="AP80" s="227"/>
      <c r="AQ80" s="227"/>
      <c r="AR80" s="225"/>
      <c r="AS80" s="227"/>
      <c r="AT80" s="227"/>
      <c r="AU80" s="225"/>
      <c r="AV80" s="227"/>
      <c r="AW80" s="227"/>
      <c r="AX80" s="225"/>
      <c r="AY80" s="227"/>
      <c r="AZ80" s="227"/>
      <c r="BA80" s="225"/>
      <c r="BB80" s="227"/>
      <c r="BC80" s="227"/>
      <c r="BD80" s="225"/>
      <c r="BE80" s="227"/>
      <c r="BF80" s="227"/>
      <c r="BG80" s="225"/>
      <c r="BH80" s="227"/>
      <c r="BI80" s="227"/>
      <c r="BJ80" s="225"/>
      <c r="BK80" s="227"/>
      <c r="BL80" s="227"/>
      <c r="BM80" s="225"/>
      <c r="BN80" s="227"/>
      <c r="BO80" s="227"/>
      <c r="BP80" s="225"/>
    </row>
    <row r="81" spans="2:68" s="167" customFormat="1" ht="12" x14ac:dyDescent="0.25">
      <c r="B81" s="103">
        <v>5186</v>
      </c>
      <c r="C81" s="94">
        <f>C79+0.01</f>
        <v>3.1199999999999974</v>
      </c>
      <c r="D81" s="95" t="s">
        <v>133</v>
      </c>
      <c r="E81" s="96" t="str">
        <f>VLOOKUP(B81,[2]ITEMS!$B$4:$E$2466,3,FALSE)</f>
        <v>UN</v>
      </c>
      <c r="F81" s="97">
        <v>22</v>
      </c>
      <c r="G81" s="98">
        <v>4489</v>
      </c>
      <c r="H81" s="98">
        <f t="shared" si="104"/>
        <v>98758</v>
      </c>
      <c r="I81" s="191">
        <v>4419</v>
      </c>
      <c r="J81" s="227">
        <f t="shared" ref="J81" si="126">I81*F81</f>
        <v>97218</v>
      </c>
      <c r="K81" s="225" t="str">
        <f>IF(J81&lt;=$H81,"VÁLIDA","NO VÁLIDA")</f>
        <v>VÁLIDA</v>
      </c>
      <c r="L81" s="191">
        <v>4440</v>
      </c>
      <c r="M81" s="227">
        <f t="shared" si="106"/>
        <v>97680</v>
      </c>
      <c r="N81" s="225" t="str">
        <f>IF(M81&lt;=$H81,"VÁLIDA","NO VÁLIDA")</f>
        <v>VÁLIDA</v>
      </c>
      <c r="O81" s="191">
        <v>4489</v>
      </c>
      <c r="P81" s="227">
        <f t="shared" si="107"/>
        <v>98758</v>
      </c>
      <c r="Q81" s="225" t="str">
        <f>IF(P81&lt;=$H81,"VÁLIDA","NO VÁLIDA")</f>
        <v>VÁLIDA</v>
      </c>
      <c r="R81" s="191">
        <v>4423</v>
      </c>
      <c r="S81" s="227">
        <f t="shared" si="108"/>
        <v>97306</v>
      </c>
      <c r="T81" s="225" t="str">
        <f>IF(S81&lt;=$H81,"VÁLIDA","NO VÁLIDA")</f>
        <v>VÁLIDA</v>
      </c>
      <c r="U81" s="191">
        <v>4489</v>
      </c>
      <c r="V81" s="227">
        <f t="shared" si="109"/>
        <v>98758</v>
      </c>
      <c r="W81" s="225" t="str">
        <f>IF(V81&lt;=$H81,"VÁLIDA","NO VÁLIDA")</f>
        <v>VÁLIDA</v>
      </c>
      <c r="X81" s="191">
        <v>4417</v>
      </c>
      <c r="Y81" s="227">
        <f t="shared" si="110"/>
        <v>97174</v>
      </c>
      <c r="Z81" s="225" t="str">
        <f>IF(Y81&lt;=$H81,"VÁLIDA","NO VÁLIDA")</f>
        <v>VÁLIDA</v>
      </c>
      <c r="AA81" s="191">
        <v>4440</v>
      </c>
      <c r="AB81" s="227">
        <f t="shared" si="111"/>
        <v>97680</v>
      </c>
      <c r="AC81" s="225" t="str">
        <f>IF(AB81&lt;=$H81,"VÁLIDA","NO VÁLIDA")</f>
        <v>VÁLIDA</v>
      </c>
      <c r="AD81" s="191">
        <v>4489</v>
      </c>
      <c r="AE81" s="227">
        <f t="shared" si="112"/>
        <v>98758</v>
      </c>
      <c r="AF81" s="225" t="str">
        <f>IF(AE81&lt;=$H81,"VÁLIDA","NO VÁLIDA")</f>
        <v>VÁLIDA</v>
      </c>
      <c r="AH81" s="227">
        <f t="shared" si="113"/>
        <v>0</v>
      </c>
      <c r="AI81" s="225" t="str">
        <f>IF(AH81&lt;=$H81,"VÁLIDA","NO VÁLIDA")</f>
        <v>VÁLIDA</v>
      </c>
      <c r="AJ81" s="227">
        <v>4175</v>
      </c>
      <c r="AK81" s="227">
        <f t="shared" si="114"/>
        <v>91850</v>
      </c>
      <c r="AL81" s="225" t="str">
        <f>IF(AK81&lt;=$H81,"VÁLIDA","NO VÁLIDA")</f>
        <v>VÁLIDA</v>
      </c>
      <c r="AM81" s="227">
        <v>4478</v>
      </c>
      <c r="AN81" s="227">
        <f t="shared" si="115"/>
        <v>98516</v>
      </c>
      <c r="AO81" s="225" t="str">
        <f>IF(AN81&lt;=$H81,"VÁLIDA","NO VÁLIDA")</f>
        <v>VÁLIDA</v>
      </c>
      <c r="AP81" s="227">
        <v>4489</v>
      </c>
      <c r="AQ81" s="227">
        <f t="shared" si="116"/>
        <v>98758</v>
      </c>
      <c r="AR81" s="225" t="str">
        <f>IF(AQ81&lt;=$H81,"VÁLIDA","NO VÁLIDA")</f>
        <v>VÁLIDA</v>
      </c>
      <c r="AS81" s="227">
        <v>4300</v>
      </c>
      <c r="AT81" s="227">
        <f t="shared" si="117"/>
        <v>94600</v>
      </c>
      <c r="AU81" s="225" t="str">
        <f>IF(AT81&lt;=$H81,"VÁLIDA","NO VÁLIDA")</f>
        <v>VÁLIDA</v>
      </c>
      <c r="AV81" s="227">
        <v>5965.65</v>
      </c>
      <c r="AW81" s="227">
        <f t="shared" si="118"/>
        <v>131244.29999999999</v>
      </c>
      <c r="AX81" s="225" t="str">
        <f>IF(AW81&lt;=$H81,"VÁLIDA","NO VÁLIDA")</f>
        <v>NO VÁLIDA</v>
      </c>
      <c r="AY81" s="227">
        <v>4489</v>
      </c>
      <c r="AZ81" s="227">
        <f t="shared" si="119"/>
        <v>98758</v>
      </c>
      <c r="BA81" s="225" t="str">
        <f>IF(AZ81&lt;=$H81,"VÁLIDA","NO VÁLIDA")</f>
        <v>VÁLIDA</v>
      </c>
      <c r="BB81" s="227">
        <v>4304.4910839940003</v>
      </c>
      <c r="BC81" s="227">
        <f t="shared" si="120"/>
        <v>94698.80384786801</v>
      </c>
      <c r="BD81" s="225" t="str">
        <f>IF(BC81&lt;=$H81,"VÁLIDA","NO VÁLIDA")</f>
        <v>VÁLIDA</v>
      </c>
      <c r="BE81" s="227">
        <v>4392</v>
      </c>
      <c r="BF81" s="227">
        <f t="shared" si="121"/>
        <v>96624</v>
      </c>
      <c r="BG81" s="225" t="str">
        <f>IF(BF81&lt;=$H81,"VÁLIDA","NO VÁLIDA")</f>
        <v>VÁLIDA</v>
      </c>
      <c r="BH81" s="227">
        <v>4444.1099999999997</v>
      </c>
      <c r="BI81" s="227">
        <f t="shared" si="122"/>
        <v>97770.42</v>
      </c>
      <c r="BJ81" s="225" t="str">
        <f>IF(BI81&lt;=$H81,"VÁLIDA","NO VÁLIDA")</f>
        <v>VÁLIDA</v>
      </c>
      <c r="BK81" s="227">
        <v>4453</v>
      </c>
      <c r="BL81" s="227">
        <f t="shared" si="123"/>
        <v>97966</v>
      </c>
      <c r="BM81" s="225" t="str">
        <f>IF(BL81&lt;=$H81,"VÁLIDA","NO VÁLIDA")</f>
        <v>VÁLIDA</v>
      </c>
      <c r="BN81" s="227">
        <v>4408</v>
      </c>
      <c r="BO81" s="227">
        <f t="shared" si="124"/>
        <v>96976</v>
      </c>
      <c r="BP81" s="225" t="str">
        <f>IF(BO81&lt;=$H81,"VÁLIDA","NO VÁLIDA")</f>
        <v>VÁLIDA</v>
      </c>
    </row>
    <row r="82" spans="2:68" s="230" customFormat="1" ht="12" x14ac:dyDescent="0.25">
      <c r="B82" s="116"/>
      <c r="C82" s="132"/>
      <c r="D82" s="128" t="s">
        <v>134</v>
      </c>
      <c r="E82" s="129"/>
      <c r="F82" s="130"/>
      <c r="G82" s="131"/>
      <c r="H82" s="131"/>
      <c r="I82" s="194"/>
      <c r="J82" s="227"/>
      <c r="K82" s="225"/>
      <c r="L82" s="194"/>
      <c r="M82" s="227"/>
      <c r="N82" s="225"/>
      <c r="O82" s="194"/>
      <c r="P82" s="227"/>
      <c r="Q82" s="225"/>
      <c r="R82" s="194"/>
      <c r="S82" s="227"/>
      <c r="T82" s="225"/>
      <c r="U82" s="194"/>
      <c r="V82" s="227"/>
      <c r="W82" s="225"/>
      <c r="X82" s="194"/>
      <c r="Y82" s="227"/>
      <c r="Z82" s="225"/>
      <c r="AA82" s="194"/>
      <c r="AB82" s="227"/>
      <c r="AC82" s="225"/>
      <c r="AD82" s="194"/>
      <c r="AE82" s="227"/>
      <c r="AF82" s="225"/>
      <c r="AH82" s="227"/>
      <c r="AI82" s="225"/>
      <c r="AJ82" s="227"/>
      <c r="AK82" s="227"/>
      <c r="AL82" s="225"/>
      <c r="AM82" s="227"/>
      <c r="AN82" s="227"/>
      <c r="AO82" s="225"/>
      <c r="AP82" s="227"/>
      <c r="AQ82" s="227"/>
      <c r="AR82" s="225"/>
      <c r="AS82" s="227"/>
      <c r="AT82" s="227"/>
      <c r="AU82" s="225"/>
      <c r="AV82" s="227"/>
      <c r="AW82" s="227"/>
      <c r="AX82" s="225"/>
      <c r="AY82" s="227"/>
      <c r="AZ82" s="227"/>
      <c r="BA82" s="225"/>
      <c r="BB82" s="227"/>
      <c r="BC82" s="227"/>
      <c r="BD82" s="225"/>
      <c r="BE82" s="227"/>
      <c r="BF82" s="227"/>
      <c r="BG82" s="225"/>
      <c r="BH82" s="227"/>
      <c r="BI82" s="227"/>
      <c r="BJ82" s="225"/>
      <c r="BK82" s="227"/>
      <c r="BL82" s="227"/>
      <c r="BM82" s="225"/>
      <c r="BN82" s="227"/>
      <c r="BO82" s="227"/>
      <c r="BP82" s="225"/>
    </row>
    <row r="83" spans="2:68" s="167" customFormat="1" ht="12" x14ac:dyDescent="0.25">
      <c r="B83" s="103">
        <v>3910</v>
      </c>
      <c r="C83" s="94">
        <f>C81+0.01</f>
        <v>3.1299999999999972</v>
      </c>
      <c r="D83" s="95" t="str">
        <f>VLOOKUP(B83,[2]ITEMS!$B$4:$E$2466,2,FALSE)</f>
        <v>CONCRETO 4000 PSI IMPERMEABILIZADO (Hecho en Obra)</v>
      </c>
      <c r="E83" s="96" t="str">
        <f>VLOOKUP(B83,[2]ITEMS!$B$4:$E$2466,3,FALSE)</f>
        <v>M3</v>
      </c>
      <c r="F83" s="111">
        <v>1</v>
      </c>
      <c r="G83" s="98">
        <f>VLOOKUP(B83,[2]ITEMS!$B$4:$E$2466,4,FALSE)</f>
        <v>393709</v>
      </c>
      <c r="H83" s="98">
        <f t="shared" si="104"/>
        <v>393709</v>
      </c>
      <c r="I83" s="191">
        <v>387574</v>
      </c>
      <c r="J83" s="227">
        <f t="shared" ref="J83:J85" si="127">I83*F83</f>
        <v>387574</v>
      </c>
      <c r="K83" s="225" t="str">
        <f>IF(J83&lt;=$H83,"VÁLIDA","NO VÁLIDA")</f>
        <v>VÁLIDA</v>
      </c>
      <c r="L83" s="191">
        <v>389378</v>
      </c>
      <c r="M83" s="227">
        <f t="shared" si="106"/>
        <v>389378</v>
      </c>
      <c r="N83" s="225" t="str">
        <f>IF(M83&lt;=$H83,"VÁLIDA","NO VÁLIDA")</f>
        <v>VÁLIDA</v>
      </c>
      <c r="O83" s="191">
        <v>393709</v>
      </c>
      <c r="P83" s="227">
        <f t="shared" si="107"/>
        <v>393709</v>
      </c>
      <c r="Q83" s="225" t="str">
        <f>IF(P83&lt;=$H83,"VÁLIDA","NO VÁLIDA")</f>
        <v>VÁLIDA</v>
      </c>
      <c r="R83" s="191">
        <v>387921</v>
      </c>
      <c r="S83" s="227">
        <f t="shared" si="108"/>
        <v>387921</v>
      </c>
      <c r="T83" s="225" t="str">
        <f>IF(S83&lt;=$H83,"VÁLIDA","NO VÁLIDA")</f>
        <v>VÁLIDA</v>
      </c>
      <c r="U83" s="191">
        <v>393709</v>
      </c>
      <c r="V83" s="227">
        <f t="shared" si="109"/>
        <v>393709</v>
      </c>
      <c r="W83" s="225" t="str">
        <f>IF(V83&lt;=$H83,"VÁLIDA","NO VÁLIDA")</f>
        <v>VÁLIDA</v>
      </c>
      <c r="X83" s="191">
        <v>387409</v>
      </c>
      <c r="Y83" s="227">
        <f t="shared" si="110"/>
        <v>387409</v>
      </c>
      <c r="Z83" s="225" t="str">
        <f>IF(Y83&lt;=$H83,"VÁLIDA","NO VÁLIDA")</f>
        <v>VÁLIDA</v>
      </c>
      <c r="AA83" s="191">
        <v>389378</v>
      </c>
      <c r="AB83" s="227">
        <f t="shared" si="111"/>
        <v>389378</v>
      </c>
      <c r="AC83" s="225" t="str">
        <f>IF(AB83&lt;=$H83,"VÁLIDA","NO VÁLIDA")</f>
        <v>VÁLIDA</v>
      </c>
      <c r="AD83" s="191">
        <v>393709</v>
      </c>
      <c r="AE83" s="227">
        <f t="shared" si="112"/>
        <v>393709</v>
      </c>
      <c r="AF83" s="225" t="str">
        <f>IF(AE83&lt;=$H83,"VÁLIDA","NO VÁLIDA")</f>
        <v>VÁLIDA</v>
      </c>
      <c r="AH83" s="227">
        <f t="shared" si="113"/>
        <v>0</v>
      </c>
      <c r="AI83" s="225" t="str">
        <f>IF(AH83&lt;=$H83,"VÁLIDA","NO VÁLIDA")</f>
        <v>VÁLIDA</v>
      </c>
      <c r="AJ83" s="227">
        <v>366149</v>
      </c>
      <c r="AK83" s="227">
        <f t="shared" si="114"/>
        <v>366149</v>
      </c>
      <c r="AL83" s="225" t="str">
        <f>IF(AK83&lt;=$H83,"VÁLIDA","NO VÁLIDA")</f>
        <v>VÁLIDA</v>
      </c>
      <c r="AM83" s="227">
        <v>392725</v>
      </c>
      <c r="AN83" s="227">
        <f t="shared" si="115"/>
        <v>392725</v>
      </c>
      <c r="AO83" s="225" t="str">
        <f>IF(AN83&lt;=$H83,"VÁLIDA","NO VÁLIDA")</f>
        <v>VÁLIDA</v>
      </c>
      <c r="AP83" s="227">
        <v>393709</v>
      </c>
      <c r="AQ83" s="227">
        <f t="shared" si="116"/>
        <v>393709</v>
      </c>
      <c r="AR83" s="225" t="str">
        <f>IF(AQ83&lt;=$H83,"VÁLIDA","NO VÁLIDA")</f>
        <v>VÁLIDA</v>
      </c>
      <c r="AS83" s="227">
        <v>385000</v>
      </c>
      <c r="AT83" s="227">
        <f t="shared" si="117"/>
        <v>385000</v>
      </c>
      <c r="AU83" s="225" t="str">
        <f>IF(AT83&lt;=$H83,"VÁLIDA","NO VÁLIDA")</f>
        <v>VÁLIDA</v>
      </c>
      <c r="AV83" s="227">
        <v>523162.8</v>
      </c>
      <c r="AW83" s="227">
        <f t="shared" si="118"/>
        <v>523162.8</v>
      </c>
      <c r="AX83" s="225" t="str">
        <f>IF(AW83&lt;=$H83,"VÁLIDA","NO VÁLIDA")</f>
        <v>NO VÁLIDA</v>
      </c>
      <c r="AY83" s="227">
        <v>393709</v>
      </c>
      <c r="AZ83" s="227">
        <f t="shared" si="119"/>
        <v>393709</v>
      </c>
      <c r="BA83" s="225" t="str">
        <f>IF(AZ83&lt;=$H83,"VÁLIDA","NO VÁLIDA")</f>
        <v>VÁLIDA</v>
      </c>
      <c r="BB83" s="227">
        <v>377526.59393811401</v>
      </c>
      <c r="BC83" s="227">
        <f t="shared" si="120"/>
        <v>377526.59393811401</v>
      </c>
      <c r="BD83" s="225" t="str">
        <f>IF(BC83&lt;=$H83,"VÁLIDA","NO VÁLIDA")</f>
        <v>VÁLIDA</v>
      </c>
      <c r="BE83" s="227">
        <v>385205</v>
      </c>
      <c r="BF83" s="227">
        <f t="shared" si="121"/>
        <v>385205</v>
      </c>
      <c r="BG83" s="225" t="str">
        <f>IF(BF83&lt;=$H83,"VÁLIDA","NO VÁLIDA")</f>
        <v>VÁLIDA</v>
      </c>
      <c r="BH83" s="227">
        <v>389771.91</v>
      </c>
      <c r="BI83" s="227">
        <f t="shared" si="122"/>
        <v>389771.91</v>
      </c>
      <c r="BJ83" s="225" t="str">
        <f>IF(BI83&lt;=$H83,"VÁLIDA","NO VÁLIDA")</f>
        <v>VÁLIDA</v>
      </c>
      <c r="BK83" s="227">
        <v>390559</v>
      </c>
      <c r="BL83" s="227">
        <f t="shared" si="123"/>
        <v>390559</v>
      </c>
      <c r="BM83" s="225" t="str">
        <f>IF(BL83&lt;=$H83,"VÁLIDA","NO VÁLIDA")</f>
        <v>VÁLIDA</v>
      </c>
      <c r="BN83" s="227">
        <v>386677</v>
      </c>
      <c r="BO83" s="227">
        <f t="shared" si="124"/>
        <v>386677</v>
      </c>
      <c r="BP83" s="225" t="str">
        <f>IF(BO83&lt;=$H83,"VÁLIDA","NO VÁLIDA")</f>
        <v>VÁLIDA</v>
      </c>
    </row>
    <row r="84" spans="2:68" s="167" customFormat="1" ht="12" x14ac:dyDescent="0.25">
      <c r="B84" s="93">
        <v>3604</v>
      </c>
      <c r="C84" s="94">
        <f>C83+0.01</f>
        <v>3.139999999999997</v>
      </c>
      <c r="D84" s="95" t="str">
        <f>VLOOKUP(B84,[2]ITEMS!$B$4:$E$2466,2,FALSE)</f>
        <v>UNION PVC TIPO U.M. D= 8" (Suministro e Instalación)</v>
      </c>
      <c r="E84" s="96" t="str">
        <f>VLOOKUP(B84,[2]ITEMS!$B$4:$E$2466,3,FALSE)</f>
        <v>UN</v>
      </c>
      <c r="F84" s="97">
        <v>5</v>
      </c>
      <c r="G84" s="98">
        <f>VLOOKUP(B84,[2]ITEMS!$B$4:$E$2466,4,FALSE)</f>
        <v>214081</v>
      </c>
      <c r="H84" s="98">
        <f t="shared" si="104"/>
        <v>1070405</v>
      </c>
      <c r="I84" s="191">
        <v>210745</v>
      </c>
      <c r="J84" s="227">
        <f t="shared" si="127"/>
        <v>1053725</v>
      </c>
      <c r="K84" s="225" t="str">
        <f>IF(J84&lt;=$H84,"VÁLIDA","NO VÁLIDA")</f>
        <v>VÁLIDA</v>
      </c>
      <c r="L84" s="191">
        <v>211726</v>
      </c>
      <c r="M84" s="227">
        <f t="shared" si="106"/>
        <v>1058630</v>
      </c>
      <c r="N84" s="225" t="str">
        <f>IF(M84&lt;=$H84,"VÁLIDA","NO VÁLIDA")</f>
        <v>VÁLIDA</v>
      </c>
      <c r="O84" s="191">
        <v>214081</v>
      </c>
      <c r="P84" s="227">
        <f t="shared" si="107"/>
        <v>1070405</v>
      </c>
      <c r="Q84" s="225" t="str">
        <f>IF(P84&lt;=$H84,"VÁLIDA","NO VÁLIDA")</f>
        <v>VÁLIDA</v>
      </c>
      <c r="R84" s="191">
        <v>210934</v>
      </c>
      <c r="S84" s="227">
        <f t="shared" si="108"/>
        <v>1054670</v>
      </c>
      <c r="T84" s="225" t="str">
        <f>IF(S84&lt;=$H84,"VÁLIDA","NO VÁLIDA")</f>
        <v>VÁLIDA</v>
      </c>
      <c r="U84" s="191">
        <v>214081</v>
      </c>
      <c r="V84" s="227">
        <f t="shared" si="109"/>
        <v>1070405</v>
      </c>
      <c r="W84" s="225" t="str">
        <f>IF(V84&lt;=$H84,"VÁLIDA","NO VÁLIDA")</f>
        <v>VÁLIDA</v>
      </c>
      <c r="X84" s="191">
        <v>210655</v>
      </c>
      <c r="Y84" s="227">
        <f t="shared" si="110"/>
        <v>1053275</v>
      </c>
      <c r="Z84" s="225" t="str">
        <f>IF(Y84&lt;=$H84,"VÁLIDA","NO VÁLIDA")</f>
        <v>VÁLIDA</v>
      </c>
      <c r="AA84" s="191">
        <v>211726</v>
      </c>
      <c r="AB84" s="227">
        <f t="shared" si="111"/>
        <v>1058630</v>
      </c>
      <c r="AC84" s="225" t="str">
        <f>IF(AB84&lt;=$H84,"VÁLIDA","NO VÁLIDA")</f>
        <v>VÁLIDA</v>
      </c>
      <c r="AD84" s="191">
        <v>214081</v>
      </c>
      <c r="AE84" s="227">
        <f t="shared" si="112"/>
        <v>1070405</v>
      </c>
      <c r="AF84" s="225" t="str">
        <f>IF(AE84&lt;=$H84,"VÁLIDA","NO VÁLIDA")</f>
        <v>VÁLIDA</v>
      </c>
      <c r="AH84" s="227">
        <f t="shared" si="113"/>
        <v>0</v>
      </c>
      <c r="AI84" s="225" t="str">
        <f>IF(AH84&lt;=$H84,"VÁLIDA","NO VÁLIDA")</f>
        <v>VÁLIDA</v>
      </c>
      <c r="AJ84" s="227">
        <v>199095</v>
      </c>
      <c r="AK84" s="227">
        <f t="shared" si="114"/>
        <v>995475</v>
      </c>
      <c r="AL84" s="225" t="str">
        <f>IF(AK84&lt;=$H84,"VÁLIDA","NO VÁLIDA")</f>
        <v>VÁLIDA</v>
      </c>
      <c r="AM84" s="227">
        <v>213546</v>
      </c>
      <c r="AN84" s="227">
        <f t="shared" si="115"/>
        <v>1067730</v>
      </c>
      <c r="AO84" s="225" t="str">
        <f>IF(AN84&lt;=$H84,"VÁLIDA","NO VÁLIDA")</f>
        <v>VÁLIDA</v>
      </c>
      <c r="AP84" s="227">
        <v>214081</v>
      </c>
      <c r="AQ84" s="227">
        <f t="shared" si="116"/>
        <v>1070405</v>
      </c>
      <c r="AR84" s="225" t="str">
        <f>IF(AQ84&lt;=$H84,"VÁLIDA","NO VÁLIDA")</f>
        <v>VÁLIDA</v>
      </c>
      <c r="AS84" s="227">
        <v>209400</v>
      </c>
      <c r="AT84" s="227">
        <f t="shared" si="117"/>
        <v>1047000</v>
      </c>
      <c r="AU84" s="225" t="str">
        <f>IF(AT84&lt;=$H84,"VÁLIDA","NO VÁLIDA")</f>
        <v>VÁLIDA</v>
      </c>
      <c r="AV84" s="227">
        <v>284472</v>
      </c>
      <c r="AW84" s="227">
        <f t="shared" si="118"/>
        <v>1422360</v>
      </c>
      <c r="AX84" s="225" t="str">
        <f>IF(AW84&lt;=$H84,"VÁLIDA","NO VÁLIDA")</f>
        <v>NO VÁLIDA</v>
      </c>
      <c r="AY84" s="227">
        <v>214081</v>
      </c>
      <c r="AZ84" s="227">
        <f t="shared" si="119"/>
        <v>1070405</v>
      </c>
      <c r="BA84" s="225" t="str">
        <f>IF(AZ84&lt;=$H84,"VÁLIDA","NO VÁLIDA")</f>
        <v>VÁLIDA</v>
      </c>
      <c r="BB84" s="227">
        <v>205281.745545226</v>
      </c>
      <c r="BC84" s="227">
        <f t="shared" si="120"/>
        <v>1026408.72772613</v>
      </c>
      <c r="BD84" s="225" t="str">
        <f>IF(BC84&lt;=$H84,"VÁLIDA","NO VÁLIDA")</f>
        <v>VÁLIDA</v>
      </c>
      <c r="BE84" s="227">
        <v>209457</v>
      </c>
      <c r="BF84" s="227">
        <f t="shared" si="121"/>
        <v>1047285</v>
      </c>
      <c r="BG84" s="225" t="str">
        <f>IF(BF84&lt;=$H84,"VÁLIDA","NO VÁLIDA")</f>
        <v>VÁLIDA</v>
      </c>
      <c r="BH84" s="227">
        <v>211940.19</v>
      </c>
      <c r="BI84" s="227">
        <f t="shared" si="122"/>
        <v>1059700.95</v>
      </c>
      <c r="BJ84" s="225" t="str">
        <f>IF(BI84&lt;=$H84,"VÁLIDA","NO VÁLIDA")</f>
        <v>VÁLIDA</v>
      </c>
      <c r="BK84" s="227">
        <v>212368</v>
      </c>
      <c r="BL84" s="227">
        <f t="shared" si="123"/>
        <v>1061840</v>
      </c>
      <c r="BM84" s="225" t="str">
        <f>IF(BL84&lt;=$H84,"VÁLIDA","NO VÁLIDA")</f>
        <v>VÁLIDA</v>
      </c>
      <c r="BN84" s="227">
        <v>210257</v>
      </c>
      <c r="BO84" s="227">
        <f t="shared" si="124"/>
        <v>1051285</v>
      </c>
      <c r="BP84" s="225" t="str">
        <f>IF(BO84&lt;=$H84,"VÁLIDA","NO VÁLIDA")</f>
        <v>VÁLIDA</v>
      </c>
    </row>
    <row r="85" spans="2:68" s="167" customFormat="1" ht="24.75" thickBot="1" x14ac:dyDescent="0.3">
      <c r="B85" s="103">
        <v>3898</v>
      </c>
      <c r="C85" s="94">
        <f>C83+0.01</f>
        <v>3.139999999999997</v>
      </c>
      <c r="D85" s="95" t="str">
        <f>VLOOKUP(B85,[2]ITEMS!$B$4:$E$2466,2,FALSE)</f>
        <v>SUMIDERO LATERAL SL-200, H=0.85m (Prefabricado. Incluye Suministro e Instalación. Incluye Sobretapa y Tapa)</v>
      </c>
      <c r="E85" s="96" t="str">
        <f>VLOOKUP(B85,[2]ITEMS!$B$4:$E$2466,3,FALSE)</f>
        <v>UN</v>
      </c>
      <c r="F85" s="97">
        <v>4</v>
      </c>
      <c r="G85" s="98">
        <f>VLOOKUP(B85,[2]ITEMS!$B$4:$E$2466,4,FALSE)</f>
        <v>2804330</v>
      </c>
      <c r="H85" s="98">
        <f t="shared" si="104"/>
        <v>11217320</v>
      </c>
      <c r="I85" s="191">
        <v>2760634</v>
      </c>
      <c r="J85" s="227">
        <f t="shared" si="127"/>
        <v>11042536</v>
      </c>
      <c r="K85" s="225" t="str">
        <f>IF(J85&lt;=$H85,"VÁLIDA","NO VÁLIDA")</f>
        <v>VÁLIDA</v>
      </c>
      <c r="L85" s="191">
        <v>2773482</v>
      </c>
      <c r="M85" s="227">
        <f t="shared" si="106"/>
        <v>11093928</v>
      </c>
      <c r="N85" s="225" t="str">
        <f>IF(M85&lt;=$H85,"VÁLIDA","NO VÁLIDA")</f>
        <v>VÁLIDA</v>
      </c>
      <c r="O85" s="191">
        <v>2804330</v>
      </c>
      <c r="P85" s="227">
        <f t="shared" si="107"/>
        <v>11217320</v>
      </c>
      <c r="Q85" s="225" t="str">
        <f>IF(P85&lt;=$H85,"VÁLIDA","NO VÁLIDA")</f>
        <v>VÁLIDA</v>
      </c>
      <c r="R85" s="191">
        <v>2763106</v>
      </c>
      <c r="S85" s="227">
        <f t="shared" si="108"/>
        <v>11052424</v>
      </c>
      <c r="T85" s="225" t="str">
        <f>IF(S85&lt;=$H85,"VÁLIDA","NO VÁLIDA")</f>
        <v>VÁLIDA</v>
      </c>
      <c r="U85" s="191">
        <v>2804330</v>
      </c>
      <c r="V85" s="227">
        <f t="shared" si="109"/>
        <v>11217320</v>
      </c>
      <c r="W85" s="225" t="str">
        <f>IF(V85&lt;=$H85,"VÁLIDA","NO VÁLIDA")</f>
        <v>VÁLIDA</v>
      </c>
      <c r="X85" s="191">
        <v>2759460</v>
      </c>
      <c r="Y85" s="227">
        <f t="shared" si="110"/>
        <v>11037840</v>
      </c>
      <c r="Z85" s="225" t="str">
        <f>IF(Y85&lt;=$H85,"VÁLIDA","NO VÁLIDA")</f>
        <v>VÁLIDA</v>
      </c>
      <c r="AA85" s="191">
        <v>2773482</v>
      </c>
      <c r="AB85" s="227">
        <f t="shared" si="111"/>
        <v>11093928</v>
      </c>
      <c r="AC85" s="225" t="str">
        <f>IF(AB85&lt;=$H85,"VÁLIDA","NO VÁLIDA")</f>
        <v>VÁLIDA</v>
      </c>
      <c r="AD85" s="191">
        <v>2804330</v>
      </c>
      <c r="AE85" s="227">
        <f t="shared" si="112"/>
        <v>11217320</v>
      </c>
      <c r="AF85" s="225" t="str">
        <f>IF(AE85&lt;=$H85,"VÁLIDA","NO VÁLIDA")</f>
        <v>VÁLIDA</v>
      </c>
      <c r="AH85" s="227">
        <f t="shared" si="113"/>
        <v>0</v>
      </c>
      <c r="AI85" s="225" t="str">
        <f>IF(AH85&lt;=$H85,"VÁLIDA","NO VÁLIDA")</f>
        <v>VÁLIDA</v>
      </c>
      <c r="AJ85" s="227">
        <v>2608027</v>
      </c>
      <c r="AK85" s="227">
        <f t="shared" si="114"/>
        <v>10432108</v>
      </c>
      <c r="AL85" s="225" t="str">
        <f>IF(AK85&lt;=$H85,"VÁLIDA","NO VÁLIDA")</f>
        <v>VÁLIDA</v>
      </c>
      <c r="AM85" s="227">
        <v>2797319</v>
      </c>
      <c r="AN85" s="227">
        <f t="shared" si="115"/>
        <v>11189276</v>
      </c>
      <c r="AO85" s="225" t="str">
        <f>IF(AN85&lt;=$H85,"VÁLIDA","NO VÁLIDA")</f>
        <v>VÁLIDA</v>
      </c>
      <c r="AP85" s="227">
        <v>2804330</v>
      </c>
      <c r="AQ85" s="227">
        <f t="shared" si="116"/>
        <v>11217320</v>
      </c>
      <c r="AR85" s="225" t="str">
        <f>IF(AQ85&lt;=$H85,"VÁLIDA","NO VÁLIDA")</f>
        <v>VÁLIDA</v>
      </c>
      <c r="AS85" s="227">
        <v>2743000</v>
      </c>
      <c r="AT85" s="227">
        <f t="shared" si="117"/>
        <v>10972000</v>
      </c>
      <c r="AU85" s="225" t="str">
        <f>IF(AT85&lt;=$H85,"VÁLIDA","NO VÁLIDA")</f>
        <v>VÁLIDA</v>
      </c>
      <c r="AV85" s="227">
        <v>3726408.7</v>
      </c>
      <c r="AW85" s="227">
        <f t="shared" si="118"/>
        <v>14905634.800000001</v>
      </c>
      <c r="AX85" s="225" t="str">
        <f>IF(AW85&lt;=$H85,"VÁLIDA","NO VÁLIDA")</f>
        <v>NO VÁLIDA</v>
      </c>
      <c r="AY85" s="227">
        <v>2804330</v>
      </c>
      <c r="AZ85" s="227">
        <f t="shared" si="119"/>
        <v>11217320</v>
      </c>
      <c r="BA85" s="225" t="str">
        <f>IF(AZ85&lt;=$H85,"VÁLIDA","NO VÁLIDA")</f>
        <v>VÁLIDA</v>
      </c>
      <c r="BB85" s="227">
        <v>2689065.1551741799</v>
      </c>
      <c r="BC85" s="227">
        <f t="shared" si="120"/>
        <v>10756260.62069672</v>
      </c>
      <c r="BD85" s="225" t="str">
        <f>IF(BC85&lt;=$H85,"VÁLIDA","NO VÁLIDA")</f>
        <v>VÁLIDA</v>
      </c>
      <c r="BE85" s="227">
        <v>2743756</v>
      </c>
      <c r="BF85" s="227">
        <f t="shared" si="121"/>
        <v>10975024</v>
      </c>
      <c r="BG85" s="225" t="str">
        <f>IF(BF85&lt;=$H85,"VÁLIDA","NO VÁLIDA")</f>
        <v>VÁLIDA</v>
      </c>
      <c r="BH85" s="227">
        <v>2776286.7</v>
      </c>
      <c r="BI85" s="227">
        <f t="shared" si="122"/>
        <v>11105146.800000001</v>
      </c>
      <c r="BJ85" s="225" t="str">
        <f>IF(BI85&lt;=$H85,"VÁLIDA","NO VÁLIDA")</f>
        <v>VÁLIDA</v>
      </c>
      <c r="BK85" s="227">
        <v>2781895</v>
      </c>
      <c r="BL85" s="227">
        <f t="shared" si="123"/>
        <v>11127580</v>
      </c>
      <c r="BM85" s="225" t="str">
        <f>IF(BL85&lt;=$H85,"VÁLIDA","NO VÁLIDA")</f>
        <v>VÁLIDA</v>
      </c>
      <c r="BN85" s="227">
        <v>2754244</v>
      </c>
      <c r="BO85" s="227">
        <f t="shared" si="124"/>
        <v>11016976</v>
      </c>
      <c r="BP85" s="225" t="str">
        <f>IF(BO85&lt;=$H85,"VÁLIDA","NO VÁLIDA")</f>
        <v>VÁLIDA</v>
      </c>
    </row>
    <row r="86" spans="2:68" s="167" customFormat="1" ht="12.75" thickBot="1" x14ac:dyDescent="0.3">
      <c r="B86" s="78"/>
      <c r="C86" s="104">
        <f>C65+1</f>
        <v>4</v>
      </c>
      <c r="D86" s="101" t="s">
        <v>135</v>
      </c>
      <c r="E86" s="101"/>
      <c r="F86" s="82"/>
      <c r="G86" s="102"/>
      <c r="H86" s="83">
        <f>SUM(H87:H113)</f>
        <v>177658526.5</v>
      </c>
      <c r="I86" s="226"/>
      <c r="J86" s="192">
        <f>SUM(J87:J113)</f>
        <v>174890295</v>
      </c>
      <c r="K86" s="225" t="str">
        <f>IF(J86&lt;=$H86,"VÁLIDA","NO VÁLIDA")</f>
        <v>VÁLIDA</v>
      </c>
      <c r="L86" s="226"/>
      <c r="M86" s="192">
        <f>SUM(M87:M113)</f>
        <v>175704315</v>
      </c>
      <c r="N86" s="225" t="str">
        <f>IF(M86&lt;=$H86,"VÁLIDA","NO VÁLIDA")</f>
        <v>VÁLIDA</v>
      </c>
      <c r="O86" s="226"/>
      <c r="P86" s="192">
        <f>SUM(P87:P113)</f>
        <v>177658519</v>
      </c>
      <c r="Q86" s="225" t="str">
        <f>IF(P86&lt;=$H86,"VÁLIDA","NO VÁLIDA")</f>
        <v>VÁLIDA</v>
      </c>
      <c r="R86" s="226"/>
      <c r="S86" s="192">
        <f>SUM(S87:S113)</f>
        <v>175046869</v>
      </c>
      <c r="T86" s="225" t="str">
        <f>IF(S86&lt;=$H86,"VÁLIDA","NO VÁLIDA")</f>
        <v>VÁLIDA</v>
      </c>
      <c r="U86" s="226"/>
      <c r="V86" s="192">
        <f>SUM(V87:V113)</f>
        <v>177658526.5</v>
      </c>
      <c r="W86" s="225" t="str">
        <f>IF(V86&lt;=$H86,"VÁLIDA","NO VÁLIDA")</f>
        <v>VÁLIDA</v>
      </c>
      <c r="X86" s="226"/>
      <c r="Y86" s="192">
        <f>SUM(Y87:Y113)</f>
        <v>174815775</v>
      </c>
      <c r="Z86" s="225" t="str">
        <f>IF(Y86&lt;=$H86,"VÁLIDA","NO VÁLIDA")</f>
        <v>VÁLIDA</v>
      </c>
      <c r="AA86" s="226"/>
      <c r="AB86" s="192">
        <f>SUM(AB87:AB113)</f>
        <v>175704315</v>
      </c>
      <c r="AC86" s="225" t="str">
        <f>IF(AB86&lt;=$H86,"VÁLIDA","NO VÁLIDA")</f>
        <v>VÁLIDA</v>
      </c>
      <c r="AD86" s="226"/>
      <c r="AE86" s="192">
        <f>SUM(AE87:AE113)</f>
        <v>174201356.5</v>
      </c>
      <c r="AF86" s="225" t="str">
        <f>IF(AE86&lt;=$H86,"VÁLIDA","NO VÁLIDA")</f>
        <v>VÁLIDA</v>
      </c>
      <c r="AH86" s="192">
        <f>SUM(AH87:AH113)</f>
        <v>0</v>
      </c>
      <c r="AI86" s="225" t="str">
        <f>IF(AH86&lt;=$H86,"VÁLIDA","NO VÁLIDA")</f>
        <v>VÁLIDA</v>
      </c>
      <c r="AJ86" s="192"/>
      <c r="AK86" s="192">
        <f>SUM(AK87:AK113)</f>
        <v>165222414</v>
      </c>
      <c r="AL86" s="225" t="str">
        <f>IF(AK86&lt;=$H86,"VÁLIDA","NO VÁLIDA")</f>
        <v>VÁLIDA</v>
      </c>
      <c r="AM86" s="192"/>
      <c r="AN86" s="192">
        <f>SUM(AN87:AN113)</f>
        <v>177214371</v>
      </c>
      <c r="AO86" s="225" t="str">
        <f>IF(AN86&lt;=$H86,"VÁLIDA","NO VÁLIDA")</f>
        <v>VÁLIDA</v>
      </c>
      <c r="AP86" s="192"/>
      <c r="AQ86" s="192">
        <f>SUM(AQ87:AQ113)</f>
        <v>177658519</v>
      </c>
      <c r="AR86" s="225" t="str">
        <f>IF(AQ86&lt;=$H86,"VÁLIDA","NO VÁLIDA")</f>
        <v>VÁLIDA</v>
      </c>
      <c r="AS86" s="192"/>
      <c r="AT86" s="192">
        <f>SUM(AT87:AT113)</f>
        <v>173837600</v>
      </c>
      <c r="AU86" s="225" t="str">
        <f>IF(AT86&lt;=$H86,"VÁLIDA","NO VÁLIDA")</f>
        <v>VÁLIDA</v>
      </c>
      <c r="AV86" s="192"/>
      <c r="AW86" s="192">
        <f>SUM(AW87:AW113)</f>
        <v>236073533.40000004</v>
      </c>
      <c r="AX86" s="225" t="str">
        <f>IF(AW86&lt;=$H86,"VÁLIDA","NO VÁLIDA")</f>
        <v>NO VÁLIDA</v>
      </c>
      <c r="AY86" s="192"/>
      <c r="AZ86" s="192">
        <f>SUM(AZ87:AZ113)</f>
        <v>177658519</v>
      </c>
      <c r="BA86" s="225" t="str">
        <f>IF(AZ86&lt;=$H86,"VÁLIDA","NO VÁLIDA")</f>
        <v>VÁLIDA</v>
      </c>
      <c r="BB86" s="192"/>
      <c r="BC86" s="192">
        <f>SUM(BC87:BC113)</f>
        <v>170356325.086826</v>
      </c>
      <c r="BD86" s="225" t="str">
        <f>IF(BC86&lt;=$H86,"VÁLIDA","NO VÁLIDA")</f>
        <v>VÁLIDA</v>
      </c>
      <c r="BE86" s="192"/>
      <c r="BF86" s="192">
        <f>SUM(BF87:BF113)</f>
        <v>173821009</v>
      </c>
      <c r="BG86" s="225" t="str">
        <f>IF(BF86&lt;=$H86,"VÁLIDA","NO VÁLIDA")</f>
        <v>VÁLIDA</v>
      </c>
      <c r="BH86" s="192"/>
      <c r="BI86" s="192">
        <f>SUM(BI87:BI113)</f>
        <v>175881941.23500004</v>
      </c>
      <c r="BJ86" s="225" t="str">
        <f>IF(BI86&lt;=$H86,"VÁLIDA","NO VÁLIDA")</f>
        <v>VÁLIDA</v>
      </c>
      <c r="BK86" s="192"/>
      <c r="BL86" s="192">
        <f>SUM(BL87:BL113)</f>
        <v>176237250</v>
      </c>
      <c r="BM86" s="225" t="str">
        <f>IF(BL86&lt;=$H86,"VÁLIDA","NO VÁLIDA")</f>
        <v>VÁLIDA</v>
      </c>
      <c r="BN86" s="192"/>
      <c r="BO86" s="192">
        <f>SUM(BO87:BO113)</f>
        <v>174485239</v>
      </c>
      <c r="BP86" s="225" t="str">
        <f>IF(BO86&lt;=$H86,"VÁLIDA","NO VÁLIDA")</f>
        <v>VÁLIDA</v>
      </c>
    </row>
    <row r="87" spans="2:68" s="230" customFormat="1" ht="12" x14ac:dyDescent="0.25">
      <c r="B87" s="116"/>
      <c r="C87" s="132"/>
      <c r="D87" s="128" t="s">
        <v>128</v>
      </c>
      <c r="E87" s="129"/>
      <c r="F87" s="130"/>
      <c r="G87" s="131"/>
      <c r="H87" s="131"/>
      <c r="I87" s="194"/>
      <c r="J87" s="227"/>
      <c r="K87" s="225"/>
      <c r="L87" s="194"/>
      <c r="M87" s="227"/>
      <c r="N87" s="225"/>
      <c r="O87" s="194"/>
      <c r="P87" s="227"/>
      <c r="Q87" s="225"/>
      <c r="R87" s="194"/>
      <c r="S87" s="227"/>
      <c r="T87" s="225"/>
      <c r="U87" s="194"/>
      <c r="V87" s="227"/>
      <c r="W87" s="225"/>
      <c r="X87" s="194"/>
      <c r="Y87" s="227"/>
      <c r="Z87" s="225"/>
      <c r="AA87" s="194"/>
      <c r="AB87" s="227"/>
      <c r="AC87" s="225"/>
      <c r="AD87" s="194"/>
      <c r="AE87" s="227"/>
      <c r="AF87" s="225"/>
      <c r="AH87" s="227"/>
      <c r="AI87" s="225"/>
      <c r="AJ87" s="227"/>
      <c r="AK87" s="227"/>
      <c r="AL87" s="225"/>
      <c r="AM87" s="227"/>
      <c r="AN87" s="227"/>
      <c r="AO87" s="225"/>
      <c r="AP87" s="227"/>
      <c r="AQ87" s="227"/>
      <c r="AR87" s="225"/>
      <c r="AS87" s="227"/>
      <c r="AT87" s="227"/>
      <c r="AU87" s="225"/>
      <c r="AV87" s="227"/>
      <c r="AW87" s="227"/>
      <c r="AX87" s="225"/>
      <c r="AY87" s="227"/>
      <c r="AZ87" s="227"/>
      <c r="BA87" s="225"/>
      <c r="BB87" s="227"/>
      <c r="BC87" s="227"/>
      <c r="BD87" s="225"/>
      <c r="BE87" s="227"/>
      <c r="BF87" s="227"/>
      <c r="BG87" s="225"/>
      <c r="BH87" s="227"/>
      <c r="BI87" s="227"/>
      <c r="BJ87" s="225"/>
      <c r="BK87" s="227"/>
      <c r="BL87" s="227"/>
      <c r="BM87" s="225"/>
      <c r="BN87" s="227"/>
      <c r="BO87" s="227"/>
      <c r="BP87" s="225"/>
    </row>
    <row r="88" spans="2:68" s="167" customFormat="1" ht="12" x14ac:dyDescent="0.25">
      <c r="B88" s="93">
        <v>4384</v>
      </c>
      <c r="C88" s="94">
        <f>C86+0.01</f>
        <v>4.01</v>
      </c>
      <c r="D88" s="95" t="str">
        <f>VLOOKUP(B88,[2]ITEMS!$B$4:$E$2466,2,FALSE)</f>
        <v>UNION DRESSER D=3" (Suministro e Instalación)</v>
      </c>
      <c r="E88" s="96" t="str">
        <f>VLOOKUP(B88,[2]ITEMS!$B$4:$E$2466,3,FALSE)</f>
        <v>UN</v>
      </c>
      <c r="F88" s="97">
        <v>4</v>
      </c>
      <c r="G88" s="98">
        <f>VLOOKUP(B88,[2]ITEMS!$B$4:$E$2466,4,FALSE)</f>
        <v>96741</v>
      </c>
      <c r="H88" s="98">
        <f t="shared" ref="H88:H113" si="128">F88*G88</f>
        <v>386964</v>
      </c>
      <c r="I88" s="191">
        <v>95234</v>
      </c>
      <c r="J88" s="227">
        <f t="shared" ref="J88:J92" si="129">I88*F88</f>
        <v>380936</v>
      </c>
      <c r="K88" s="225" t="str">
        <f>IF(J88&lt;=$H88,"VÁLIDA","NO VÁLIDA")</f>
        <v>VÁLIDA</v>
      </c>
      <c r="L88" s="191">
        <v>95677</v>
      </c>
      <c r="M88" s="227">
        <f t="shared" ref="M88:M92" si="130">L88*$F88</f>
        <v>382708</v>
      </c>
      <c r="N88" s="225" t="str">
        <f>IF(M88&lt;=$H88,"VÁLIDA","NO VÁLIDA")</f>
        <v>VÁLIDA</v>
      </c>
      <c r="O88" s="191">
        <v>96741</v>
      </c>
      <c r="P88" s="227">
        <f t="shared" ref="P88:P92" si="131">O88*$F88</f>
        <v>386964</v>
      </c>
      <c r="Q88" s="225" t="str">
        <f>IF(P88&lt;=$H88,"VÁLIDA","NO VÁLIDA")</f>
        <v>VÁLIDA</v>
      </c>
      <c r="R88" s="191">
        <v>95319</v>
      </c>
      <c r="S88" s="227">
        <f t="shared" ref="S88:S92" si="132">R88*$F88</f>
        <v>381276</v>
      </c>
      <c r="T88" s="225" t="str">
        <f>IF(S88&lt;=$H88,"VÁLIDA","NO VÁLIDA")</f>
        <v>VÁLIDA</v>
      </c>
      <c r="U88" s="191">
        <v>96741</v>
      </c>
      <c r="V88" s="227">
        <f t="shared" ref="V88:V92" si="133">U88*$F88</f>
        <v>386964</v>
      </c>
      <c r="W88" s="225" t="str">
        <f>IF(V88&lt;=$H88,"VÁLIDA","NO VÁLIDA")</f>
        <v>VÁLIDA</v>
      </c>
      <c r="X88" s="191">
        <v>95193</v>
      </c>
      <c r="Y88" s="227">
        <f t="shared" ref="Y88:Y92" si="134">X88*$F88</f>
        <v>380772</v>
      </c>
      <c r="Z88" s="225" t="str">
        <f>IF(Y88&lt;=$H88,"VÁLIDA","NO VÁLIDA")</f>
        <v>VÁLIDA</v>
      </c>
      <c r="AA88" s="191">
        <v>95677</v>
      </c>
      <c r="AB88" s="227">
        <f t="shared" ref="AB88:AB92" si="135">AA88*$F88</f>
        <v>382708</v>
      </c>
      <c r="AC88" s="225" t="str">
        <f>IF(AB88&lt;=$H88,"VÁLIDA","NO VÁLIDA")</f>
        <v>VÁLIDA</v>
      </c>
      <c r="AD88" s="191">
        <v>96741</v>
      </c>
      <c r="AE88" s="227">
        <f t="shared" ref="AE88:AE92" si="136">AD88*$F88</f>
        <v>386964</v>
      </c>
      <c r="AF88" s="225" t="str">
        <f>IF(AE88&lt;=$H88,"VÁLIDA","NO VÁLIDA")</f>
        <v>VÁLIDA</v>
      </c>
      <c r="AH88" s="227">
        <f t="shared" ref="AH88:AH92" si="137">AG88*$F88</f>
        <v>0</v>
      </c>
      <c r="AI88" s="225" t="str">
        <f>IF(AH88&lt;=$H88,"VÁLIDA","NO VÁLIDA")</f>
        <v>VÁLIDA</v>
      </c>
      <c r="AJ88" s="227">
        <v>89969</v>
      </c>
      <c r="AK88" s="227">
        <f t="shared" ref="AK88:AK92" si="138">AJ88*$F88</f>
        <v>359876</v>
      </c>
      <c r="AL88" s="225" t="str">
        <f>IF(AK88&lt;=$H88,"VÁLIDA","NO VÁLIDA")</f>
        <v>VÁLIDA</v>
      </c>
      <c r="AM88" s="227">
        <v>96499</v>
      </c>
      <c r="AN88" s="227">
        <f t="shared" ref="AN88:AN92" si="139">AM88*$F88</f>
        <v>385996</v>
      </c>
      <c r="AO88" s="225" t="str">
        <f>IF(AN88&lt;=$H88,"VÁLIDA","NO VÁLIDA")</f>
        <v>VÁLIDA</v>
      </c>
      <c r="AP88" s="227">
        <v>96741</v>
      </c>
      <c r="AQ88" s="227">
        <f t="shared" ref="AQ88:AQ92" si="140">AP88*$F88</f>
        <v>386964</v>
      </c>
      <c r="AR88" s="225" t="str">
        <f>IF(AQ88&lt;=$H88,"VÁLIDA","NO VÁLIDA")</f>
        <v>VÁLIDA</v>
      </c>
      <c r="AS88" s="227">
        <v>94600</v>
      </c>
      <c r="AT88" s="227">
        <f t="shared" ref="AT88:AT92" si="141">AS88*$F88</f>
        <v>378400</v>
      </c>
      <c r="AU88" s="225" t="str">
        <f>IF(AT88&lt;=$H88,"VÁLIDA","NO VÁLIDA")</f>
        <v>VÁLIDA</v>
      </c>
      <c r="AV88" s="227">
        <v>128549.7</v>
      </c>
      <c r="AW88" s="227">
        <f t="shared" ref="AW88:AW92" si="142">AV88*$F88</f>
        <v>514198.8</v>
      </c>
      <c r="AX88" s="225" t="str">
        <f>IF(AW88&lt;=$H88,"VÁLIDA","NO VÁLIDA")</f>
        <v>NO VÁLIDA</v>
      </c>
      <c r="AY88" s="227">
        <v>96741</v>
      </c>
      <c r="AZ88" s="227">
        <f t="shared" ref="AZ88:AZ92" si="143">AY88*$F88</f>
        <v>386964</v>
      </c>
      <c r="BA88" s="225" t="str">
        <f>IF(AZ88&lt;=$H88,"VÁLIDA","NO VÁLIDA")</f>
        <v>VÁLIDA</v>
      </c>
      <c r="BB88" s="227">
        <v>92764.707497586001</v>
      </c>
      <c r="BC88" s="227">
        <f t="shared" ref="BC88:BC92" si="144">BB88*$F88</f>
        <v>371058.82999034401</v>
      </c>
      <c r="BD88" s="225" t="str">
        <f>IF(BC88&lt;=$H88,"VÁLIDA","NO VÁLIDA")</f>
        <v>VÁLIDA</v>
      </c>
      <c r="BE88" s="227">
        <v>94651</v>
      </c>
      <c r="BF88" s="227">
        <f t="shared" ref="BF88:BF92" si="145">BE88*$F88</f>
        <v>378604</v>
      </c>
      <c r="BG88" s="225" t="str">
        <f>IF(BF88&lt;=$H88,"VÁLIDA","NO VÁLIDA")</f>
        <v>VÁLIDA</v>
      </c>
      <c r="BH88" s="227">
        <v>95773.59</v>
      </c>
      <c r="BI88" s="227">
        <f t="shared" ref="BI88:BI92" si="146">BH88*$F88</f>
        <v>383094.36</v>
      </c>
      <c r="BJ88" s="225" t="str">
        <f>IF(BI88&lt;=$H88,"VÁLIDA","NO VÁLIDA")</f>
        <v>VÁLIDA</v>
      </c>
      <c r="BK88" s="227">
        <v>95967</v>
      </c>
      <c r="BL88" s="227">
        <f t="shared" ref="BL88:BL92" si="147">BK88*$F88</f>
        <v>383868</v>
      </c>
      <c r="BM88" s="225" t="str">
        <f>IF(BL88&lt;=$H88,"VÁLIDA","NO VÁLIDA")</f>
        <v>VÁLIDA</v>
      </c>
      <c r="BN88" s="227">
        <v>95013</v>
      </c>
      <c r="BO88" s="227">
        <f t="shared" ref="BO88:BO92" si="148">BN88*$F88</f>
        <v>380052</v>
      </c>
      <c r="BP88" s="225" t="str">
        <f>IF(BO88&lt;=$H88,"VÁLIDA","NO VÁLIDA")</f>
        <v>VÁLIDA</v>
      </c>
    </row>
    <row r="89" spans="2:68" s="167" customFormat="1" ht="12" x14ac:dyDescent="0.25">
      <c r="B89" s="93">
        <v>4386</v>
      </c>
      <c r="C89" s="94">
        <f>C88+0.01</f>
        <v>4.0199999999999996</v>
      </c>
      <c r="D89" s="95" t="str">
        <f>VLOOKUP(B89,[2]ITEMS!$B$4:$E$2466,2,FALSE)</f>
        <v>UNION DRESSER D=6" (Suministro e Instalación)</v>
      </c>
      <c r="E89" s="96" t="str">
        <f>VLOOKUP(B89,[2]ITEMS!$B$4:$E$2466,3,FALSE)</f>
        <v>UN</v>
      </c>
      <c r="F89" s="97">
        <v>4</v>
      </c>
      <c r="G89" s="98">
        <f>VLOOKUP(B89,[2]ITEMS!$B$4:$E$2466,4,FALSE)</f>
        <v>242526</v>
      </c>
      <c r="H89" s="98">
        <f t="shared" si="128"/>
        <v>970104</v>
      </c>
      <c r="I89" s="191">
        <v>238747</v>
      </c>
      <c r="J89" s="227">
        <f t="shared" si="129"/>
        <v>954988</v>
      </c>
      <c r="K89" s="225" t="str">
        <f>IF(J89&lt;=$H89,"VÁLIDA","NO VÁLIDA")</f>
        <v>VÁLIDA</v>
      </c>
      <c r="L89" s="191">
        <v>239858</v>
      </c>
      <c r="M89" s="227">
        <f t="shared" si="130"/>
        <v>959432</v>
      </c>
      <c r="N89" s="225" t="str">
        <f>IF(M89&lt;=$H89,"VÁLIDA","NO VÁLIDA")</f>
        <v>VÁLIDA</v>
      </c>
      <c r="O89" s="191">
        <v>242526</v>
      </c>
      <c r="P89" s="227">
        <f t="shared" si="131"/>
        <v>970104</v>
      </c>
      <c r="Q89" s="225" t="str">
        <f>IF(P89&lt;=$H89,"VÁLIDA","NO VÁLIDA")</f>
        <v>VÁLIDA</v>
      </c>
      <c r="R89" s="191">
        <v>238961</v>
      </c>
      <c r="S89" s="227">
        <f t="shared" si="132"/>
        <v>955844</v>
      </c>
      <c r="T89" s="225" t="str">
        <f>IF(S89&lt;=$H89,"VÁLIDA","NO VÁLIDA")</f>
        <v>VÁLIDA</v>
      </c>
      <c r="U89" s="191">
        <v>242526</v>
      </c>
      <c r="V89" s="227">
        <f t="shared" si="133"/>
        <v>970104</v>
      </c>
      <c r="W89" s="225" t="str">
        <f>IF(V89&lt;=$H89,"VÁLIDA","NO VÁLIDA")</f>
        <v>VÁLIDA</v>
      </c>
      <c r="X89" s="191">
        <v>238645</v>
      </c>
      <c r="Y89" s="227">
        <f t="shared" si="134"/>
        <v>954580</v>
      </c>
      <c r="Z89" s="225" t="str">
        <f>IF(Y89&lt;=$H89,"VÁLIDA","NO VÁLIDA")</f>
        <v>VÁLIDA</v>
      </c>
      <c r="AA89" s="191">
        <v>239858</v>
      </c>
      <c r="AB89" s="227">
        <f t="shared" si="135"/>
        <v>959432</v>
      </c>
      <c r="AC89" s="225" t="str">
        <f>IF(AB89&lt;=$H89,"VÁLIDA","NO VÁLIDA")</f>
        <v>VÁLIDA</v>
      </c>
      <c r="AD89" s="191">
        <v>242526</v>
      </c>
      <c r="AE89" s="227">
        <f t="shared" si="136"/>
        <v>970104</v>
      </c>
      <c r="AF89" s="225" t="str">
        <f>IF(AE89&lt;=$H89,"VÁLIDA","NO VÁLIDA")</f>
        <v>VÁLIDA</v>
      </c>
      <c r="AH89" s="227">
        <f t="shared" si="137"/>
        <v>0</v>
      </c>
      <c r="AI89" s="225" t="str">
        <f>IF(AH89&lt;=$H89,"VÁLIDA","NO VÁLIDA")</f>
        <v>VÁLIDA</v>
      </c>
      <c r="AJ89" s="227">
        <v>225549</v>
      </c>
      <c r="AK89" s="227">
        <f t="shared" si="138"/>
        <v>902196</v>
      </c>
      <c r="AL89" s="225" t="str">
        <f>IF(AK89&lt;=$H89,"VÁLIDA","NO VÁLIDA")</f>
        <v>VÁLIDA</v>
      </c>
      <c r="AM89" s="227">
        <v>241920</v>
      </c>
      <c r="AN89" s="227">
        <f t="shared" si="139"/>
        <v>967680</v>
      </c>
      <c r="AO89" s="225" t="str">
        <f>IF(AN89&lt;=$H89,"VÁLIDA","NO VÁLIDA")</f>
        <v>VÁLIDA</v>
      </c>
      <c r="AP89" s="227">
        <v>242526</v>
      </c>
      <c r="AQ89" s="227">
        <f t="shared" si="140"/>
        <v>970104</v>
      </c>
      <c r="AR89" s="225" t="str">
        <f>IF(AQ89&lt;=$H89,"VÁLIDA","NO VÁLIDA")</f>
        <v>VÁLIDA</v>
      </c>
      <c r="AS89" s="227">
        <v>237300</v>
      </c>
      <c r="AT89" s="227">
        <f t="shared" si="141"/>
        <v>949200</v>
      </c>
      <c r="AU89" s="225" t="str">
        <f>IF(AT89&lt;=$H89,"VÁLIDA","NO VÁLIDA")</f>
        <v>VÁLIDA</v>
      </c>
      <c r="AV89" s="227">
        <v>322269.3</v>
      </c>
      <c r="AW89" s="227">
        <f t="shared" si="142"/>
        <v>1289077.2</v>
      </c>
      <c r="AX89" s="225" t="str">
        <f>IF(AW89&lt;=$H89,"VÁLIDA","NO VÁLIDA")</f>
        <v>NO VÁLIDA</v>
      </c>
      <c r="AY89" s="227">
        <v>242526</v>
      </c>
      <c r="AZ89" s="227">
        <f t="shared" si="143"/>
        <v>970104</v>
      </c>
      <c r="BA89" s="225" t="str">
        <f>IF(AZ89&lt;=$H89,"VÁLIDA","NO VÁLIDA")</f>
        <v>VÁLIDA</v>
      </c>
      <c r="BB89" s="227">
        <v>232557.586241196</v>
      </c>
      <c r="BC89" s="227">
        <f t="shared" si="144"/>
        <v>930230.34496478399</v>
      </c>
      <c r="BD89" s="225" t="str">
        <f>IF(BC89&lt;=$H89,"VÁLIDA","NO VÁLIDA")</f>
        <v>VÁLIDA</v>
      </c>
      <c r="BE89" s="227">
        <v>237287</v>
      </c>
      <c r="BF89" s="227">
        <f t="shared" si="145"/>
        <v>949148</v>
      </c>
      <c r="BG89" s="225" t="str">
        <f>IF(BF89&lt;=$H89,"VÁLIDA","NO VÁLIDA")</f>
        <v>VÁLIDA</v>
      </c>
      <c r="BH89" s="227">
        <v>240100.74</v>
      </c>
      <c r="BI89" s="227">
        <f t="shared" si="146"/>
        <v>960402.96</v>
      </c>
      <c r="BJ89" s="225" t="str">
        <f>IF(BI89&lt;=$H89,"VÁLIDA","NO VÁLIDA")</f>
        <v>VÁLIDA</v>
      </c>
      <c r="BK89" s="227">
        <v>240586</v>
      </c>
      <c r="BL89" s="227">
        <f t="shared" si="147"/>
        <v>962344</v>
      </c>
      <c r="BM89" s="225" t="str">
        <f>IF(BL89&lt;=$H89,"VÁLIDA","NO VÁLIDA")</f>
        <v>VÁLIDA</v>
      </c>
      <c r="BN89" s="227">
        <v>238194</v>
      </c>
      <c r="BO89" s="227">
        <f t="shared" si="148"/>
        <v>952776</v>
      </c>
      <c r="BP89" s="225" t="str">
        <f>IF(BO89&lt;=$H89,"VÁLIDA","NO VÁLIDA")</f>
        <v>VÁLIDA</v>
      </c>
    </row>
    <row r="90" spans="2:68" s="167" customFormat="1" ht="12" x14ac:dyDescent="0.25">
      <c r="B90" s="93">
        <v>4387</v>
      </c>
      <c r="C90" s="94">
        <f>C89+0.01</f>
        <v>4.0299999999999994</v>
      </c>
      <c r="D90" s="95" t="str">
        <f>VLOOKUP(B90,[2]ITEMS!$B$4:$E$2466,2,FALSE)</f>
        <v>UNION DRESSER D=8" (Suministro e Instalación)</v>
      </c>
      <c r="E90" s="96" t="str">
        <f>VLOOKUP(B90,[2]ITEMS!$B$4:$E$2466,3,FALSE)</f>
        <v>UN</v>
      </c>
      <c r="F90" s="97">
        <v>4</v>
      </c>
      <c r="G90" s="98">
        <f>VLOOKUP(B90,[2]ITEMS!$B$4:$E$2466,4,FALSE)</f>
        <v>264478</v>
      </c>
      <c r="H90" s="98">
        <f t="shared" si="128"/>
        <v>1057912</v>
      </c>
      <c r="I90" s="191">
        <v>260357</v>
      </c>
      <c r="J90" s="227">
        <f t="shared" si="129"/>
        <v>1041428</v>
      </c>
      <c r="K90" s="225" t="str">
        <f>IF(J90&lt;=$H90,"VÁLIDA","NO VÁLIDA")</f>
        <v>VÁLIDA</v>
      </c>
      <c r="L90" s="191">
        <v>261569</v>
      </c>
      <c r="M90" s="227">
        <f t="shared" si="130"/>
        <v>1046276</v>
      </c>
      <c r="N90" s="225" t="str">
        <f>IF(M90&lt;=$H90,"VÁLIDA","NO VÁLIDA")</f>
        <v>VÁLIDA</v>
      </c>
      <c r="O90" s="191">
        <v>264478</v>
      </c>
      <c r="P90" s="227">
        <f t="shared" si="131"/>
        <v>1057912</v>
      </c>
      <c r="Q90" s="225" t="str">
        <f>IF(P90&lt;=$H90,"VÁLIDA","NO VÁLIDA")</f>
        <v>VÁLIDA</v>
      </c>
      <c r="R90" s="191">
        <v>260590</v>
      </c>
      <c r="S90" s="227">
        <f t="shared" si="132"/>
        <v>1042360</v>
      </c>
      <c r="T90" s="225" t="str">
        <f>IF(S90&lt;=$H90,"VÁLIDA","NO VÁLIDA")</f>
        <v>VÁLIDA</v>
      </c>
      <c r="U90" s="191">
        <v>264478</v>
      </c>
      <c r="V90" s="227">
        <f t="shared" si="133"/>
        <v>1057912</v>
      </c>
      <c r="W90" s="225" t="str">
        <f>IF(V90&lt;=$H90,"VÁLIDA","NO VÁLIDA")</f>
        <v>VÁLIDA</v>
      </c>
      <c r="X90" s="191">
        <v>260246</v>
      </c>
      <c r="Y90" s="227">
        <f t="shared" si="134"/>
        <v>1040984</v>
      </c>
      <c r="Z90" s="225" t="str">
        <f>IF(Y90&lt;=$H90,"VÁLIDA","NO VÁLIDA")</f>
        <v>VÁLIDA</v>
      </c>
      <c r="AA90" s="191">
        <v>261569</v>
      </c>
      <c r="AB90" s="227">
        <f t="shared" si="135"/>
        <v>1046276</v>
      </c>
      <c r="AC90" s="225" t="str">
        <f>IF(AB90&lt;=$H90,"VÁLIDA","NO VÁLIDA")</f>
        <v>VÁLIDA</v>
      </c>
      <c r="AD90" s="191">
        <v>264478</v>
      </c>
      <c r="AE90" s="227">
        <f t="shared" si="136"/>
        <v>1057912</v>
      </c>
      <c r="AF90" s="225" t="str">
        <f>IF(AE90&lt;=$H90,"VÁLIDA","NO VÁLIDA")</f>
        <v>VÁLIDA</v>
      </c>
      <c r="AH90" s="227">
        <f t="shared" si="137"/>
        <v>0</v>
      </c>
      <c r="AI90" s="225" t="str">
        <f>IF(AH90&lt;=$H90,"VÁLIDA","NO VÁLIDA")</f>
        <v>VÁLIDA</v>
      </c>
      <c r="AJ90" s="227">
        <v>245965</v>
      </c>
      <c r="AK90" s="227">
        <f t="shared" si="138"/>
        <v>983860</v>
      </c>
      <c r="AL90" s="225" t="str">
        <f>IF(AK90&lt;=$H90,"VÁLIDA","NO VÁLIDA")</f>
        <v>VÁLIDA</v>
      </c>
      <c r="AM90" s="227">
        <v>263817</v>
      </c>
      <c r="AN90" s="227">
        <f t="shared" si="139"/>
        <v>1055268</v>
      </c>
      <c r="AO90" s="225" t="str">
        <f>IF(AN90&lt;=$H90,"VÁLIDA","NO VÁLIDA")</f>
        <v>VÁLIDA</v>
      </c>
      <c r="AP90" s="227">
        <v>264478</v>
      </c>
      <c r="AQ90" s="227">
        <f t="shared" si="140"/>
        <v>1057912</v>
      </c>
      <c r="AR90" s="225" t="str">
        <f>IF(AQ90&lt;=$H90,"VÁLIDA","NO VÁLIDA")</f>
        <v>VÁLIDA</v>
      </c>
      <c r="AS90" s="227">
        <v>258700</v>
      </c>
      <c r="AT90" s="227">
        <f t="shared" si="141"/>
        <v>1034800</v>
      </c>
      <c r="AU90" s="225" t="str">
        <f>IF(AT90&lt;=$H90,"VÁLIDA","NO VÁLIDA")</f>
        <v>VÁLIDA</v>
      </c>
      <c r="AV90" s="227">
        <v>351440.1</v>
      </c>
      <c r="AW90" s="227">
        <f t="shared" si="142"/>
        <v>1405760.4</v>
      </c>
      <c r="AX90" s="225" t="str">
        <f>IF(AW90&lt;=$H90,"VÁLIDA","NO VÁLIDA")</f>
        <v>NO VÁLIDA</v>
      </c>
      <c r="AY90" s="227">
        <v>264478</v>
      </c>
      <c r="AZ90" s="227">
        <f t="shared" si="143"/>
        <v>1057912</v>
      </c>
      <c r="BA90" s="225" t="str">
        <f>IF(AZ90&lt;=$H90,"VÁLIDA","NO VÁLIDA")</f>
        <v>VÁLIDA</v>
      </c>
      <c r="BB90" s="227">
        <v>253607.30517098799</v>
      </c>
      <c r="BC90" s="227">
        <f t="shared" si="144"/>
        <v>1014429.220683952</v>
      </c>
      <c r="BD90" s="225" t="str">
        <f>IF(BC90&lt;=$H90,"VÁLIDA","NO VÁLIDA")</f>
        <v>VÁLIDA</v>
      </c>
      <c r="BE90" s="227">
        <v>258765</v>
      </c>
      <c r="BF90" s="227">
        <f t="shared" si="145"/>
        <v>1035060</v>
      </c>
      <c r="BG90" s="225" t="str">
        <f>IF(BF90&lt;=$H90,"VÁLIDA","NO VÁLIDA")</f>
        <v>VÁLIDA</v>
      </c>
      <c r="BH90" s="227">
        <v>261833.22</v>
      </c>
      <c r="BI90" s="227">
        <f t="shared" si="146"/>
        <v>1047332.88</v>
      </c>
      <c r="BJ90" s="225" t="str">
        <f>IF(BI90&lt;=$H90,"VÁLIDA","NO VÁLIDA")</f>
        <v>VÁLIDA</v>
      </c>
      <c r="BK90" s="227">
        <v>262362</v>
      </c>
      <c r="BL90" s="227">
        <f t="shared" si="147"/>
        <v>1049448</v>
      </c>
      <c r="BM90" s="225" t="str">
        <f>IF(BL90&lt;=$H90,"VÁLIDA","NO VÁLIDA")</f>
        <v>VÁLIDA</v>
      </c>
      <c r="BN90" s="227">
        <v>259754</v>
      </c>
      <c r="BO90" s="227">
        <f t="shared" si="148"/>
        <v>1039016</v>
      </c>
      <c r="BP90" s="225" t="str">
        <f>IF(BO90&lt;=$H90,"VÁLIDA","NO VÁLIDA")</f>
        <v>VÁLIDA</v>
      </c>
    </row>
    <row r="91" spans="2:68" s="167" customFormat="1" ht="12" x14ac:dyDescent="0.25">
      <c r="B91" s="93">
        <v>6639</v>
      </c>
      <c r="C91" s="94">
        <f>C90+0.01</f>
        <v>4.0399999999999991</v>
      </c>
      <c r="D91" s="95" t="str">
        <f>VLOOKUP(B91,[2]ITEMS!$B$4:$E$2466,2,FALSE)</f>
        <v>TEE HD EXTREMO JUNTA HIDRÁULICA 6"x 4" (Suministro e Instalación)</v>
      </c>
      <c r="E91" s="96" t="str">
        <f>VLOOKUP(B91,[2]ITEMS!$B$4:$E$2466,3,FALSE)</f>
        <v>UN</v>
      </c>
      <c r="F91" s="97">
        <v>1</v>
      </c>
      <c r="G91" s="98">
        <f>VLOOKUP(B91,[2]ITEMS!$B$4:$E$2466,4,FALSE)</f>
        <v>365593</v>
      </c>
      <c r="H91" s="98">
        <f t="shared" si="128"/>
        <v>365593</v>
      </c>
      <c r="I91" s="191">
        <v>359896</v>
      </c>
      <c r="J91" s="227">
        <f t="shared" si="129"/>
        <v>359896</v>
      </c>
      <c r="K91" s="225" t="str">
        <f>IF(J91&lt;=$H91,"VÁLIDA","NO VÁLIDA")</f>
        <v>VÁLIDA</v>
      </c>
      <c r="L91" s="191">
        <v>361571</v>
      </c>
      <c r="M91" s="227">
        <f t="shared" si="130"/>
        <v>361571</v>
      </c>
      <c r="N91" s="225" t="str">
        <f>IF(M91&lt;=$H91,"VÁLIDA","NO VÁLIDA")</f>
        <v>VÁLIDA</v>
      </c>
      <c r="O91" s="191">
        <v>365593</v>
      </c>
      <c r="P91" s="227">
        <f t="shared" si="131"/>
        <v>365593</v>
      </c>
      <c r="Q91" s="225" t="str">
        <f>IF(P91&lt;=$H91,"VÁLIDA","NO VÁLIDA")</f>
        <v>VÁLIDA</v>
      </c>
      <c r="R91" s="191">
        <v>360219</v>
      </c>
      <c r="S91" s="227">
        <f t="shared" si="132"/>
        <v>360219</v>
      </c>
      <c r="T91" s="225" t="str">
        <f>IF(S91&lt;=$H91,"VÁLIDA","NO VÁLIDA")</f>
        <v>VÁLIDA</v>
      </c>
      <c r="U91" s="191">
        <v>365593</v>
      </c>
      <c r="V91" s="227">
        <f t="shared" si="133"/>
        <v>365593</v>
      </c>
      <c r="W91" s="225" t="str">
        <f>IF(V91&lt;=$H91,"VÁLIDA","NO VÁLIDA")</f>
        <v>VÁLIDA</v>
      </c>
      <c r="X91" s="191">
        <v>359743</v>
      </c>
      <c r="Y91" s="227">
        <f t="shared" si="134"/>
        <v>359743</v>
      </c>
      <c r="Z91" s="225" t="str">
        <f>IF(Y91&lt;=$H91,"VÁLIDA","NO VÁLIDA")</f>
        <v>VÁLIDA</v>
      </c>
      <c r="AA91" s="191">
        <v>361571</v>
      </c>
      <c r="AB91" s="227">
        <f t="shared" si="135"/>
        <v>361571</v>
      </c>
      <c r="AC91" s="225" t="str">
        <f>IF(AB91&lt;=$H91,"VÁLIDA","NO VÁLIDA")</f>
        <v>VÁLIDA</v>
      </c>
      <c r="AD91" s="191">
        <v>365593</v>
      </c>
      <c r="AE91" s="227">
        <f t="shared" si="136"/>
        <v>365593</v>
      </c>
      <c r="AF91" s="225" t="str">
        <f>IF(AE91&lt;=$H91,"VÁLIDA","NO VÁLIDA")</f>
        <v>VÁLIDA</v>
      </c>
      <c r="AH91" s="227">
        <f t="shared" si="137"/>
        <v>0</v>
      </c>
      <c r="AI91" s="225" t="str">
        <f>IF(AH91&lt;=$H91,"VÁLIDA","NO VÁLIDA")</f>
        <v>VÁLIDA</v>
      </c>
      <c r="AJ91" s="227">
        <v>340001</v>
      </c>
      <c r="AK91" s="227">
        <f t="shared" si="138"/>
        <v>340001</v>
      </c>
      <c r="AL91" s="225" t="str">
        <f>IF(AK91&lt;=$H91,"VÁLIDA","NO VÁLIDA")</f>
        <v>VÁLIDA</v>
      </c>
      <c r="AM91" s="227">
        <v>364679</v>
      </c>
      <c r="AN91" s="227">
        <f t="shared" si="139"/>
        <v>364679</v>
      </c>
      <c r="AO91" s="225" t="str">
        <f>IF(AN91&lt;=$H91,"VÁLIDA","NO VÁLIDA")</f>
        <v>VÁLIDA</v>
      </c>
      <c r="AP91" s="227">
        <v>365593</v>
      </c>
      <c r="AQ91" s="227">
        <f t="shared" si="140"/>
        <v>365593</v>
      </c>
      <c r="AR91" s="225" t="str">
        <f>IF(AQ91&lt;=$H91,"VÁLIDA","NO VÁLIDA")</f>
        <v>VÁLIDA</v>
      </c>
      <c r="AS91" s="227">
        <v>357700</v>
      </c>
      <c r="AT91" s="227">
        <f t="shared" si="141"/>
        <v>357700</v>
      </c>
      <c r="AU91" s="225" t="str">
        <f>IF(AT91&lt;=$H91,"VÁLIDA","NO VÁLIDA")</f>
        <v>VÁLIDA</v>
      </c>
      <c r="AV91" s="227">
        <v>485801.55</v>
      </c>
      <c r="AW91" s="227">
        <f t="shared" si="142"/>
        <v>485801.55</v>
      </c>
      <c r="AX91" s="225" t="str">
        <f>IF(AW91&lt;=$H91,"VÁLIDA","NO VÁLIDA")</f>
        <v>NO VÁLIDA</v>
      </c>
      <c r="AY91" s="227">
        <v>365593</v>
      </c>
      <c r="AZ91" s="227">
        <f t="shared" si="143"/>
        <v>365593</v>
      </c>
      <c r="BA91" s="225" t="str">
        <f>IF(AZ91&lt;=$H91,"VÁLIDA","NO VÁLIDA")</f>
        <v>VÁLIDA</v>
      </c>
      <c r="BB91" s="227">
        <v>350566.23053477798</v>
      </c>
      <c r="BC91" s="227">
        <f t="shared" si="144"/>
        <v>350566.23053477798</v>
      </c>
      <c r="BD91" s="225" t="str">
        <f>IF(BC91&lt;=$H91,"VÁLIDA","NO VÁLIDA")</f>
        <v>VÁLIDA</v>
      </c>
      <c r="BE91" s="227">
        <v>357696</v>
      </c>
      <c r="BF91" s="227">
        <f t="shared" si="145"/>
        <v>357696</v>
      </c>
      <c r="BG91" s="225" t="str">
        <f>IF(BF91&lt;=$H91,"VÁLIDA","NO VÁLIDA")</f>
        <v>VÁLIDA</v>
      </c>
      <c r="BH91" s="227">
        <v>361937.07</v>
      </c>
      <c r="BI91" s="227">
        <f t="shared" si="146"/>
        <v>361937.07</v>
      </c>
      <c r="BJ91" s="225" t="str">
        <f>IF(BI91&lt;=$H91,"VÁLIDA","NO VÁLIDA")</f>
        <v>VÁLIDA</v>
      </c>
      <c r="BK91" s="227">
        <v>362668</v>
      </c>
      <c r="BL91" s="227">
        <f t="shared" si="147"/>
        <v>362668</v>
      </c>
      <c r="BM91" s="225" t="str">
        <f>IF(BL91&lt;=$H91,"VÁLIDA","NO VÁLIDA")</f>
        <v>VÁLIDA</v>
      </c>
      <c r="BN91" s="227">
        <v>359063</v>
      </c>
      <c r="BO91" s="227">
        <f t="shared" si="148"/>
        <v>359063</v>
      </c>
      <c r="BP91" s="225" t="str">
        <f>IF(BO91&lt;=$H91,"VÁLIDA","NO VÁLIDA")</f>
        <v>VÁLIDA</v>
      </c>
    </row>
    <row r="92" spans="2:68" s="229" customFormat="1" ht="34.5" customHeight="1" x14ac:dyDescent="0.25">
      <c r="B92" s="93">
        <v>3262</v>
      </c>
      <c r="C92" s="94">
        <f>C91+0.01</f>
        <v>4.0499999999999989</v>
      </c>
      <c r="D92" s="95" t="str">
        <f>VLOOKUP(B92,[2]ITEMS!$B$4:$E$2466,2,FALSE)</f>
        <v>TEE HD EXTREMO LISO 10"x4" (Suministro e Instalación)</v>
      </c>
      <c r="E92" s="96" t="str">
        <f>VLOOKUP(B92,[2]ITEMS!$B$4:$E$2466,3,FALSE)</f>
        <v>UN</v>
      </c>
      <c r="F92" s="97">
        <v>4</v>
      </c>
      <c r="G92" s="98">
        <f>VLOOKUP(B92,[2]ITEMS!$B$4:$E$2466,4,FALSE)</f>
        <v>1139913</v>
      </c>
      <c r="H92" s="98">
        <f t="shared" si="128"/>
        <v>4559652</v>
      </c>
      <c r="I92" s="195">
        <v>1122151</v>
      </c>
      <c r="J92" s="227">
        <f t="shared" si="129"/>
        <v>4488604</v>
      </c>
      <c r="K92" s="225" t="str">
        <f>IF(J92&lt;=$H92,"VÁLIDA","NO VÁLIDA")</f>
        <v>VÁLIDA</v>
      </c>
      <c r="L92" s="195">
        <v>1127374</v>
      </c>
      <c r="M92" s="227">
        <f t="shared" si="130"/>
        <v>4509496</v>
      </c>
      <c r="N92" s="225" t="str">
        <f>IF(M92&lt;=$H92,"VÁLIDA","NO VÁLIDA")</f>
        <v>VÁLIDA</v>
      </c>
      <c r="O92" s="195">
        <v>1139913</v>
      </c>
      <c r="P92" s="227">
        <f t="shared" si="131"/>
        <v>4559652</v>
      </c>
      <c r="Q92" s="225" t="str">
        <f>IF(P92&lt;=$H92,"VÁLIDA","NO VÁLIDA")</f>
        <v>VÁLIDA</v>
      </c>
      <c r="R92" s="195">
        <v>1123156</v>
      </c>
      <c r="S92" s="227">
        <f t="shared" si="132"/>
        <v>4492624</v>
      </c>
      <c r="T92" s="225" t="str">
        <f>IF(S92&lt;=$H92,"VÁLIDA","NO VÁLIDA")</f>
        <v>VÁLIDA</v>
      </c>
      <c r="U92" s="195">
        <v>1139913</v>
      </c>
      <c r="V92" s="227">
        <f t="shared" si="133"/>
        <v>4559652</v>
      </c>
      <c r="W92" s="225" t="str">
        <f>IF(V92&lt;=$H92,"VÁLIDA","NO VÁLIDA")</f>
        <v>VÁLIDA</v>
      </c>
      <c r="X92" s="195">
        <v>1121674</v>
      </c>
      <c r="Y92" s="227">
        <f t="shared" si="134"/>
        <v>4486696</v>
      </c>
      <c r="Z92" s="225" t="str">
        <f>IF(Y92&lt;=$H92,"VÁLIDA","NO VÁLIDA")</f>
        <v>VÁLIDA</v>
      </c>
      <c r="AA92" s="195">
        <v>1127374</v>
      </c>
      <c r="AB92" s="227">
        <f t="shared" si="135"/>
        <v>4509496</v>
      </c>
      <c r="AC92" s="225" t="str">
        <f>IF(AB92&lt;=$H92,"VÁLIDA","NO VÁLIDA")</f>
        <v>VÁLIDA</v>
      </c>
      <c r="AD92" s="195">
        <v>1139913</v>
      </c>
      <c r="AE92" s="227">
        <f t="shared" si="136"/>
        <v>4559652</v>
      </c>
      <c r="AF92" s="225" t="str">
        <f>IF(AE92&lt;=$H92,"VÁLIDA","NO VÁLIDA")</f>
        <v>VÁLIDA</v>
      </c>
      <c r="AH92" s="227">
        <f t="shared" si="137"/>
        <v>0</v>
      </c>
      <c r="AI92" s="225" t="str">
        <f>IF(AH92&lt;=$H92,"VÁLIDA","NO VÁLIDA")</f>
        <v>VÁLIDA</v>
      </c>
      <c r="AJ92" s="227">
        <v>1060119</v>
      </c>
      <c r="AK92" s="227">
        <f t="shared" si="138"/>
        <v>4240476</v>
      </c>
      <c r="AL92" s="225" t="str">
        <f>IF(AK92&lt;=$H92,"VÁLIDA","NO VÁLIDA")</f>
        <v>VÁLIDA</v>
      </c>
      <c r="AM92" s="227">
        <v>1137063</v>
      </c>
      <c r="AN92" s="227">
        <f t="shared" si="139"/>
        <v>4548252</v>
      </c>
      <c r="AO92" s="225" t="str">
        <f>IF(AN92&lt;=$H92,"VÁLIDA","NO VÁLIDA")</f>
        <v>VÁLIDA</v>
      </c>
      <c r="AP92" s="227">
        <v>1139913</v>
      </c>
      <c r="AQ92" s="227">
        <f t="shared" si="140"/>
        <v>4559652</v>
      </c>
      <c r="AR92" s="225" t="str">
        <f>IF(AQ92&lt;=$H92,"VÁLIDA","NO VÁLIDA")</f>
        <v>VÁLIDA</v>
      </c>
      <c r="AS92" s="227">
        <v>1115000</v>
      </c>
      <c r="AT92" s="227">
        <f t="shared" si="141"/>
        <v>4460000</v>
      </c>
      <c r="AU92" s="225" t="str">
        <f>IF(AT92&lt;=$H92,"VÁLIDA","NO VÁLIDA")</f>
        <v>VÁLIDA</v>
      </c>
      <c r="AV92" s="227">
        <v>1514721.6</v>
      </c>
      <c r="AW92" s="227">
        <f t="shared" si="142"/>
        <v>6058886.4000000004</v>
      </c>
      <c r="AX92" s="225" t="str">
        <f>IF(AW92&lt;=$H92,"VÁLIDA","NO VÁLIDA")</f>
        <v>NO VÁLIDA</v>
      </c>
      <c r="AY92" s="227">
        <v>1139913</v>
      </c>
      <c r="AZ92" s="227">
        <f t="shared" si="143"/>
        <v>4559652</v>
      </c>
      <c r="BA92" s="225" t="str">
        <f>IF(AZ92&lt;=$H92,"VÁLIDA","NO VÁLIDA")</f>
        <v>VÁLIDA</v>
      </c>
      <c r="BB92" s="227">
        <v>1093059.7783534981</v>
      </c>
      <c r="BC92" s="227">
        <f t="shared" si="144"/>
        <v>4372239.1134139923</v>
      </c>
      <c r="BD92" s="225" t="str">
        <f>IF(BC92&lt;=$H92,"VÁLIDA","NO VÁLIDA")</f>
        <v>VÁLIDA</v>
      </c>
      <c r="BE92" s="227">
        <v>1115291</v>
      </c>
      <c r="BF92" s="227">
        <f t="shared" si="145"/>
        <v>4461164</v>
      </c>
      <c r="BG92" s="225" t="str">
        <f>IF(BF92&lt;=$H92,"VÁLIDA","NO VÁLIDA")</f>
        <v>VÁLIDA</v>
      </c>
      <c r="BH92" s="227">
        <v>1128513.8699999999</v>
      </c>
      <c r="BI92" s="227">
        <f t="shared" si="146"/>
        <v>4514055.4799999995</v>
      </c>
      <c r="BJ92" s="225" t="str">
        <f>IF(BI92&lt;=$H92,"VÁLIDA","NO VÁLIDA")</f>
        <v>VÁLIDA</v>
      </c>
      <c r="BK92" s="227">
        <v>1130794</v>
      </c>
      <c r="BL92" s="227">
        <f t="shared" si="147"/>
        <v>4523176</v>
      </c>
      <c r="BM92" s="225" t="str">
        <f>IF(BL92&lt;=$H92,"VÁLIDA","NO VÁLIDA")</f>
        <v>VÁLIDA</v>
      </c>
      <c r="BN92" s="227">
        <v>1119554</v>
      </c>
      <c r="BO92" s="227">
        <f t="shared" si="148"/>
        <v>4478216</v>
      </c>
      <c r="BP92" s="225" t="str">
        <f>IF(BO92&lt;=$H92,"VÁLIDA","NO VÁLIDA")</f>
        <v>VÁLIDA</v>
      </c>
    </row>
    <row r="93" spans="2:68" s="230" customFormat="1" ht="12" x14ac:dyDescent="0.25">
      <c r="B93" s="116"/>
      <c r="C93" s="132"/>
      <c r="D93" s="128" t="s">
        <v>136</v>
      </c>
      <c r="E93" s="129"/>
      <c r="F93" s="130"/>
      <c r="G93" s="131"/>
      <c r="H93" s="131"/>
      <c r="I93" s="194"/>
      <c r="J93" s="227"/>
      <c r="K93" s="225"/>
      <c r="L93" s="194"/>
      <c r="M93" s="227"/>
      <c r="N93" s="225"/>
      <c r="O93" s="194"/>
      <c r="P93" s="227"/>
      <c r="Q93" s="225"/>
      <c r="R93" s="194"/>
      <c r="S93" s="227"/>
      <c r="T93" s="225"/>
      <c r="U93" s="194"/>
      <c r="V93" s="227"/>
      <c r="W93" s="225"/>
      <c r="X93" s="194"/>
      <c r="Y93" s="227"/>
      <c r="Z93" s="225"/>
      <c r="AA93" s="194"/>
      <c r="AB93" s="227"/>
      <c r="AC93" s="225"/>
      <c r="AD93" s="194"/>
      <c r="AE93" s="227"/>
      <c r="AF93" s="225"/>
      <c r="AH93" s="227"/>
      <c r="AI93" s="225"/>
      <c r="AJ93" s="227"/>
      <c r="AK93" s="227"/>
      <c r="AL93" s="225"/>
      <c r="AM93" s="227"/>
      <c r="AN93" s="227"/>
      <c r="AO93" s="225"/>
      <c r="AP93" s="227"/>
      <c r="AQ93" s="227"/>
      <c r="AR93" s="225"/>
      <c r="AS93" s="227"/>
      <c r="AT93" s="227"/>
      <c r="AU93" s="225"/>
      <c r="AV93" s="227"/>
      <c r="AW93" s="227"/>
      <c r="AX93" s="225"/>
      <c r="AY93" s="227"/>
      <c r="AZ93" s="227"/>
      <c r="BA93" s="225"/>
      <c r="BB93" s="227"/>
      <c r="BC93" s="227"/>
      <c r="BD93" s="225"/>
      <c r="BE93" s="227"/>
      <c r="BF93" s="227"/>
      <c r="BG93" s="225"/>
      <c r="BH93" s="227"/>
      <c r="BI93" s="227"/>
      <c r="BJ93" s="225"/>
      <c r="BK93" s="227"/>
      <c r="BL93" s="227"/>
      <c r="BM93" s="225"/>
      <c r="BN93" s="227"/>
      <c r="BO93" s="227"/>
      <c r="BP93" s="225"/>
    </row>
    <row r="94" spans="2:68" s="167" customFormat="1" ht="24" x14ac:dyDescent="0.25">
      <c r="B94" s="103"/>
      <c r="C94" s="94">
        <f>C92+0.01</f>
        <v>4.0599999999999987</v>
      </c>
      <c r="D94" s="95" t="s">
        <v>137</v>
      </c>
      <c r="E94" s="96" t="s">
        <v>88</v>
      </c>
      <c r="F94" s="97">
        <v>3</v>
      </c>
      <c r="G94" s="98">
        <v>1193832</v>
      </c>
      <c r="H94" s="98">
        <f t="shared" si="128"/>
        <v>3581496</v>
      </c>
      <c r="I94" s="191">
        <v>1175230</v>
      </c>
      <c r="J94" s="227">
        <f t="shared" ref="J94" si="149">I94*F94</f>
        <v>3525690</v>
      </c>
      <c r="K94" s="225" t="str">
        <f>IF(J94&lt;=$H94,"VÁLIDA","NO VÁLIDA")</f>
        <v>VÁLIDA</v>
      </c>
      <c r="L94" s="191">
        <v>1180700</v>
      </c>
      <c r="M94" s="227">
        <f>L94*$F94</f>
        <v>3542100</v>
      </c>
      <c r="N94" s="225" t="str">
        <f>IF(M94&lt;=$H94,"VÁLIDA","NO VÁLIDA")</f>
        <v>VÁLIDA</v>
      </c>
      <c r="O94" s="191">
        <v>1193832</v>
      </c>
      <c r="P94" s="227">
        <f>O94*$F94</f>
        <v>3581496</v>
      </c>
      <c r="Q94" s="225" t="str">
        <f>IF(P94&lt;=$H94,"VÁLIDA","NO VÁLIDA")</f>
        <v>VÁLIDA</v>
      </c>
      <c r="R94" s="191">
        <v>1176283</v>
      </c>
      <c r="S94" s="227">
        <f>R94*$F94</f>
        <v>3528849</v>
      </c>
      <c r="T94" s="225" t="str">
        <f>IF(S94&lt;=$H94,"VÁLIDA","NO VÁLIDA")</f>
        <v>VÁLIDA</v>
      </c>
      <c r="U94" s="191">
        <v>1193832</v>
      </c>
      <c r="V94" s="227">
        <f>U94*$F94</f>
        <v>3581496</v>
      </c>
      <c r="W94" s="225" t="str">
        <f>IF(V94&lt;=$H94,"VÁLIDA","NO VÁLIDA")</f>
        <v>VÁLIDA</v>
      </c>
      <c r="X94" s="191">
        <v>1174730</v>
      </c>
      <c r="Y94" s="227">
        <f>X94*$F94</f>
        <v>3524190</v>
      </c>
      <c r="Z94" s="225" t="str">
        <f>IF(Y94&lt;=$H94,"VÁLIDA","NO VÁLIDA")</f>
        <v>VÁLIDA</v>
      </c>
      <c r="AA94" s="191">
        <v>1180700</v>
      </c>
      <c r="AB94" s="227">
        <f>AA94*$F94</f>
        <v>3542100</v>
      </c>
      <c r="AC94" s="225" t="str">
        <f>IF(AB94&lt;=$H94,"VÁLIDA","NO VÁLIDA")</f>
        <v>VÁLIDA</v>
      </c>
      <c r="AD94" s="191">
        <v>1193832</v>
      </c>
      <c r="AE94" s="227">
        <f>AD94*$F94</f>
        <v>3581496</v>
      </c>
      <c r="AF94" s="225" t="str">
        <f>IF(AE94&lt;=$H94,"VÁLIDA","NO VÁLIDA")</f>
        <v>VÁLIDA</v>
      </c>
      <c r="AH94" s="227">
        <f>AG94*$F94</f>
        <v>0</v>
      </c>
      <c r="AI94" s="225" t="str">
        <f>IF(AH94&lt;=$H94,"VÁLIDA","NO VÁLIDA")</f>
        <v>VÁLIDA</v>
      </c>
      <c r="AJ94" s="227">
        <v>1110264</v>
      </c>
      <c r="AK94" s="227">
        <f>AJ94*$F94</f>
        <v>3330792</v>
      </c>
      <c r="AL94" s="225" t="str">
        <f>IF(AK94&lt;=$H94,"VÁLIDA","NO VÁLIDA")</f>
        <v>VÁLIDA</v>
      </c>
      <c r="AM94" s="227">
        <v>1190847</v>
      </c>
      <c r="AN94" s="227">
        <f>AM94*$F94</f>
        <v>3572541</v>
      </c>
      <c r="AO94" s="225" t="str">
        <f>IF(AN94&lt;=$H94,"VÁLIDA","NO VÁLIDA")</f>
        <v>VÁLIDA</v>
      </c>
      <c r="AP94" s="227">
        <v>1193832</v>
      </c>
      <c r="AQ94" s="227">
        <f>AP94*$F94</f>
        <v>3581496</v>
      </c>
      <c r="AR94" s="225" t="str">
        <f>IF(AQ94&lt;=$H94,"VÁLIDA","NO VÁLIDA")</f>
        <v>VÁLIDA</v>
      </c>
      <c r="AS94" s="227">
        <v>1168000</v>
      </c>
      <c r="AT94" s="227">
        <f>AS94*$F94</f>
        <v>3504000</v>
      </c>
      <c r="AU94" s="225" t="str">
        <f>IF(AT94&lt;=$H94,"VÁLIDA","NO VÁLIDA")</f>
        <v>VÁLIDA</v>
      </c>
      <c r="AV94" s="227">
        <v>1586370.15</v>
      </c>
      <c r="AW94" s="227">
        <f>AV94*$F94</f>
        <v>4759110.4499999993</v>
      </c>
      <c r="AX94" s="225" t="str">
        <f>IF(AW94&lt;=$H94,"VÁLIDA","NO VÁLIDA")</f>
        <v>NO VÁLIDA</v>
      </c>
      <c r="AY94" s="227">
        <v>1193832</v>
      </c>
      <c r="AZ94" s="227">
        <f>AY94*$F94</f>
        <v>3581496</v>
      </c>
      <c r="BA94" s="225" t="str">
        <f>IF(AZ94&lt;=$H94,"VÁLIDA","NO VÁLIDA")</f>
        <v>VÁLIDA</v>
      </c>
      <c r="BB94" s="227">
        <v>1144762.575136272</v>
      </c>
      <c r="BC94" s="227">
        <f>BB94*$F94</f>
        <v>3434287.7254088158</v>
      </c>
      <c r="BD94" s="225" t="str">
        <f>IF(BC94&lt;=$H94,"VÁLIDA","NO VÁLIDA")</f>
        <v>VÁLIDA</v>
      </c>
      <c r="BE94" s="227">
        <v>1168045</v>
      </c>
      <c r="BF94" s="227">
        <f>BE94*$F94</f>
        <v>3504135</v>
      </c>
      <c r="BG94" s="225" t="str">
        <f>IF(BF94&lt;=$H94,"VÁLIDA","NO VÁLIDA")</f>
        <v>VÁLIDA</v>
      </c>
      <c r="BH94" s="227">
        <v>1181893.68</v>
      </c>
      <c r="BI94" s="227">
        <f>BH94*$F94</f>
        <v>3545681.04</v>
      </c>
      <c r="BJ94" s="225" t="str">
        <f>IF(BI94&lt;=$H94,"VÁLIDA","NO VÁLIDA")</f>
        <v>VÁLIDA</v>
      </c>
      <c r="BK94" s="227">
        <v>1184281</v>
      </c>
      <c r="BL94" s="227">
        <f>BK94*$F94</f>
        <v>3552843</v>
      </c>
      <c r="BM94" s="225" t="str">
        <f>IF(BL94&lt;=$H94,"VÁLIDA","NO VÁLIDA")</f>
        <v>VÁLIDA</v>
      </c>
      <c r="BN94" s="227">
        <v>1172510</v>
      </c>
      <c r="BO94" s="227">
        <f>BN94*$F94</f>
        <v>3517530</v>
      </c>
      <c r="BP94" s="225" t="str">
        <f>IF(BO94&lt;=$H94,"VÁLIDA","NO VÁLIDA")</f>
        <v>VÁLIDA</v>
      </c>
    </row>
    <row r="95" spans="2:68" s="230" customFormat="1" ht="12" x14ac:dyDescent="0.25">
      <c r="B95" s="116"/>
      <c r="C95" s="132"/>
      <c r="D95" s="128" t="s">
        <v>138</v>
      </c>
      <c r="E95" s="129"/>
      <c r="F95" s="130"/>
      <c r="G95" s="131"/>
      <c r="H95" s="131"/>
      <c r="I95" s="194"/>
      <c r="J95" s="227"/>
      <c r="K95" s="225"/>
      <c r="L95" s="194"/>
      <c r="M95" s="227"/>
      <c r="N95" s="225"/>
      <c r="O95" s="194"/>
      <c r="P95" s="227"/>
      <c r="Q95" s="225"/>
      <c r="R95" s="194"/>
      <c r="S95" s="227"/>
      <c r="T95" s="225"/>
      <c r="U95" s="194"/>
      <c r="V95" s="227"/>
      <c r="W95" s="225"/>
      <c r="X95" s="194"/>
      <c r="Y95" s="227"/>
      <c r="Z95" s="225"/>
      <c r="AA95" s="194"/>
      <c r="AB95" s="227"/>
      <c r="AC95" s="225"/>
      <c r="AD95" s="194"/>
      <c r="AE95" s="227"/>
      <c r="AF95" s="225"/>
      <c r="AH95" s="227"/>
      <c r="AI95" s="225"/>
      <c r="AJ95" s="227"/>
      <c r="AK95" s="227"/>
      <c r="AL95" s="225"/>
      <c r="AM95" s="227"/>
      <c r="AN95" s="227"/>
      <c r="AO95" s="225"/>
      <c r="AP95" s="227"/>
      <c r="AQ95" s="227"/>
      <c r="AR95" s="225"/>
      <c r="AS95" s="227"/>
      <c r="AT95" s="227"/>
      <c r="AU95" s="225"/>
      <c r="AV95" s="227"/>
      <c r="AW95" s="227"/>
      <c r="AX95" s="225"/>
      <c r="AY95" s="227"/>
      <c r="AZ95" s="227"/>
      <c r="BA95" s="225"/>
      <c r="BB95" s="227"/>
      <c r="BC95" s="227"/>
      <c r="BD95" s="225"/>
      <c r="BE95" s="227"/>
      <c r="BF95" s="227"/>
      <c r="BG95" s="225"/>
      <c r="BH95" s="227"/>
      <c r="BI95" s="227"/>
      <c r="BJ95" s="225"/>
      <c r="BK95" s="227"/>
      <c r="BL95" s="227"/>
      <c r="BM95" s="225"/>
      <c r="BN95" s="227"/>
      <c r="BO95" s="227"/>
      <c r="BP95" s="225"/>
    </row>
    <row r="96" spans="2:68" s="167" customFormat="1" ht="12" x14ac:dyDescent="0.25">
      <c r="B96" s="103"/>
      <c r="C96" s="94">
        <f>C94+0.01</f>
        <v>4.0699999999999985</v>
      </c>
      <c r="D96" s="95" t="s">
        <v>139</v>
      </c>
      <c r="E96" s="96" t="s">
        <v>88</v>
      </c>
      <c r="F96" s="97">
        <v>11</v>
      </c>
      <c r="G96" s="98">
        <v>972058</v>
      </c>
      <c r="H96" s="98">
        <f t="shared" si="128"/>
        <v>10692638</v>
      </c>
      <c r="I96" s="191">
        <v>956912</v>
      </c>
      <c r="J96" s="227">
        <f t="shared" ref="J96:J101" si="150">I96*F96</f>
        <v>10526032</v>
      </c>
      <c r="K96" s="225" t="str">
        <f t="shared" ref="K96:K101" si="151">IF(J96&lt;=$H96,"VÁLIDA","NO VÁLIDA")</f>
        <v>VÁLIDA</v>
      </c>
      <c r="L96" s="191">
        <v>961365</v>
      </c>
      <c r="M96" s="227">
        <f t="shared" ref="M96:M128" si="152">L96*$F96</f>
        <v>10575015</v>
      </c>
      <c r="N96" s="225" t="str">
        <f t="shared" ref="N96:N101" si="153">IF(M96&lt;=$H96,"VÁLIDA","NO VÁLIDA")</f>
        <v>VÁLIDA</v>
      </c>
      <c r="O96" s="191">
        <v>972058</v>
      </c>
      <c r="P96" s="227">
        <f t="shared" ref="P96:P128" si="154">O96*$F96</f>
        <v>10692638</v>
      </c>
      <c r="Q96" s="225" t="str">
        <f t="shared" ref="Q96:Q101" si="155">IF(P96&lt;=$H96,"VÁLIDA","NO VÁLIDA")</f>
        <v>VÁLIDA</v>
      </c>
      <c r="R96" s="191">
        <v>957769</v>
      </c>
      <c r="S96" s="227">
        <f t="shared" ref="S96:S128" si="156">R96*$F96</f>
        <v>10535459</v>
      </c>
      <c r="T96" s="225" t="str">
        <f t="shared" ref="T96:T101" si="157">IF(S96&lt;=$H96,"VÁLIDA","NO VÁLIDA")</f>
        <v>VÁLIDA</v>
      </c>
      <c r="U96" s="191">
        <v>972058</v>
      </c>
      <c r="V96" s="227">
        <f t="shared" ref="V96:V128" si="158">U96*$F96</f>
        <v>10692638</v>
      </c>
      <c r="W96" s="225" t="str">
        <f t="shared" ref="W96:W101" si="159">IF(V96&lt;=$H96,"VÁLIDA","NO VÁLIDA")</f>
        <v>VÁLIDA</v>
      </c>
      <c r="X96" s="191">
        <v>956505</v>
      </c>
      <c r="Y96" s="227">
        <f t="shared" ref="Y96:Y128" si="160">X96*$F96</f>
        <v>10521555</v>
      </c>
      <c r="Z96" s="225" t="str">
        <f t="shared" ref="Z96:Z101" si="161">IF(Y96&lt;=$H96,"VÁLIDA","NO VÁLIDA")</f>
        <v>VÁLIDA</v>
      </c>
      <c r="AA96" s="191">
        <v>961365</v>
      </c>
      <c r="AB96" s="227">
        <f t="shared" ref="AB96:AB128" si="162">AA96*$F96</f>
        <v>10575015</v>
      </c>
      <c r="AC96" s="225" t="str">
        <f t="shared" ref="AC96:AC101" si="163">IF(AB96&lt;=$H96,"VÁLIDA","NO VÁLIDA")</f>
        <v>VÁLIDA</v>
      </c>
      <c r="AD96" s="191">
        <v>972058</v>
      </c>
      <c r="AE96" s="227">
        <f t="shared" ref="AE96:AE128" si="164">AD96*$F96</f>
        <v>10692638</v>
      </c>
      <c r="AF96" s="225" t="str">
        <f t="shared" ref="AF96:AF101" si="165">IF(AE96&lt;=$H96,"VÁLIDA","NO VÁLIDA")</f>
        <v>VÁLIDA</v>
      </c>
      <c r="AH96" s="227">
        <f t="shared" ref="AH96:AH128" si="166">AG96*$F96</f>
        <v>0</v>
      </c>
      <c r="AI96" s="225" t="str">
        <f t="shared" ref="AI96:AI101" si="167">IF(AH96&lt;=$H96,"VÁLIDA","NO VÁLIDA")</f>
        <v>VÁLIDA</v>
      </c>
      <c r="AJ96" s="227">
        <v>904014</v>
      </c>
      <c r="AK96" s="227">
        <f t="shared" ref="AK96:AK128" si="168">AJ96*$F96</f>
        <v>9944154</v>
      </c>
      <c r="AL96" s="225" t="str">
        <f t="shared" ref="AL96:AL101" si="169">IF(AK96&lt;=$H96,"VÁLIDA","NO VÁLIDA")</f>
        <v>VÁLIDA</v>
      </c>
      <c r="AM96" s="227">
        <v>969628</v>
      </c>
      <c r="AN96" s="227">
        <f t="shared" ref="AN96:AN128" si="170">AM96*$F96</f>
        <v>10665908</v>
      </c>
      <c r="AO96" s="225" t="str">
        <f t="shared" ref="AO96:AO101" si="171">IF(AN96&lt;=$H96,"VÁLIDA","NO VÁLIDA")</f>
        <v>VÁLIDA</v>
      </c>
      <c r="AP96" s="227">
        <v>972058</v>
      </c>
      <c r="AQ96" s="227">
        <f t="shared" ref="AQ96:AQ128" si="172">AP96*$F96</f>
        <v>10692638</v>
      </c>
      <c r="AR96" s="225" t="str">
        <f t="shared" ref="AR96:AR101" si="173">IF(AQ96&lt;=$H96,"VÁLIDA","NO VÁLIDA")</f>
        <v>VÁLIDA</v>
      </c>
      <c r="AS96" s="227">
        <v>951000</v>
      </c>
      <c r="AT96" s="227">
        <f t="shared" ref="AT96:AT128" si="174">AS96*$F96</f>
        <v>10461000</v>
      </c>
      <c r="AU96" s="225" t="str">
        <f t="shared" ref="AU96:AU101" si="175">IF(AT96&lt;=$H96,"VÁLIDA","NO VÁLIDA")</f>
        <v>VÁLIDA</v>
      </c>
      <c r="AV96" s="227">
        <v>1291675.95</v>
      </c>
      <c r="AW96" s="227">
        <f t="shared" ref="AW96:AW128" si="176">AV96*$F96</f>
        <v>14208435.449999999</v>
      </c>
      <c r="AX96" s="225" t="str">
        <f t="shared" ref="AX96:AX101" si="177">IF(AW96&lt;=$H96,"VÁLIDA","NO VÁLIDA")</f>
        <v>NO VÁLIDA</v>
      </c>
      <c r="AY96" s="227">
        <v>972058</v>
      </c>
      <c r="AZ96" s="227">
        <f t="shared" ref="AZ96:AZ128" si="178">AY96*$F96</f>
        <v>10692638</v>
      </c>
      <c r="BA96" s="225" t="str">
        <f t="shared" ref="BA96:BA101" si="179">IF(AZ96&lt;=$H96,"VÁLIDA","NO VÁLIDA")</f>
        <v>VÁLIDA</v>
      </c>
      <c r="BB96" s="227">
        <v>932104.03076966794</v>
      </c>
      <c r="BC96" s="227">
        <f t="shared" ref="BC96:BC128" si="180">BB96*$F96</f>
        <v>10253144.338466348</v>
      </c>
      <c r="BD96" s="225" t="str">
        <f t="shared" ref="BD96:BD101" si="181">IF(BC96&lt;=$H96,"VÁLIDA","NO VÁLIDA")</f>
        <v>VÁLIDA</v>
      </c>
      <c r="BE96" s="227">
        <v>951062</v>
      </c>
      <c r="BF96" s="227">
        <f t="shared" ref="BF96:BF128" si="182">BE96*$F96</f>
        <v>10461682</v>
      </c>
      <c r="BG96" s="225" t="str">
        <f t="shared" ref="BG96:BG101" si="183">IF(BF96&lt;=$H96,"VÁLIDA","NO VÁLIDA")</f>
        <v>VÁLIDA</v>
      </c>
      <c r="BH96" s="227">
        <v>962337.42</v>
      </c>
      <c r="BI96" s="227">
        <f t="shared" ref="BI96:BI128" si="184">BH96*$F96</f>
        <v>10585711.620000001</v>
      </c>
      <c r="BJ96" s="225" t="str">
        <f t="shared" ref="BJ96:BJ101" si="185">IF(BI96&lt;=$H96,"VÁLIDA","NO VÁLIDA")</f>
        <v>VÁLIDA</v>
      </c>
      <c r="BK96" s="227">
        <v>964282</v>
      </c>
      <c r="BL96" s="227">
        <f t="shared" ref="BL96:BL128" si="186">BK96*$F96</f>
        <v>10607102</v>
      </c>
      <c r="BM96" s="225" t="str">
        <f t="shared" ref="BM96:BM101" si="187">IF(BL96&lt;=$H96,"VÁLIDA","NO VÁLIDA")</f>
        <v>VÁLIDA</v>
      </c>
      <c r="BN96" s="227">
        <v>954697</v>
      </c>
      <c r="BO96" s="227">
        <f t="shared" ref="BO96:BO128" si="188">BN96*$F96</f>
        <v>10501667</v>
      </c>
      <c r="BP96" s="225" t="str">
        <f t="shared" ref="BP96:BP101" si="189">IF(BO96&lt;=$H96,"VÁLIDA","NO VÁLIDA")</f>
        <v>VÁLIDA</v>
      </c>
    </row>
    <row r="97" spans="2:68" s="167" customFormat="1" ht="12" x14ac:dyDescent="0.25">
      <c r="B97" s="103"/>
      <c r="C97" s="94"/>
      <c r="D97" s="95" t="s">
        <v>140</v>
      </c>
      <c r="E97" s="96" t="s">
        <v>88</v>
      </c>
      <c r="F97" s="97">
        <v>50</v>
      </c>
      <c r="G97" s="98">
        <v>695311.15</v>
      </c>
      <c r="H97" s="98">
        <f t="shared" si="128"/>
        <v>34765557.5</v>
      </c>
      <c r="I97" s="191">
        <v>684477</v>
      </c>
      <c r="J97" s="227">
        <f t="shared" si="150"/>
        <v>34223850</v>
      </c>
      <c r="K97" s="225" t="str">
        <f t="shared" si="151"/>
        <v>VÁLIDA</v>
      </c>
      <c r="L97" s="191">
        <v>687663</v>
      </c>
      <c r="M97" s="227">
        <f t="shared" si="152"/>
        <v>34383150</v>
      </c>
      <c r="N97" s="225" t="str">
        <f t="shared" si="153"/>
        <v>VÁLIDA</v>
      </c>
      <c r="O97" s="191">
        <v>695311</v>
      </c>
      <c r="P97" s="227">
        <f t="shared" si="154"/>
        <v>34765550</v>
      </c>
      <c r="Q97" s="225" t="str">
        <f t="shared" si="155"/>
        <v>VÁLIDA</v>
      </c>
      <c r="R97" s="191">
        <v>685090</v>
      </c>
      <c r="S97" s="227">
        <f t="shared" si="156"/>
        <v>34254500</v>
      </c>
      <c r="T97" s="225" t="str">
        <f t="shared" si="157"/>
        <v>VÁLIDA</v>
      </c>
      <c r="U97" s="191">
        <v>695311.15</v>
      </c>
      <c r="V97" s="227">
        <f t="shared" si="158"/>
        <v>34765557.5</v>
      </c>
      <c r="W97" s="225" t="str">
        <f t="shared" si="159"/>
        <v>VÁLIDA</v>
      </c>
      <c r="X97" s="191">
        <v>684186</v>
      </c>
      <c r="Y97" s="227">
        <f t="shared" si="160"/>
        <v>34209300</v>
      </c>
      <c r="Z97" s="225" t="str">
        <f t="shared" si="161"/>
        <v>VÁLIDA</v>
      </c>
      <c r="AA97" s="191">
        <v>687663</v>
      </c>
      <c r="AB97" s="227">
        <f t="shared" si="162"/>
        <v>34383150</v>
      </c>
      <c r="AC97" s="225" t="str">
        <f t="shared" si="163"/>
        <v>VÁLIDA</v>
      </c>
      <c r="AD97" s="191">
        <v>695311.15</v>
      </c>
      <c r="AE97" s="227">
        <f t="shared" si="164"/>
        <v>34765557.5</v>
      </c>
      <c r="AF97" s="225" t="str">
        <f t="shared" si="165"/>
        <v>VÁLIDA</v>
      </c>
      <c r="AH97" s="227">
        <f t="shared" si="166"/>
        <v>0</v>
      </c>
      <c r="AI97" s="225" t="str">
        <f t="shared" si="167"/>
        <v>VÁLIDA</v>
      </c>
      <c r="AJ97" s="227">
        <v>646639</v>
      </c>
      <c r="AK97" s="227">
        <f t="shared" si="168"/>
        <v>32331950</v>
      </c>
      <c r="AL97" s="225" t="str">
        <f t="shared" si="169"/>
        <v>VÁLIDA</v>
      </c>
      <c r="AM97" s="227">
        <v>693573</v>
      </c>
      <c r="AN97" s="227">
        <f t="shared" si="170"/>
        <v>34678650</v>
      </c>
      <c r="AO97" s="225" t="str">
        <f t="shared" si="171"/>
        <v>VÁLIDA</v>
      </c>
      <c r="AP97" s="227">
        <v>695311</v>
      </c>
      <c r="AQ97" s="227">
        <f t="shared" si="172"/>
        <v>34765550</v>
      </c>
      <c r="AR97" s="225" t="str">
        <f t="shared" si="173"/>
        <v>VÁLIDA</v>
      </c>
      <c r="AS97" s="227">
        <v>680000</v>
      </c>
      <c r="AT97" s="227">
        <f t="shared" si="174"/>
        <v>34000000</v>
      </c>
      <c r="AU97" s="225" t="str">
        <f t="shared" si="175"/>
        <v>VÁLIDA</v>
      </c>
      <c r="AV97" s="227">
        <v>923933.25</v>
      </c>
      <c r="AW97" s="227">
        <f t="shared" si="176"/>
        <v>46196662.5</v>
      </c>
      <c r="AX97" s="225" t="str">
        <f t="shared" si="177"/>
        <v>NO VÁLIDA</v>
      </c>
      <c r="AY97" s="227">
        <v>695311</v>
      </c>
      <c r="AZ97" s="227">
        <f t="shared" si="178"/>
        <v>34765550</v>
      </c>
      <c r="BA97" s="225" t="str">
        <f t="shared" si="179"/>
        <v>VÁLIDA</v>
      </c>
      <c r="BB97" s="227">
        <v>666732.15544143796</v>
      </c>
      <c r="BC97" s="227">
        <f t="shared" si="180"/>
        <v>33336607.772071898</v>
      </c>
      <c r="BD97" s="225" t="str">
        <f t="shared" si="181"/>
        <v>VÁLIDA</v>
      </c>
      <c r="BE97" s="227">
        <v>680292</v>
      </c>
      <c r="BF97" s="227">
        <f t="shared" si="182"/>
        <v>34014600</v>
      </c>
      <c r="BG97" s="225" t="str">
        <f t="shared" si="183"/>
        <v>VÁLIDA</v>
      </c>
      <c r="BH97" s="227">
        <v>688358.03850000002</v>
      </c>
      <c r="BI97" s="227">
        <f t="shared" si="184"/>
        <v>34417901.925000004</v>
      </c>
      <c r="BJ97" s="225" t="str">
        <f t="shared" si="185"/>
        <v>VÁLIDA</v>
      </c>
      <c r="BK97" s="227">
        <v>689749</v>
      </c>
      <c r="BL97" s="227">
        <f t="shared" si="186"/>
        <v>34487450</v>
      </c>
      <c r="BM97" s="225" t="str">
        <f t="shared" si="187"/>
        <v>VÁLIDA</v>
      </c>
      <c r="BN97" s="227">
        <v>682892</v>
      </c>
      <c r="BO97" s="227">
        <f t="shared" si="188"/>
        <v>34144600</v>
      </c>
      <c r="BP97" s="225" t="str">
        <f t="shared" si="189"/>
        <v>VÁLIDA</v>
      </c>
    </row>
    <row r="98" spans="2:68" s="167" customFormat="1" ht="12" x14ac:dyDescent="0.25">
      <c r="B98" s="103">
        <v>4559</v>
      </c>
      <c r="C98" s="94">
        <f>C96+0.01</f>
        <v>4.0799999999999983</v>
      </c>
      <c r="D98" s="95" t="s">
        <v>141</v>
      </c>
      <c r="E98" s="96" t="s">
        <v>84</v>
      </c>
      <c r="F98" s="97">
        <v>75</v>
      </c>
      <c r="G98" s="98">
        <v>233232</v>
      </c>
      <c r="H98" s="98">
        <f t="shared" si="128"/>
        <v>17492400</v>
      </c>
      <c r="I98" s="191">
        <v>229598</v>
      </c>
      <c r="J98" s="227">
        <f t="shared" si="150"/>
        <v>17219850</v>
      </c>
      <c r="K98" s="225" t="str">
        <f t="shared" si="151"/>
        <v>VÁLIDA</v>
      </c>
      <c r="L98" s="191">
        <v>230666</v>
      </c>
      <c r="M98" s="227">
        <f t="shared" si="152"/>
        <v>17299950</v>
      </c>
      <c r="N98" s="225" t="str">
        <f t="shared" si="153"/>
        <v>VÁLIDA</v>
      </c>
      <c r="O98" s="191">
        <v>233232</v>
      </c>
      <c r="P98" s="227">
        <f t="shared" si="154"/>
        <v>17492400</v>
      </c>
      <c r="Q98" s="225" t="str">
        <f t="shared" si="155"/>
        <v>VÁLIDA</v>
      </c>
      <c r="R98" s="191">
        <v>229803</v>
      </c>
      <c r="S98" s="227">
        <f t="shared" si="156"/>
        <v>17235225</v>
      </c>
      <c r="T98" s="225" t="str">
        <f t="shared" si="157"/>
        <v>VÁLIDA</v>
      </c>
      <c r="U98" s="191">
        <v>233232</v>
      </c>
      <c r="V98" s="227">
        <f t="shared" si="158"/>
        <v>17492400</v>
      </c>
      <c r="W98" s="225" t="str">
        <f t="shared" si="159"/>
        <v>VÁLIDA</v>
      </c>
      <c r="X98" s="191">
        <v>229500</v>
      </c>
      <c r="Y98" s="227">
        <f t="shared" si="160"/>
        <v>17212500</v>
      </c>
      <c r="Z98" s="225" t="str">
        <f t="shared" si="161"/>
        <v>VÁLIDA</v>
      </c>
      <c r="AA98" s="191">
        <v>230666</v>
      </c>
      <c r="AB98" s="227">
        <f t="shared" si="162"/>
        <v>17299950</v>
      </c>
      <c r="AC98" s="225" t="str">
        <f t="shared" si="163"/>
        <v>VÁLIDA</v>
      </c>
      <c r="AD98" s="191">
        <v>233232</v>
      </c>
      <c r="AE98" s="227">
        <f t="shared" si="164"/>
        <v>17492400</v>
      </c>
      <c r="AF98" s="225" t="str">
        <f t="shared" si="165"/>
        <v>VÁLIDA</v>
      </c>
      <c r="AH98" s="227">
        <f t="shared" si="166"/>
        <v>0</v>
      </c>
      <c r="AI98" s="225" t="str">
        <f t="shared" si="167"/>
        <v>VÁLIDA</v>
      </c>
      <c r="AJ98" s="227">
        <v>216906</v>
      </c>
      <c r="AK98" s="227">
        <f t="shared" si="168"/>
        <v>16267950</v>
      </c>
      <c r="AL98" s="225" t="str">
        <f t="shared" si="169"/>
        <v>VÁLIDA</v>
      </c>
      <c r="AM98" s="227">
        <v>232649</v>
      </c>
      <c r="AN98" s="227">
        <f t="shared" si="170"/>
        <v>17448675</v>
      </c>
      <c r="AO98" s="225" t="str">
        <f t="shared" si="171"/>
        <v>VÁLIDA</v>
      </c>
      <c r="AP98" s="227">
        <v>233232</v>
      </c>
      <c r="AQ98" s="227">
        <f t="shared" si="172"/>
        <v>17492400</v>
      </c>
      <c r="AR98" s="225" t="str">
        <f t="shared" si="173"/>
        <v>VÁLIDA</v>
      </c>
      <c r="AS98" s="227">
        <v>228000</v>
      </c>
      <c r="AT98" s="227">
        <f t="shared" si="174"/>
        <v>17100000</v>
      </c>
      <c r="AU98" s="225" t="str">
        <f t="shared" si="175"/>
        <v>VÁLIDA</v>
      </c>
      <c r="AV98" s="227">
        <v>309919.5</v>
      </c>
      <c r="AW98" s="227">
        <f t="shared" si="176"/>
        <v>23243962.5</v>
      </c>
      <c r="AX98" s="225" t="str">
        <f t="shared" si="177"/>
        <v>NO VÁLIDA</v>
      </c>
      <c r="AY98" s="227">
        <v>233232</v>
      </c>
      <c r="AZ98" s="227">
        <f t="shared" si="178"/>
        <v>17492400</v>
      </c>
      <c r="BA98" s="225" t="str">
        <f t="shared" si="179"/>
        <v>VÁLIDA</v>
      </c>
      <c r="BB98" s="227">
        <v>223645.59244867199</v>
      </c>
      <c r="BC98" s="227">
        <f t="shared" si="180"/>
        <v>16773419.433650399</v>
      </c>
      <c r="BD98" s="225" t="str">
        <f t="shared" si="181"/>
        <v>VÁLIDA</v>
      </c>
      <c r="BE98" s="227">
        <v>228194</v>
      </c>
      <c r="BF98" s="227">
        <f t="shared" si="182"/>
        <v>17114550</v>
      </c>
      <c r="BG98" s="225" t="str">
        <f t="shared" si="183"/>
        <v>VÁLIDA</v>
      </c>
      <c r="BH98" s="227">
        <v>230899.68</v>
      </c>
      <c r="BI98" s="227">
        <f t="shared" si="184"/>
        <v>17317476</v>
      </c>
      <c r="BJ98" s="225" t="str">
        <f t="shared" si="185"/>
        <v>VÁLIDA</v>
      </c>
      <c r="BK98" s="227">
        <v>231366</v>
      </c>
      <c r="BL98" s="227">
        <f t="shared" si="186"/>
        <v>17352450</v>
      </c>
      <c r="BM98" s="225" t="str">
        <f t="shared" si="187"/>
        <v>VÁLIDA</v>
      </c>
      <c r="BN98" s="227">
        <v>229066</v>
      </c>
      <c r="BO98" s="227">
        <f t="shared" si="188"/>
        <v>17179950</v>
      </c>
      <c r="BP98" s="225" t="str">
        <f t="shared" si="189"/>
        <v>VÁLIDA</v>
      </c>
    </row>
    <row r="99" spans="2:68" s="167" customFormat="1" ht="24" x14ac:dyDescent="0.25">
      <c r="B99" s="103"/>
      <c r="C99" s="94"/>
      <c r="D99" s="95" t="s">
        <v>142</v>
      </c>
      <c r="E99" s="96" t="s">
        <v>88</v>
      </c>
      <c r="F99" s="97">
        <v>23</v>
      </c>
      <c r="G99" s="98">
        <v>559804</v>
      </c>
      <c r="H99" s="98">
        <f t="shared" si="128"/>
        <v>12875492</v>
      </c>
      <c r="I99" s="191">
        <v>551081</v>
      </c>
      <c r="J99" s="227">
        <f t="shared" si="150"/>
        <v>12674863</v>
      </c>
      <c r="K99" s="225" t="str">
        <f t="shared" si="151"/>
        <v>VÁLIDA</v>
      </c>
      <c r="L99" s="191">
        <v>553646</v>
      </c>
      <c r="M99" s="227">
        <f t="shared" si="152"/>
        <v>12733858</v>
      </c>
      <c r="N99" s="225" t="str">
        <f t="shared" si="153"/>
        <v>VÁLIDA</v>
      </c>
      <c r="O99" s="191">
        <v>559804</v>
      </c>
      <c r="P99" s="227">
        <f t="shared" si="154"/>
        <v>12875492</v>
      </c>
      <c r="Q99" s="225" t="str">
        <f t="shared" si="155"/>
        <v>VÁLIDA</v>
      </c>
      <c r="R99" s="191">
        <v>551575</v>
      </c>
      <c r="S99" s="227">
        <f t="shared" si="156"/>
        <v>12686225</v>
      </c>
      <c r="T99" s="225" t="str">
        <f t="shared" si="157"/>
        <v>VÁLIDA</v>
      </c>
      <c r="U99" s="191">
        <v>559804</v>
      </c>
      <c r="V99" s="227">
        <f t="shared" si="158"/>
        <v>12875492</v>
      </c>
      <c r="W99" s="225" t="str">
        <f t="shared" si="159"/>
        <v>VÁLIDA</v>
      </c>
      <c r="X99" s="191">
        <v>550847</v>
      </c>
      <c r="Y99" s="227">
        <f t="shared" si="160"/>
        <v>12669481</v>
      </c>
      <c r="Z99" s="225" t="str">
        <f t="shared" si="161"/>
        <v>VÁLIDA</v>
      </c>
      <c r="AA99" s="191">
        <v>553646</v>
      </c>
      <c r="AB99" s="227">
        <f t="shared" si="162"/>
        <v>12733858</v>
      </c>
      <c r="AC99" s="225" t="str">
        <f t="shared" si="163"/>
        <v>VÁLIDA</v>
      </c>
      <c r="AD99" s="191">
        <v>559804</v>
      </c>
      <c r="AE99" s="227">
        <f t="shared" si="164"/>
        <v>12875492</v>
      </c>
      <c r="AF99" s="225" t="str">
        <f t="shared" si="165"/>
        <v>VÁLIDA</v>
      </c>
      <c r="AH99" s="227">
        <f t="shared" si="166"/>
        <v>0</v>
      </c>
      <c r="AI99" s="225" t="str">
        <f t="shared" si="167"/>
        <v>VÁLIDA</v>
      </c>
      <c r="AJ99" s="227">
        <v>520618</v>
      </c>
      <c r="AK99" s="227">
        <f t="shared" si="168"/>
        <v>11974214</v>
      </c>
      <c r="AL99" s="225" t="str">
        <f t="shared" si="169"/>
        <v>VÁLIDA</v>
      </c>
      <c r="AM99" s="227">
        <v>558404</v>
      </c>
      <c r="AN99" s="227">
        <f t="shared" si="170"/>
        <v>12843292</v>
      </c>
      <c r="AO99" s="225" t="str">
        <f t="shared" si="171"/>
        <v>VÁLIDA</v>
      </c>
      <c r="AP99" s="227">
        <v>559804</v>
      </c>
      <c r="AQ99" s="227">
        <f t="shared" si="172"/>
        <v>12875492</v>
      </c>
      <c r="AR99" s="225" t="str">
        <f t="shared" si="173"/>
        <v>VÁLIDA</v>
      </c>
      <c r="AS99" s="227">
        <v>547000</v>
      </c>
      <c r="AT99" s="227">
        <f t="shared" si="174"/>
        <v>12581000</v>
      </c>
      <c r="AU99" s="225" t="str">
        <f t="shared" si="175"/>
        <v>VÁLIDA</v>
      </c>
      <c r="AV99" s="227">
        <v>743870.25</v>
      </c>
      <c r="AW99" s="227">
        <f t="shared" si="176"/>
        <v>17109015.75</v>
      </c>
      <c r="AX99" s="225" t="str">
        <f t="shared" si="177"/>
        <v>NO VÁLIDA</v>
      </c>
      <c r="AY99" s="227">
        <v>559804</v>
      </c>
      <c r="AZ99" s="227">
        <f t="shared" si="178"/>
        <v>12875492</v>
      </c>
      <c r="BA99" s="225" t="str">
        <f t="shared" si="179"/>
        <v>VÁLIDA</v>
      </c>
      <c r="BB99" s="227">
        <v>536794.68184098403</v>
      </c>
      <c r="BC99" s="227">
        <f t="shared" si="180"/>
        <v>12346277.682342634</v>
      </c>
      <c r="BD99" s="225" t="str">
        <f t="shared" si="181"/>
        <v>VÁLIDA</v>
      </c>
      <c r="BE99" s="227">
        <v>547712</v>
      </c>
      <c r="BF99" s="227">
        <f t="shared" si="182"/>
        <v>12597376</v>
      </c>
      <c r="BG99" s="225" t="str">
        <f t="shared" si="183"/>
        <v>VÁLIDA</v>
      </c>
      <c r="BH99" s="227">
        <v>554205.96</v>
      </c>
      <c r="BI99" s="227">
        <f t="shared" si="184"/>
        <v>12746737.079999998</v>
      </c>
      <c r="BJ99" s="225" t="str">
        <f t="shared" si="185"/>
        <v>VÁLIDA</v>
      </c>
      <c r="BK99" s="227">
        <v>555326</v>
      </c>
      <c r="BL99" s="227">
        <f t="shared" si="186"/>
        <v>12772498</v>
      </c>
      <c r="BM99" s="225" t="str">
        <f t="shared" si="187"/>
        <v>VÁLIDA</v>
      </c>
      <c r="BN99" s="227">
        <v>549805</v>
      </c>
      <c r="BO99" s="227">
        <f t="shared" si="188"/>
        <v>12645515</v>
      </c>
      <c r="BP99" s="225" t="str">
        <f t="shared" si="189"/>
        <v>VÁLIDA</v>
      </c>
    </row>
    <row r="100" spans="2:68" s="167" customFormat="1" ht="24" x14ac:dyDescent="0.25">
      <c r="B100" s="103"/>
      <c r="C100" s="94"/>
      <c r="D100" s="95" t="s">
        <v>143</v>
      </c>
      <c r="E100" s="96" t="s">
        <v>84</v>
      </c>
      <c r="F100" s="97">
        <v>24</v>
      </c>
      <c r="G100" s="98">
        <v>65467</v>
      </c>
      <c r="H100" s="98">
        <f t="shared" si="128"/>
        <v>1571208</v>
      </c>
      <c r="I100" s="191">
        <v>64447</v>
      </c>
      <c r="J100" s="227">
        <f t="shared" si="150"/>
        <v>1546728</v>
      </c>
      <c r="K100" s="225" t="str">
        <f t="shared" si="151"/>
        <v>VÁLIDA</v>
      </c>
      <c r="L100" s="191">
        <v>64747</v>
      </c>
      <c r="M100" s="227">
        <f t="shared" si="152"/>
        <v>1553928</v>
      </c>
      <c r="N100" s="225" t="str">
        <f t="shared" si="153"/>
        <v>VÁLIDA</v>
      </c>
      <c r="O100" s="191">
        <v>65467</v>
      </c>
      <c r="P100" s="227">
        <f t="shared" si="154"/>
        <v>1571208</v>
      </c>
      <c r="Q100" s="225" t="str">
        <f t="shared" si="155"/>
        <v>VÁLIDA</v>
      </c>
      <c r="R100" s="191">
        <v>64505</v>
      </c>
      <c r="S100" s="227">
        <f t="shared" si="156"/>
        <v>1548120</v>
      </c>
      <c r="T100" s="225" t="str">
        <f t="shared" si="157"/>
        <v>VÁLIDA</v>
      </c>
      <c r="U100" s="191">
        <v>65467</v>
      </c>
      <c r="V100" s="227">
        <f t="shared" si="158"/>
        <v>1571208</v>
      </c>
      <c r="W100" s="225" t="str">
        <f t="shared" si="159"/>
        <v>VÁLIDA</v>
      </c>
      <c r="X100" s="191">
        <v>64419</v>
      </c>
      <c r="Y100" s="227">
        <f t="shared" si="160"/>
        <v>1546056</v>
      </c>
      <c r="Z100" s="225" t="str">
        <f t="shared" si="161"/>
        <v>VÁLIDA</v>
      </c>
      <c r="AA100" s="191">
        <v>64747</v>
      </c>
      <c r="AB100" s="227">
        <f t="shared" si="162"/>
        <v>1553928</v>
      </c>
      <c r="AC100" s="225" t="str">
        <f t="shared" si="163"/>
        <v>VÁLIDA</v>
      </c>
      <c r="AD100" s="191">
        <v>65467</v>
      </c>
      <c r="AE100" s="227">
        <f t="shared" si="164"/>
        <v>1571208</v>
      </c>
      <c r="AF100" s="225" t="str">
        <f t="shared" si="165"/>
        <v>VÁLIDA</v>
      </c>
      <c r="AH100" s="227">
        <f t="shared" si="166"/>
        <v>0</v>
      </c>
      <c r="AI100" s="225" t="str">
        <f t="shared" si="167"/>
        <v>VÁLIDA</v>
      </c>
      <c r="AJ100" s="227">
        <v>60884</v>
      </c>
      <c r="AK100" s="227">
        <f t="shared" si="168"/>
        <v>1461216</v>
      </c>
      <c r="AL100" s="225" t="str">
        <f t="shared" si="169"/>
        <v>VÁLIDA</v>
      </c>
      <c r="AM100" s="227">
        <v>65303</v>
      </c>
      <c r="AN100" s="227">
        <f t="shared" si="170"/>
        <v>1567272</v>
      </c>
      <c r="AO100" s="225" t="str">
        <f t="shared" si="171"/>
        <v>VÁLIDA</v>
      </c>
      <c r="AP100" s="227">
        <v>65467</v>
      </c>
      <c r="AQ100" s="227">
        <f t="shared" si="172"/>
        <v>1571208</v>
      </c>
      <c r="AR100" s="225" t="str">
        <f t="shared" si="173"/>
        <v>VÁLIDA</v>
      </c>
      <c r="AS100" s="227">
        <v>64000</v>
      </c>
      <c r="AT100" s="227">
        <f t="shared" si="174"/>
        <v>1536000</v>
      </c>
      <c r="AU100" s="225" t="str">
        <f t="shared" si="175"/>
        <v>VÁLIDA</v>
      </c>
      <c r="AV100" s="227">
        <v>86992.65</v>
      </c>
      <c r="AW100" s="227">
        <f t="shared" si="176"/>
        <v>2087823.5999999999</v>
      </c>
      <c r="AX100" s="225" t="str">
        <f t="shared" si="177"/>
        <v>NO VÁLIDA</v>
      </c>
      <c r="AY100" s="227">
        <v>65467</v>
      </c>
      <c r="AZ100" s="227">
        <f t="shared" si="178"/>
        <v>1571208</v>
      </c>
      <c r="BA100" s="225" t="str">
        <f t="shared" si="179"/>
        <v>VÁLIDA</v>
      </c>
      <c r="BB100" s="227">
        <v>62776.145643981996</v>
      </c>
      <c r="BC100" s="227">
        <f t="shared" si="180"/>
        <v>1506627.495455568</v>
      </c>
      <c r="BD100" s="225" t="str">
        <f t="shared" si="181"/>
        <v>VÁLIDA</v>
      </c>
      <c r="BE100" s="227">
        <v>64053</v>
      </c>
      <c r="BF100" s="227">
        <f t="shared" si="182"/>
        <v>1537272</v>
      </c>
      <c r="BG100" s="225" t="str">
        <f t="shared" si="183"/>
        <v>VÁLIDA</v>
      </c>
      <c r="BH100" s="227">
        <v>64812.33</v>
      </c>
      <c r="BI100" s="227">
        <f t="shared" si="184"/>
        <v>1555495.92</v>
      </c>
      <c r="BJ100" s="225" t="str">
        <f t="shared" si="185"/>
        <v>VÁLIDA</v>
      </c>
      <c r="BK100" s="227">
        <v>64943</v>
      </c>
      <c r="BL100" s="227">
        <f t="shared" si="186"/>
        <v>1558632</v>
      </c>
      <c r="BM100" s="225" t="str">
        <f t="shared" si="187"/>
        <v>VÁLIDA</v>
      </c>
      <c r="BN100" s="227">
        <v>64297</v>
      </c>
      <c r="BO100" s="227">
        <f t="shared" si="188"/>
        <v>1543128</v>
      </c>
      <c r="BP100" s="225" t="str">
        <f t="shared" si="189"/>
        <v>VÁLIDA</v>
      </c>
    </row>
    <row r="101" spans="2:68" s="167" customFormat="1" ht="30" customHeight="1" x14ac:dyDescent="0.25">
      <c r="B101" s="103">
        <v>3155</v>
      </c>
      <c r="C101" s="94">
        <f>C98+0.01</f>
        <v>4.0899999999999981</v>
      </c>
      <c r="D101" s="95" t="s">
        <v>144</v>
      </c>
      <c r="E101" s="96" t="s">
        <v>84</v>
      </c>
      <c r="F101" s="97">
        <v>10</v>
      </c>
      <c r="G101" s="98">
        <v>36616</v>
      </c>
      <c r="H101" s="98">
        <f t="shared" si="128"/>
        <v>366160</v>
      </c>
      <c r="I101" s="191">
        <v>36045</v>
      </c>
      <c r="J101" s="227">
        <f t="shared" si="150"/>
        <v>360450</v>
      </c>
      <c r="K101" s="225" t="str">
        <f t="shared" si="151"/>
        <v>VÁLIDA</v>
      </c>
      <c r="L101" s="191">
        <v>36213</v>
      </c>
      <c r="M101" s="227">
        <f t="shared" si="152"/>
        <v>362130</v>
      </c>
      <c r="N101" s="225" t="str">
        <f t="shared" si="153"/>
        <v>VÁLIDA</v>
      </c>
      <c r="O101" s="191">
        <v>36616</v>
      </c>
      <c r="P101" s="227">
        <f t="shared" si="154"/>
        <v>366160</v>
      </c>
      <c r="Q101" s="225" t="str">
        <f t="shared" si="155"/>
        <v>VÁLIDA</v>
      </c>
      <c r="R101" s="191">
        <v>36078</v>
      </c>
      <c r="S101" s="227">
        <f t="shared" si="156"/>
        <v>360780</v>
      </c>
      <c r="T101" s="225" t="str">
        <f t="shared" si="157"/>
        <v>VÁLIDA</v>
      </c>
      <c r="U101" s="191">
        <v>36616</v>
      </c>
      <c r="V101" s="227">
        <f t="shared" si="158"/>
        <v>366160</v>
      </c>
      <c r="W101" s="225" t="str">
        <f t="shared" si="159"/>
        <v>VÁLIDA</v>
      </c>
      <c r="X101" s="191">
        <v>36030</v>
      </c>
      <c r="Y101" s="227">
        <f t="shared" si="160"/>
        <v>360300</v>
      </c>
      <c r="Z101" s="225" t="str">
        <f t="shared" si="161"/>
        <v>VÁLIDA</v>
      </c>
      <c r="AA101" s="191">
        <v>36213</v>
      </c>
      <c r="AB101" s="227">
        <f t="shared" si="162"/>
        <v>362130</v>
      </c>
      <c r="AC101" s="225" t="str">
        <f t="shared" si="163"/>
        <v>VÁLIDA</v>
      </c>
      <c r="AD101" s="191">
        <v>36616</v>
      </c>
      <c r="AE101" s="227">
        <f t="shared" si="164"/>
        <v>366160</v>
      </c>
      <c r="AF101" s="225" t="str">
        <f t="shared" si="165"/>
        <v>VÁLIDA</v>
      </c>
      <c r="AH101" s="227">
        <f t="shared" si="166"/>
        <v>0</v>
      </c>
      <c r="AI101" s="225" t="str">
        <f t="shared" si="167"/>
        <v>VÁLIDA</v>
      </c>
      <c r="AJ101" s="227">
        <v>34053</v>
      </c>
      <c r="AK101" s="227">
        <f t="shared" si="168"/>
        <v>340530</v>
      </c>
      <c r="AL101" s="225" t="str">
        <f t="shared" si="169"/>
        <v>VÁLIDA</v>
      </c>
      <c r="AM101" s="227">
        <v>36524</v>
      </c>
      <c r="AN101" s="227">
        <f t="shared" si="170"/>
        <v>365240</v>
      </c>
      <c r="AO101" s="225" t="str">
        <f t="shared" si="171"/>
        <v>VÁLIDA</v>
      </c>
      <c r="AP101" s="227">
        <v>36616</v>
      </c>
      <c r="AQ101" s="227">
        <f t="shared" si="172"/>
        <v>366160</v>
      </c>
      <c r="AR101" s="225" t="str">
        <f t="shared" si="173"/>
        <v>VÁLIDA</v>
      </c>
      <c r="AS101" s="227">
        <v>35800</v>
      </c>
      <c r="AT101" s="227">
        <f t="shared" si="174"/>
        <v>358000</v>
      </c>
      <c r="AU101" s="225" t="str">
        <f t="shared" si="175"/>
        <v>VÁLIDA</v>
      </c>
      <c r="AV101" s="227">
        <v>48655.35</v>
      </c>
      <c r="AW101" s="227">
        <f t="shared" si="176"/>
        <v>486553.5</v>
      </c>
      <c r="AX101" s="225" t="str">
        <f t="shared" si="177"/>
        <v>NO VÁLIDA</v>
      </c>
      <c r="AY101" s="227">
        <v>36616</v>
      </c>
      <c r="AZ101" s="227">
        <f t="shared" si="178"/>
        <v>366160</v>
      </c>
      <c r="BA101" s="225" t="str">
        <f t="shared" si="179"/>
        <v>VÁLIDA</v>
      </c>
      <c r="BB101" s="227">
        <v>35110.992544335997</v>
      </c>
      <c r="BC101" s="227">
        <f t="shared" si="180"/>
        <v>351109.92544336</v>
      </c>
      <c r="BD101" s="225" t="str">
        <f t="shared" si="181"/>
        <v>VÁLIDA</v>
      </c>
      <c r="BE101" s="227">
        <v>35825</v>
      </c>
      <c r="BF101" s="227">
        <f t="shared" si="182"/>
        <v>358250</v>
      </c>
      <c r="BG101" s="225" t="str">
        <f t="shared" si="183"/>
        <v>VÁLIDA</v>
      </c>
      <c r="BH101" s="227">
        <v>36249.839999999997</v>
      </c>
      <c r="BI101" s="227">
        <f t="shared" si="184"/>
        <v>362498.39999999997</v>
      </c>
      <c r="BJ101" s="225" t="str">
        <f t="shared" si="185"/>
        <v>VÁLIDA</v>
      </c>
      <c r="BK101" s="227">
        <v>36323</v>
      </c>
      <c r="BL101" s="227">
        <f t="shared" si="186"/>
        <v>363230</v>
      </c>
      <c r="BM101" s="225" t="str">
        <f t="shared" si="187"/>
        <v>VÁLIDA</v>
      </c>
      <c r="BN101" s="227">
        <v>35962</v>
      </c>
      <c r="BO101" s="227">
        <f t="shared" si="188"/>
        <v>359620</v>
      </c>
      <c r="BP101" s="225" t="str">
        <f t="shared" si="189"/>
        <v>VÁLIDA</v>
      </c>
    </row>
    <row r="102" spans="2:68" s="230" customFormat="1" ht="12" x14ac:dyDescent="0.25">
      <c r="B102" s="93"/>
      <c r="C102" s="132"/>
      <c r="D102" s="128" t="s">
        <v>145</v>
      </c>
      <c r="E102" s="129"/>
      <c r="F102" s="130"/>
      <c r="G102" s="131"/>
      <c r="H102" s="131"/>
      <c r="I102" s="194"/>
      <c r="J102" s="227"/>
      <c r="K102" s="225"/>
      <c r="L102" s="194"/>
      <c r="M102" s="227"/>
      <c r="N102" s="225"/>
      <c r="O102" s="194"/>
      <c r="P102" s="227"/>
      <c r="Q102" s="225"/>
      <c r="R102" s="194"/>
      <c r="S102" s="227"/>
      <c r="T102" s="225"/>
      <c r="U102" s="194"/>
      <c r="V102" s="227"/>
      <c r="W102" s="225"/>
      <c r="X102" s="194"/>
      <c r="Y102" s="227"/>
      <c r="Z102" s="225"/>
      <c r="AA102" s="194"/>
      <c r="AB102" s="227"/>
      <c r="AC102" s="225"/>
      <c r="AD102" s="194"/>
      <c r="AE102" s="227"/>
      <c r="AF102" s="225"/>
      <c r="AH102" s="227"/>
      <c r="AI102" s="225"/>
      <c r="AJ102" s="227"/>
      <c r="AK102" s="227"/>
      <c r="AL102" s="225"/>
      <c r="AM102" s="227"/>
      <c r="AN102" s="227"/>
      <c r="AO102" s="225"/>
      <c r="AP102" s="227"/>
      <c r="AQ102" s="227"/>
      <c r="AR102" s="225"/>
      <c r="AS102" s="227"/>
      <c r="AT102" s="227"/>
      <c r="AU102" s="225"/>
      <c r="AV102" s="227"/>
      <c r="AW102" s="227"/>
      <c r="AX102" s="225"/>
      <c r="AY102" s="227"/>
      <c r="AZ102" s="227"/>
      <c r="BA102" s="225"/>
      <c r="BB102" s="227"/>
      <c r="BC102" s="227"/>
      <c r="BD102" s="225"/>
      <c r="BE102" s="227"/>
      <c r="BF102" s="227"/>
      <c r="BG102" s="225"/>
      <c r="BH102" s="227"/>
      <c r="BI102" s="227"/>
      <c r="BJ102" s="225"/>
      <c r="BK102" s="227"/>
      <c r="BL102" s="227"/>
      <c r="BM102" s="225"/>
      <c r="BN102" s="227"/>
      <c r="BO102" s="227"/>
      <c r="BP102" s="225"/>
    </row>
    <row r="103" spans="2:68" s="167" customFormat="1" ht="12" x14ac:dyDescent="0.25">
      <c r="B103" s="93">
        <v>4291</v>
      </c>
      <c r="C103" s="94">
        <f>C101+0.01</f>
        <v>4.0999999999999979</v>
      </c>
      <c r="D103" s="95" t="str">
        <f>VLOOKUP(B103,[2]ITEMS!$B$4:$E$2466,2,FALSE)</f>
        <v>CARCAMO PROTECCIÓN DE TUBERÍA Ø 8" NORMA EAAB NS-090 . 3v.2</v>
      </c>
      <c r="E103" s="96" t="str">
        <f>VLOOKUP(B103,[2]ITEMS!$B$4:$E$2466,3,FALSE)</f>
        <v>M</v>
      </c>
      <c r="F103" s="97">
        <v>39</v>
      </c>
      <c r="G103" s="98">
        <f>VLOOKUP(B103,[2]ITEMS!$B$4:$E$2466,4,FALSE)</f>
        <v>355623</v>
      </c>
      <c r="H103" s="98">
        <f t="shared" si="128"/>
        <v>13869297</v>
      </c>
      <c r="I103" s="191">
        <v>350082</v>
      </c>
      <c r="J103" s="227">
        <f t="shared" ref="J103:J104" si="190">I103*F103</f>
        <v>13653198</v>
      </c>
      <c r="K103" s="225" t="str">
        <f>IF(J103&lt;=$H103,"VÁLIDA","NO VÁLIDA")</f>
        <v>VÁLIDA</v>
      </c>
      <c r="L103" s="191">
        <v>351711</v>
      </c>
      <c r="M103" s="227">
        <f t="shared" si="152"/>
        <v>13716729</v>
      </c>
      <c r="N103" s="225" t="str">
        <f>IF(M103&lt;=$H103,"VÁLIDA","NO VÁLIDA")</f>
        <v>VÁLIDA</v>
      </c>
      <c r="O103" s="191">
        <v>355623</v>
      </c>
      <c r="P103" s="227">
        <f t="shared" si="154"/>
        <v>13869297</v>
      </c>
      <c r="Q103" s="225" t="str">
        <f>IF(P103&lt;=$H103,"VÁLIDA","NO VÁLIDA")</f>
        <v>VÁLIDA</v>
      </c>
      <c r="R103" s="191">
        <v>350395</v>
      </c>
      <c r="S103" s="227">
        <f t="shared" si="156"/>
        <v>13665405</v>
      </c>
      <c r="T103" s="225" t="str">
        <f>IF(S103&lt;=$H103,"VÁLIDA","NO VÁLIDA")</f>
        <v>VÁLIDA</v>
      </c>
      <c r="U103" s="191">
        <v>355623</v>
      </c>
      <c r="V103" s="227">
        <f t="shared" si="158"/>
        <v>13869297</v>
      </c>
      <c r="W103" s="225" t="str">
        <f>IF(V103&lt;=$H103,"VÁLIDA","NO VÁLIDA")</f>
        <v>VÁLIDA</v>
      </c>
      <c r="X103" s="191">
        <v>349933</v>
      </c>
      <c r="Y103" s="227">
        <f t="shared" si="160"/>
        <v>13647387</v>
      </c>
      <c r="Z103" s="225" t="str">
        <f>IF(Y103&lt;=$H103,"VÁLIDA","NO VÁLIDA")</f>
        <v>VÁLIDA</v>
      </c>
      <c r="AA103" s="191">
        <v>351711</v>
      </c>
      <c r="AB103" s="227">
        <f t="shared" si="162"/>
        <v>13716729</v>
      </c>
      <c r="AC103" s="225" t="str">
        <f>IF(AB103&lt;=$H103,"VÁLIDA","NO VÁLIDA")</f>
        <v>VÁLIDA</v>
      </c>
      <c r="AD103" s="191">
        <v>355623</v>
      </c>
      <c r="AE103" s="227">
        <f t="shared" si="164"/>
        <v>13869297</v>
      </c>
      <c r="AF103" s="225" t="str">
        <f>IF(AE103&lt;=$H103,"VÁLIDA","NO VÁLIDA")</f>
        <v>VÁLIDA</v>
      </c>
      <c r="AH103" s="227">
        <f t="shared" si="166"/>
        <v>0</v>
      </c>
      <c r="AI103" s="225" t="str">
        <f>IF(AH103&lt;=$H103,"VÁLIDA","NO VÁLIDA")</f>
        <v>VÁLIDA</v>
      </c>
      <c r="AJ103" s="227">
        <v>330729</v>
      </c>
      <c r="AK103" s="227">
        <f t="shared" si="168"/>
        <v>12898431</v>
      </c>
      <c r="AL103" s="225" t="str">
        <f>IF(AK103&lt;=$H103,"VÁLIDA","NO VÁLIDA")</f>
        <v>VÁLIDA</v>
      </c>
      <c r="AM103" s="227">
        <v>354734</v>
      </c>
      <c r="AN103" s="227">
        <f t="shared" si="170"/>
        <v>13834626</v>
      </c>
      <c r="AO103" s="225" t="str">
        <f>IF(AN103&lt;=$H103,"VÁLIDA","NO VÁLIDA")</f>
        <v>VÁLIDA</v>
      </c>
      <c r="AP103" s="227">
        <v>355623</v>
      </c>
      <c r="AQ103" s="227">
        <f t="shared" si="172"/>
        <v>13869297</v>
      </c>
      <c r="AR103" s="225" t="str">
        <f>IF(AQ103&lt;=$H103,"VÁLIDA","NO VÁLIDA")</f>
        <v>VÁLIDA</v>
      </c>
      <c r="AS103" s="227">
        <v>347900</v>
      </c>
      <c r="AT103" s="227">
        <f t="shared" si="174"/>
        <v>13568100</v>
      </c>
      <c r="AU103" s="225" t="str">
        <f>IF(AT103&lt;=$H103,"VÁLIDA","NO VÁLIDA")</f>
        <v>VÁLIDA</v>
      </c>
      <c r="AV103" s="227">
        <v>472554</v>
      </c>
      <c r="AW103" s="227">
        <f t="shared" si="176"/>
        <v>18429606</v>
      </c>
      <c r="AX103" s="225" t="str">
        <f>IF(AW103&lt;=$H103,"VÁLIDA","NO VÁLIDA")</f>
        <v>NO VÁLIDA</v>
      </c>
      <c r="AY103" s="227">
        <v>355623</v>
      </c>
      <c r="AZ103" s="227">
        <f t="shared" si="178"/>
        <v>13869297</v>
      </c>
      <c r="BA103" s="225" t="str">
        <f>IF(AZ103&lt;=$H103,"VÁLIDA","NO VÁLIDA")</f>
        <v>VÁLIDA</v>
      </c>
      <c r="BB103" s="227">
        <v>341006.02200115798</v>
      </c>
      <c r="BC103" s="227">
        <f t="shared" si="180"/>
        <v>13299234.858045161</v>
      </c>
      <c r="BD103" s="225" t="str">
        <f>IF(BC103&lt;=$H103,"VÁLIDA","NO VÁLIDA")</f>
        <v>VÁLIDA</v>
      </c>
      <c r="BE103" s="227">
        <v>347942</v>
      </c>
      <c r="BF103" s="227">
        <f t="shared" si="182"/>
        <v>13569738</v>
      </c>
      <c r="BG103" s="225" t="str">
        <f>IF(BF103&lt;=$H103,"VÁLIDA","NO VÁLIDA")</f>
        <v>VÁLIDA</v>
      </c>
      <c r="BH103" s="227">
        <v>352066.77</v>
      </c>
      <c r="BI103" s="227">
        <f t="shared" si="184"/>
        <v>13730604.030000001</v>
      </c>
      <c r="BJ103" s="225" t="str">
        <f>IF(BI103&lt;=$H103,"VÁLIDA","NO VÁLIDA")</f>
        <v>VÁLIDA</v>
      </c>
      <c r="BK103" s="227">
        <v>352778</v>
      </c>
      <c r="BL103" s="227">
        <f t="shared" si="186"/>
        <v>13758342</v>
      </c>
      <c r="BM103" s="225" t="str">
        <f>IF(BL103&lt;=$H103,"VÁLIDA","NO VÁLIDA")</f>
        <v>VÁLIDA</v>
      </c>
      <c r="BN103" s="227">
        <v>349271</v>
      </c>
      <c r="BO103" s="227">
        <f t="shared" si="188"/>
        <v>13621569</v>
      </c>
      <c r="BP103" s="225" t="str">
        <f>IF(BO103&lt;=$H103,"VÁLIDA","NO VÁLIDA")</f>
        <v>VÁLIDA</v>
      </c>
    </row>
    <row r="104" spans="2:68" s="167" customFormat="1" ht="12" x14ac:dyDescent="0.25">
      <c r="B104" s="93">
        <v>4296</v>
      </c>
      <c r="C104" s="94">
        <f>C102+0.01</f>
        <v>0.01</v>
      </c>
      <c r="D104" s="95" t="str">
        <f>VLOOKUP(B104,[2]ITEMS!$B$4:$E$2466,2,FALSE)</f>
        <v>CARCAMO DE PROTECCIÓN DE TUBERÍA Ø 20" NORMA EAAB NS-090 V. 1.2</v>
      </c>
      <c r="E104" s="96" t="str">
        <f>VLOOKUP(B104,[2]ITEMS!$B$4:$E$2466,3,FALSE)</f>
        <v>M</v>
      </c>
      <c r="F104" s="97">
        <v>107</v>
      </c>
      <c r="G104" s="98">
        <f>VLOOKUP(B104,[2]ITEMS!$B$4:$E$2466,4,FALSE)</f>
        <v>492310</v>
      </c>
      <c r="H104" s="98">
        <f t="shared" si="128"/>
        <v>52677170</v>
      </c>
      <c r="I104" s="191">
        <v>484639</v>
      </c>
      <c r="J104" s="227">
        <f t="shared" si="190"/>
        <v>51856373</v>
      </c>
      <c r="K104" s="225" t="str">
        <f>IF(J104&lt;=$H104,"VÁLIDA","NO VÁLIDA")</f>
        <v>VÁLIDA</v>
      </c>
      <c r="L104" s="191">
        <v>486895</v>
      </c>
      <c r="M104" s="227">
        <f t="shared" si="152"/>
        <v>52097765</v>
      </c>
      <c r="N104" s="225" t="str">
        <f>IF(M104&lt;=$H104,"VÁLIDA","NO VÁLIDA")</f>
        <v>VÁLIDA</v>
      </c>
      <c r="O104" s="191">
        <v>492310</v>
      </c>
      <c r="P104" s="227">
        <f t="shared" si="154"/>
        <v>52677170</v>
      </c>
      <c r="Q104" s="225" t="str">
        <f>IF(P104&lt;=$H104,"VÁLIDA","NO VÁLIDA")</f>
        <v>VÁLIDA</v>
      </c>
      <c r="R104" s="191">
        <v>485073</v>
      </c>
      <c r="S104" s="227">
        <f t="shared" si="156"/>
        <v>51902811</v>
      </c>
      <c r="T104" s="225" t="str">
        <f>IF(S104&lt;=$H104,"VÁLIDA","NO VÁLIDA")</f>
        <v>VÁLIDA</v>
      </c>
      <c r="U104" s="191">
        <v>492310</v>
      </c>
      <c r="V104" s="227">
        <f t="shared" si="158"/>
        <v>52677170</v>
      </c>
      <c r="W104" s="225" t="str">
        <f>IF(V104&lt;=$H104,"VÁLIDA","NO VÁLIDA")</f>
        <v>VÁLIDA</v>
      </c>
      <c r="X104" s="191">
        <v>484433</v>
      </c>
      <c r="Y104" s="227">
        <f t="shared" si="160"/>
        <v>51834331</v>
      </c>
      <c r="Z104" s="225" t="str">
        <f>IF(Y104&lt;=$H104,"VÁLIDA","NO VÁLIDA")</f>
        <v>VÁLIDA</v>
      </c>
      <c r="AA104" s="191">
        <v>486895</v>
      </c>
      <c r="AB104" s="227">
        <f t="shared" si="162"/>
        <v>52097765</v>
      </c>
      <c r="AC104" s="225" t="str">
        <f>IF(AB104&lt;=$H104,"VÁLIDA","NO VÁLIDA")</f>
        <v>VÁLIDA</v>
      </c>
      <c r="AD104" s="191">
        <v>460000</v>
      </c>
      <c r="AE104" s="227">
        <f t="shared" si="164"/>
        <v>49220000</v>
      </c>
      <c r="AF104" s="225" t="str">
        <f>IF(AE104&lt;=$H104,"VÁLIDA","NO VÁLIDA")</f>
        <v>VÁLIDA</v>
      </c>
      <c r="AH104" s="227">
        <f t="shared" si="166"/>
        <v>0</v>
      </c>
      <c r="AI104" s="225" t="str">
        <f>IF(AH104&lt;=$H104,"VÁLIDA","NO VÁLIDA")</f>
        <v>VÁLIDA</v>
      </c>
      <c r="AJ104" s="227">
        <v>457848</v>
      </c>
      <c r="AK104" s="227">
        <f t="shared" si="168"/>
        <v>48989736</v>
      </c>
      <c r="AL104" s="225" t="str">
        <f>IF(AK104&lt;=$H104,"VÁLIDA","NO VÁLIDA")</f>
        <v>VÁLIDA</v>
      </c>
      <c r="AM104" s="227">
        <v>491079</v>
      </c>
      <c r="AN104" s="227">
        <f t="shared" si="170"/>
        <v>52545453</v>
      </c>
      <c r="AO104" s="225" t="str">
        <f>IF(AN104&lt;=$H104,"VÁLIDA","NO VÁLIDA")</f>
        <v>VÁLIDA</v>
      </c>
      <c r="AP104" s="227">
        <v>492310</v>
      </c>
      <c r="AQ104" s="227">
        <f t="shared" si="172"/>
        <v>52677170</v>
      </c>
      <c r="AR104" s="225" t="str">
        <f>IF(AQ104&lt;=$H104,"VÁLIDA","NO VÁLIDA")</f>
        <v>VÁLIDA</v>
      </c>
      <c r="AS104" s="227">
        <v>481700</v>
      </c>
      <c r="AT104" s="227">
        <f t="shared" si="174"/>
        <v>51541900</v>
      </c>
      <c r="AU104" s="225" t="str">
        <f>IF(AT104&lt;=$H104,"VÁLIDA","NO VÁLIDA")</f>
        <v>VÁLIDA</v>
      </c>
      <c r="AV104" s="227">
        <v>654184.35</v>
      </c>
      <c r="AW104" s="227">
        <f t="shared" si="176"/>
        <v>69997725.450000003</v>
      </c>
      <c r="AX104" s="225" t="str">
        <f>IF(AW104&lt;=$H104,"VÁLIDA","NO VÁLIDA")</f>
        <v>NO VÁLIDA</v>
      </c>
      <c r="AY104" s="227">
        <v>492310</v>
      </c>
      <c r="AZ104" s="227">
        <f t="shared" si="178"/>
        <v>52677170</v>
      </c>
      <c r="BA104" s="225" t="str">
        <f>IF(AZ104&lt;=$H104,"VÁLIDA","NO VÁLIDA")</f>
        <v>VÁLIDA</v>
      </c>
      <c r="BB104" s="227">
        <v>472074.85087125999</v>
      </c>
      <c r="BC104" s="227">
        <f t="shared" si="180"/>
        <v>50512009.043224819</v>
      </c>
      <c r="BD104" s="225" t="str">
        <f>IF(BC104&lt;=$H104,"VÁLIDA","NO VÁLIDA")</f>
        <v>VÁLIDA</v>
      </c>
      <c r="BE104" s="227">
        <v>481676</v>
      </c>
      <c r="BF104" s="227">
        <f t="shared" si="182"/>
        <v>51539332</v>
      </c>
      <c r="BG104" s="225" t="str">
        <f>IF(BF104&lt;=$H104,"VÁLIDA","NO VÁLIDA")</f>
        <v>VÁLIDA</v>
      </c>
      <c r="BH104" s="227">
        <v>487386.9</v>
      </c>
      <c r="BI104" s="227">
        <f t="shared" si="184"/>
        <v>52150398.300000004</v>
      </c>
      <c r="BJ104" s="225" t="str">
        <f>IF(BI104&lt;=$H104,"VÁLIDA","NO VÁLIDA")</f>
        <v>VÁLIDA</v>
      </c>
      <c r="BK104" s="227">
        <v>488372</v>
      </c>
      <c r="BL104" s="227">
        <f t="shared" si="186"/>
        <v>52255804</v>
      </c>
      <c r="BM104" s="225" t="str">
        <f>IF(BL104&lt;=$H104,"VÁLIDA","NO VÁLIDA")</f>
        <v>VÁLIDA</v>
      </c>
      <c r="BN104" s="227">
        <v>483517</v>
      </c>
      <c r="BO104" s="227">
        <f t="shared" si="188"/>
        <v>51736319</v>
      </c>
      <c r="BP104" s="225" t="str">
        <f>IF(BO104&lt;=$H104,"VÁLIDA","NO VÁLIDA")</f>
        <v>VÁLIDA</v>
      </c>
    </row>
    <row r="105" spans="2:68" s="230" customFormat="1" ht="12" x14ac:dyDescent="0.25">
      <c r="B105" s="116"/>
      <c r="C105" s="132"/>
      <c r="D105" s="128" t="s">
        <v>132</v>
      </c>
      <c r="E105" s="129"/>
      <c r="F105" s="130"/>
      <c r="G105" s="131"/>
      <c r="H105" s="131"/>
      <c r="I105" s="194"/>
      <c r="J105" s="227"/>
      <c r="K105" s="225"/>
      <c r="L105" s="194"/>
      <c r="M105" s="227"/>
      <c r="N105" s="225"/>
      <c r="O105" s="194"/>
      <c r="P105" s="227"/>
      <c r="Q105" s="225"/>
      <c r="R105" s="194"/>
      <c r="S105" s="227"/>
      <c r="T105" s="225"/>
      <c r="U105" s="194"/>
      <c r="V105" s="227"/>
      <c r="W105" s="225"/>
      <c r="X105" s="194"/>
      <c r="Y105" s="227"/>
      <c r="Z105" s="225"/>
      <c r="AA105" s="194"/>
      <c r="AB105" s="227"/>
      <c r="AC105" s="225"/>
      <c r="AD105" s="194"/>
      <c r="AE105" s="227"/>
      <c r="AF105" s="225"/>
      <c r="AH105" s="227"/>
      <c r="AI105" s="225"/>
      <c r="AJ105" s="227"/>
      <c r="AK105" s="227"/>
      <c r="AL105" s="225"/>
      <c r="AM105" s="227"/>
      <c r="AN105" s="227"/>
      <c r="AO105" s="225"/>
      <c r="AP105" s="227"/>
      <c r="AQ105" s="227"/>
      <c r="AR105" s="225"/>
      <c r="AS105" s="227"/>
      <c r="AT105" s="227"/>
      <c r="AU105" s="225"/>
      <c r="AV105" s="227"/>
      <c r="AW105" s="227"/>
      <c r="AX105" s="225"/>
      <c r="AY105" s="227"/>
      <c r="AZ105" s="227"/>
      <c r="BA105" s="225"/>
      <c r="BB105" s="227"/>
      <c r="BC105" s="227"/>
      <c r="BD105" s="225"/>
      <c r="BE105" s="227"/>
      <c r="BF105" s="227"/>
      <c r="BG105" s="225"/>
      <c r="BH105" s="227"/>
      <c r="BI105" s="227"/>
      <c r="BJ105" s="225"/>
      <c r="BK105" s="227"/>
      <c r="BL105" s="227"/>
      <c r="BM105" s="225"/>
      <c r="BN105" s="227"/>
      <c r="BO105" s="227"/>
      <c r="BP105" s="225"/>
    </row>
    <row r="106" spans="2:68" s="167" customFormat="1" ht="24" x14ac:dyDescent="0.25">
      <c r="B106" s="103">
        <v>3779</v>
      </c>
      <c r="C106" s="94">
        <f>C103+0.01</f>
        <v>4.1099999999999977</v>
      </c>
      <c r="D106" s="95" t="str">
        <f>VLOOKUP(B106,[2]ITEMS!$B$4:$E$2466,2,FALSE)</f>
        <v>CAJA DE INSPECCIÓN DE 0.6x0.6m (H=0.6m. Incluye Suministro y Construcción. Incluye Marco y Tapa. No Inc. Base y Cañuela)</v>
      </c>
      <c r="E106" s="96" t="str">
        <f>VLOOKUP(B106,[2]ITEMS!$B$4:$E$2466,3,FALSE)</f>
        <v>UN</v>
      </c>
      <c r="F106" s="97">
        <f>13+5</f>
        <v>18</v>
      </c>
      <c r="G106" s="98">
        <f>VLOOKUP(B106,[2]ITEMS!$B$4:$E$2466,4,FALSE)</f>
        <v>293110</v>
      </c>
      <c r="H106" s="98">
        <f t="shared" si="128"/>
        <v>5275980</v>
      </c>
      <c r="I106" s="191">
        <v>288543</v>
      </c>
      <c r="J106" s="227">
        <f t="shared" ref="J106:J107" si="191">I106*F106</f>
        <v>5193774</v>
      </c>
      <c r="K106" s="225" t="str">
        <f>IF(J106&lt;=$H106,"VÁLIDA","NO VÁLIDA")</f>
        <v>VÁLIDA</v>
      </c>
      <c r="L106" s="191">
        <v>289886</v>
      </c>
      <c r="M106" s="227">
        <f t="shared" si="152"/>
        <v>5217948</v>
      </c>
      <c r="N106" s="225" t="str">
        <f>IF(M106&lt;=$H106,"VÁLIDA","NO VÁLIDA")</f>
        <v>VÁLIDA</v>
      </c>
      <c r="O106" s="191">
        <v>293110</v>
      </c>
      <c r="P106" s="227">
        <f t="shared" si="154"/>
        <v>5275980</v>
      </c>
      <c r="Q106" s="225" t="str">
        <f>IF(P106&lt;=$H106,"VÁLIDA","NO VÁLIDA")</f>
        <v>VÁLIDA</v>
      </c>
      <c r="R106" s="191">
        <v>288801</v>
      </c>
      <c r="S106" s="227">
        <f t="shared" si="156"/>
        <v>5198418</v>
      </c>
      <c r="T106" s="225" t="str">
        <f>IF(S106&lt;=$H106,"VÁLIDA","NO VÁLIDA")</f>
        <v>VÁLIDA</v>
      </c>
      <c r="U106" s="191">
        <v>293110</v>
      </c>
      <c r="V106" s="227">
        <f t="shared" si="158"/>
        <v>5275980</v>
      </c>
      <c r="W106" s="225" t="str">
        <f>IF(V106&lt;=$H106,"VÁLIDA","NO VÁLIDA")</f>
        <v>VÁLIDA</v>
      </c>
      <c r="X106" s="191">
        <v>288420</v>
      </c>
      <c r="Y106" s="227">
        <f t="shared" si="160"/>
        <v>5191560</v>
      </c>
      <c r="Z106" s="225" t="str">
        <f>IF(Y106&lt;=$H106,"VÁLIDA","NO VÁLIDA")</f>
        <v>VÁLIDA</v>
      </c>
      <c r="AA106" s="191">
        <v>289886</v>
      </c>
      <c r="AB106" s="227">
        <f t="shared" si="162"/>
        <v>5217948</v>
      </c>
      <c r="AC106" s="225" t="str">
        <f>IF(AB106&lt;=$H106,"VÁLIDA","NO VÁLIDA")</f>
        <v>VÁLIDA</v>
      </c>
      <c r="AD106" s="191">
        <v>293110</v>
      </c>
      <c r="AE106" s="227">
        <f t="shared" si="164"/>
        <v>5275980</v>
      </c>
      <c r="AF106" s="225" t="str">
        <f>IF(AE106&lt;=$H106,"VÁLIDA","NO VÁLIDA")</f>
        <v>VÁLIDA</v>
      </c>
      <c r="AH106" s="227">
        <f t="shared" si="166"/>
        <v>0</v>
      </c>
      <c r="AI106" s="225" t="str">
        <f>IF(AH106&lt;=$H106,"VÁLIDA","NO VÁLIDA")</f>
        <v>VÁLIDA</v>
      </c>
      <c r="AJ106" s="227">
        <v>272592</v>
      </c>
      <c r="AK106" s="227">
        <f t="shared" si="168"/>
        <v>4906656</v>
      </c>
      <c r="AL106" s="225" t="str">
        <f>IF(AK106&lt;=$H106,"VÁLIDA","NO VÁLIDA")</f>
        <v>VÁLIDA</v>
      </c>
      <c r="AM106" s="227">
        <v>292377</v>
      </c>
      <c r="AN106" s="227">
        <f t="shared" si="170"/>
        <v>5262786</v>
      </c>
      <c r="AO106" s="225" t="str">
        <f>IF(AN106&lt;=$H106,"VÁLIDA","NO VÁLIDA")</f>
        <v>VÁLIDA</v>
      </c>
      <c r="AP106" s="227">
        <v>293110</v>
      </c>
      <c r="AQ106" s="227">
        <f t="shared" si="172"/>
        <v>5275980</v>
      </c>
      <c r="AR106" s="225" t="str">
        <f>IF(AQ106&lt;=$H106,"VÁLIDA","NO VÁLIDA")</f>
        <v>VÁLIDA</v>
      </c>
      <c r="AS106" s="227">
        <v>286700</v>
      </c>
      <c r="AT106" s="227">
        <f t="shared" si="174"/>
        <v>5160600</v>
      </c>
      <c r="AU106" s="225" t="str">
        <f>IF(AT106&lt;=$H106,"VÁLIDA","NO VÁLIDA")</f>
        <v>VÁLIDA</v>
      </c>
      <c r="AV106" s="227">
        <v>389485.8</v>
      </c>
      <c r="AW106" s="227">
        <f t="shared" si="176"/>
        <v>7010744.3999999994</v>
      </c>
      <c r="AX106" s="225" t="str">
        <f>IF(AW106&lt;=$H106,"VÁLIDA","NO VÁLIDA")</f>
        <v>NO VÁLIDA</v>
      </c>
      <c r="AY106" s="227">
        <v>293110</v>
      </c>
      <c r="AZ106" s="227">
        <f t="shared" si="178"/>
        <v>5275980</v>
      </c>
      <c r="BA106" s="225" t="str">
        <f>IF(AZ106&lt;=$H106,"VÁLIDA","NO VÁLIDA")</f>
        <v>VÁLIDA</v>
      </c>
      <c r="BB106" s="227">
        <v>281062.45970806002</v>
      </c>
      <c r="BC106" s="227">
        <f t="shared" si="180"/>
        <v>5059124.2747450806</v>
      </c>
      <c r="BD106" s="225" t="str">
        <f>IF(BC106&lt;=$H106,"VÁLIDA","NO VÁLIDA")</f>
        <v>VÁLIDA</v>
      </c>
      <c r="BE106" s="227">
        <v>286779</v>
      </c>
      <c r="BF106" s="227">
        <f t="shared" si="182"/>
        <v>5162022</v>
      </c>
      <c r="BG106" s="225" t="str">
        <f>IF(BF106&lt;=$H106,"VÁLIDA","NO VÁLIDA")</f>
        <v>VÁLIDA</v>
      </c>
      <c r="BH106" s="227">
        <v>290178.90000000002</v>
      </c>
      <c r="BI106" s="227">
        <f t="shared" si="184"/>
        <v>5223220.2</v>
      </c>
      <c r="BJ106" s="225" t="str">
        <f>IF(BI106&lt;=$H106,"VÁLIDA","NO VÁLIDA")</f>
        <v>VÁLIDA</v>
      </c>
      <c r="BK106" s="227">
        <v>290765</v>
      </c>
      <c r="BL106" s="227">
        <f t="shared" si="186"/>
        <v>5233770</v>
      </c>
      <c r="BM106" s="225" t="str">
        <f>IF(BL106&lt;=$H106,"VÁLIDA","NO VÁLIDA")</f>
        <v>VÁLIDA</v>
      </c>
      <c r="BN106" s="227">
        <v>287875</v>
      </c>
      <c r="BO106" s="227">
        <f t="shared" si="188"/>
        <v>5181750</v>
      </c>
      <c r="BP106" s="225" t="str">
        <f>IF(BO106&lt;=$H106,"VÁLIDA","NO VÁLIDA")</f>
        <v>VÁLIDA</v>
      </c>
    </row>
    <row r="107" spans="2:68" s="167" customFormat="1" ht="12" x14ac:dyDescent="0.25">
      <c r="B107" s="103"/>
      <c r="C107" s="94"/>
      <c r="D107" s="95" t="s">
        <v>146</v>
      </c>
      <c r="E107" s="96" t="s">
        <v>115</v>
      </c>
      <c r="F107" s="97">
        <v>100</v>
      </c>
      <c r="G107" s="98">
        <v>8088</v>
      </c>
      <c r="H107" s="98">
        <f t="shared" si="128"/>
        <v>808800</v>
      </c>
      <c r="I107" s="191">
        <v>7962</v>
      </c>
      <c r="J107" s="227">
        <f t="shared" si="191"/>
        <v>796200</v>
      </c>
      <c r="K107" s="225" t="str">
        <f>IF(J107&lt;=$H107,"VÁLIDA","NO VÁLIDA")</f>
        <v>VÁLIDA</v>
      </c>
      <c r="L107" s="191">
        <v>7999</v>
      </c>
      <c r="M107" s="227">
        <f t="shared" si="152"/>
        <v>799900</v>
      </c>
      <c r="N107" s="225" t="str">
        <f>IF(M107&lt;=$H107,"VÁLIDA","NO VÁLIDA")</f>
        <v>VÁLIDA</v>
      </c>
      <c r="O107" s="191">
        <v>8088</v>
      </c>
      <c r="P107" s="227">
        <f t="shared" si="154"/>
        <v>808800</v>
      </c>
      <c r="Q107" s="225" t="str">
        <f>IF(P107&lt;=$H107,"VÁLIDA","NO VÁLIDA")</f>
        <v>VÁLIDA</v>
      </c>
      <c r="R107" s="191">
        <v>7969</v>
      </c>
      <c r="S107" s="227">
        <f t="shared" si="156"/>
        <v>796900</v>
      </c>
      <c r="T107" s="225" t="str">
        <f>IF(S107&lt;=$H107,"VÁLIDA","NO VÁLIDA")</f>
        <v>VÁLIDA</v>
      </c>
      <c r="U107" s="191">
        <v>8088</v>
      </c>
      <c r="V107" s="227">
        <f t="shared" si="158"/>
        <v>808800</v>
      </c>
      <c r="W107" s="225" t="str">
        <f>IF(V107&lt;=$H107,"VÁLIDA","NO VÁLIDA")</f>
        <v>VÁLIDA</v>
      </c>
      <c r="X107" s="191">
        <v>7958</v>
      </c>
      <c r="Y107" s="227">
        <f t="shared" si="160"/>
        <v>795800</v>
      </c>
      <c r="Z107" s="225" t="str">
        <f>IF(Y107&lt;=$H107,"VÁLIDA","NO VÁLIDA")</f>
        <v>VÁLIDA</v>
      </c>
      <c r="AA107" s="191">
        <v>7999</v>
      </c>
      <c r="AB107" s="227">
        <f t="shared" si="162"/>
        <v>799900</v>
      </c>
      <c r="AC107" s="225" t="str">
        <f>IF(AB107&lt;=$H107,"VÁLIDA","NO VÁLIDA")</f>
        <v>VÁLIDA</v>
      </c>
      <c r="AD107" s="191">
        <v>8088</v>
      </c>
      <c r="AE107" s="227">
        <f t="shared" si="164"/>
        <v>808800</v>
      </c>
      <c r="AF107" s="225" t="str">
        <f>IF(AE107&lt;=$H107,"VÁLIDA","NO VÁLIDA")</f>
        <v>VÁLIDA</v>
      </c>
      <c r="AH107" s="227">
        <f t="shared" si="166"/>
        <v>0</v>
      </c>
      <c r="AI107" s="225" t="str">
        <f>IF(AH107&lt;=$H107,"VÁLIDA","NO VÁLIDA")</f>
        <v>VÁLIDA</v>
      </c>
      <c r="AJ107" s="227">
        <v>7522</v>
      </c>
      <c r="AK107" s="227">
        <f t="shared" si="168"/>
        <v>752200</v>
      </c>
      <c r="AL107" s="225" t="str">
        <f>IF(AK107&lt;=$H107,"VÁLIDA","NO VÁLIDA")</f>
        <v>VÁLIDA</v>
      </c>
      <c r="AM107" s="227">
        <v>8068</v>
      </c>
      <c r="AN107" s="227">
        <f t="shared" si="170"/>
        <v>806800</v>
      </c>
      <c r="AO107" s="225" t="str">
        <f>IF(AN107&lt;=$H107,"VÁLIDA","NO VÁLIDA")</f>
        <v>VÁLIDA</v>
      </c>
      <c r="AP107" s="227">
        <v>8088</v>
      </c>
      <c r="AQ107" s="227">
        <f t="shared" si="172"/>
        <v>808800</v>
      </c>
      <c r="AR107" s="225" t="str">
        <f>IF(AQ107&lt;=$H107,"VÁLIDA","NO VÁLIDA")</f>
        <v>VÁLIDA</v>
      </c>
      <c r="AS107" s="227">
        <v>7900</v>
      </c>
      <c r="AT107" s="227">
        <f t="shared" si="174"/>
        <v>790000</v>
      </c>
      <c r="AU107" s="225" t="str">
        <f>IF(AT107&lt;=$H107,"VÁLIDA","NO VÁLIDA")</f>
        <v>VÁLIDA</v>
      </c>
      <c r="AV107" s="227">
        <v>10747.35</v>
      </c>
      <c r="AW107" s="227">
        <f t="shared" si="176"/>
        <v>1074735</v>
      </c>
      <c r="AX107" s="225" t="str">
        <f>IF(AW107&lt;=$H107,"VÁLIDA","NO VÁLIDA")</f>
        <v>NO VÁLIDA</v>
      </c>
      <c r="AY107" s="227">
        <v>8088</v>
      </c>
      <c r="AZ107" s="227">
        <f t="shared" si="178"/>
        <v>808800</v>
      </c>
      <c r="BA107" s="225" t="str">
        <f>IF(AZ107&lt;=$H107,"VÁLIDA","NO VÁLIDA")</f>
        <v>VÁLIDA</v>
      </c>
      <c r="BB107" s="227">
        <v>7755.5633520479996</v>
      </c>
      <c r="BC107" s="227">
        <f t="shared" si="180"/>
        <v>775556.33520480001</v>
      </c>
      <c r="BD107" s="225" t="str">
        <f>IF(BC107&lt;=$H107,"VÁLIDA","NO VÁLIDA")</f>
        <v>VÁLIDA</v>
      </c>
      <c r="BE107" s="227">
        <v>7913</v>
      </c>
      <c r="BF107" s="227">
        <f t="shared" si="182"/>
        <v>791300</v>
      </c>
      <c r="BG107" s="225" t="str">
        <f>IF(BF107&lt;=$H107,"VÁLIDA","NO VÁLIDA")</f>
        <v>VÁLIDA</v>
      </c>
      <c r="BH107" s="227">
        <v>8007.12</v>
      </c>
      <c r="BI107" s="227">
        <f t="shared" si="184"/>
        <v>800712</v>
      </c>
      <c r="BJ107" s="225" t="str">
        <f>IF(BI107&lt;=$H107,"VÁLIDA","NO VÁLIDA")</f>
        <v>VÁLIDA</v>
      </c>
      <c r="BK107" s="227">
        <v>8023</v>
      </c>
      <c r="BL107" s="227">
        <f t="shared" si="186"/>
        <v>802300</v>
      </c>
      <c r="BM107" s="225" t="str">
        <f>IF(BL107&lt;=$H107,"VÁLIDA","NO VÁLIDA")</f>
        <v>VÁLIDA</v>
      </c>
      <c r="BN107" s="227">
        <v>7943</v>
      </c>
      <c r="BO107" s="227">
        <f t="shared" si="188"/>
        <v>794300</v>
      </c>
      <c r="BP107" s="225" t="str">
        <f>IF(BO107&lt;=$H107,"VÁLIDA","NO VÁLIDA")</f>
        <v>VÁLIDA</v>
      </c>
    </row>
    <row r="108" spans="2:68" s="167" customFormat="1" ht="37.5" customHeight="1" x14ac:dyDescent="0.25">
      <c r="B108" s="103">
        <v>0</v>
      </c>
      <c r="C108" s="94">
        <f>C106+0.01</f>
        <v>4.1199999999999974</v>
      </c>
      <c r="D108" s="95" t="s">
        <v>147</v>
      </c>
      <c r="E108" s="96" t="s">
        <v>88</v>
      </c>
      <c r="F108" s="97">
        <f>13+18+5</f>
        <v>36</v>
      </c>
      <c r="G108" s="98">
        <v>138366</v>
      </c>
      <c r="H108" s="98">
        <f t="shared" si="128"/>
        <v>4981176</v>
      </c>
      <c r="I108" s="191">
        <v>136210</v>
      </c>
      <c r="J108" s="227">
        <f t="shared" ref="J108" si="192">I108*F108</f>
        <v>4903560</v>
      </c>
      <c r="K108" s="225" t="str">
        <f>IF(J108&lt;=$H108,"VÁLIDA","NO VÁLIDA")</f>
        <v>VÁLIDA</v>
      </c>
      <c r="L108" s="191">
        <v>136844</v>
      </c>
      <c r="M108" s="227">
        <f t="shared" si="152"/>
        <v>4926384</v>
      </c>
      <c r="N108" s="225" t="str">
        <f>IF(M108&lt;=$H108,"VÁLIDA","NO VÁLIDA")</f>
        <v>VÁLIDA</v>
      </c>
      <c r="O108" s="191">
        <v>138366</v>
      </c>
      <c r="P108" s="227">
        <f t="shared" si="154"/>
        <v>4981176</v>
      </c>
      <c r="Q108" s="225" t="str">
        <f>IF(P108&lt;=$H108,"VÁLIDA","NO VÁLIDA")</f>
        <v>VÁLIDA</v>
      </c>
      <c r="R108" s="191">
        <v>136332</v>
      </c>
      <c r="S108" s="227">
        <f t="shared" si="156"/>
        <v>4907952</v>
      </c>
      <c r="T108" s="225" t="str">
        <f>IF(S108&lt;=$H108,"VÁLIDA","NO VÁLIDA")</f>
        <v>VÁLIDA</v>
      </c>
      <c r="U108" s="191">
        <v>138366</v>
      </c>
      <c r="V108" s="227">
        <f t="shared" si="158"/>
        <v>4981176</v>
      </c>
      <c r="W108" s="225" t="str">
        <f>IF(V108&lt;=$H108,"VÁLIDA","NO VÁLIDA")</f>
        <v>VÁLIDA</v>
      </c>
      <c r="X108" s="191">
        <v>136152</v>
      </c>
      <c r="Y108" s="227">
        <f t="shared" si="160"/>
        <v>4901472</v>
      </c>
      <c r="Z108" s="225" t="str">
        <f>IF(Y108&lt;=$H108,"VÁLIDA","NO VÁLIDA")</f>
        <v>VÁLIDA</v>
      </c>
      <c r="AA108" s="191">
        <v>136844</v>
      </c>
      <c r="AB108" s="227">
        <f t="shared" si="162"/>
        <v>4926384</v>
      </c>
      <c r="AC108" s="225" t="str">
        <f>IF(AB108&lt;=$H108,"VÁLIDA","NO VÁLIDA")</f>
        <v>VÁLIDA</v>
      </c>
      <c r="AD108" s="191">
        <v>138366</v>
      </c>
      <c r="AE108" s="227">
        <f t="shared" si="164"/>
        <v>4981176</v>
      </c>
      <c r="AF108" s="225" t="str">
        <f>IF(AE108&lt;=$H108,"VÁLIDA","NO VÁLIDA")</f>
        <v>VÁLIDA</v>
      </c>
      <c r="AH108" s="227">
        <f t="shared" si="166"/>
        <v>0</v>
      </c>
      <c r="AI108" s="225" t="str">
        <f>IF(AH108&lt;=$H108,"VÁLIDA","NO VÁLIDA")</f>
        <v>VÁLIDA</v>
      </c>
      <c r="AJ108" s="227">
        <v>128680</v>
      </c>
      <c r="AK108" s="227">
        <f t="shared" si="168"/>
        <v>4632480</v>
      </c>
      <c r="AL108" s="225" t="str">
        <f>IF(AK108&lt;=$H108,"VÁLIDA","NO VÁLIDA")</f>
        <v>VÁLIDA</v>
      </c>
      <c r="AM108" s="227">
        <v>138020</v>
      </c>
      <c r="AN108" s="227">
        <f t="shared" si="170"/>
        <v>4968720</v>
      </c>
      <c r="AO108" s="225" t="str">
        <f>IF(AN108&lt;=$H108,"VÁLIDA","NO VÁLIDA")</f>
        <v>VÁLIDA</v>
      </c>
      <c r="AP108" s="227">
        <v>138366</v>
      </c>
      <c r="AQ108" s="227">
        <f t="shared" si="172"/>
        <v>4981176</v>
      </c>
      <c r="AR108" s="225" t="str">
        <f>IF(AQ108&lt;=$H108,"VÁLIDA","NO VÁLIDA")</f>
        <v>VÁLIDA</v>
      </c>
      <c r="AS108" s="227">
        <v>135300</v>
      </c>
      <c r="AT108" s="227">
        <f t="shared" si="174"/>
        <v>4870800</v>
      </c>
      <c r="AU108" s="225" t="str">
        <f>IF(AT108&lt;=$H108,"VÁLIDA","NO VÁLIDA")</f>
        <v>VÁLIDA</v>
      </c>
      <c r="AV108" s="227">
        <v>183861.9</v>
      </c>
      <c r="AW108" s="227">
        <f t="shared" si="176"/>
        <v>6619028.3999999994</v>
      </c>
      <c r="AX108" s="225" t="str">
        <f>IF(AW108&lt;=$H108,"VÁLIDA","NO VÁLIDA")</f>
        <v>NO VÁLIDA</v>
      </c>
      <c r="AY108" s="227">
        <v>138366</v>
      </c>
      <c r="AZ108" s="227">
        <f t="shared" si="178"/>
        <v>4981176</v>
      </c>
      <c r="BA108" s="225" t="str">
        <f>IF(AZ108&lt;=$H108,"VÁLIDA","NO VÁLIDA")</f>
        <v>VÁLIDA</v>
      </c>
      <c r="BB108" s="227">
        <v>132678.81784983599</v>
      </c>
      <c r="BC108" s="227">
        <f t="shared" si="180"/>
        <v>4776437.4425940961</v>
      </c>
      <c r="BD108" s="225" t="str">
        <f>IF(BC108&lt;=$H108,"VÁLIDA","NO VÁLIDA")</f>
        <v>VÁLIDA</v>
      </c>
      <c r="BE108" s="227">
        <v>135377</v>
      </c>
      <c r="BF108" s="227">
        <f t="shared" si="182"/>
        <v>4873572</v>
      </c>
      <c r="BG108" s="225" t="str">
        <f>IF(BF108&lt;=$H108,"VÁLIDA","NO VÁLIDA")</f>
        <v>VÁLIDA</v>
      </c>
      <c r="BH108" s="227">
        <v>136982.34</v>
      </c>
      <c r="BI108" s="227">
        <f t="shared" si="184"/>
        <v>4931364.24</v>
      </c>
      <c r="BJ108" s="225" t="str">
        <f>IF(BI108&lt;=$H108,"VÁLIDA","NO VÁLIDA")</f>
        <v>VÁLIDA</v>
      </c>
      <c r="BK108" s="227">
        <v>137259</v>
      </c>
      <c r="BL108" s="227">
        <f t="shared" si="186"/>
        <v>4941324</v>
      </c>
      <c r="BM108" s="225" t="str">
        <f>IF(BL108&lt;=$H108,"VÁLIDA","NO VÁLIDA")</f>
        <v>VÁLIDA</v>
      </c>
      <c r="BN108" s="227">
        <v>135894</v>
      </c>
      <c r="BO108" s="227">
        <f t="shared" si="188"/>
        <v>4892184</v>
      </c>
      <c r="BP108" s="225" t="str">
        <f>IF(BO108&lt;=$H108,"VÁLIDA","NO VÁLIDA")</f>
        <v>VÁLIDA</v>
      </c>
    </row>
    <row r="109" spans="2:68" s="230" customFormat="1" ht="12" x14ac:dyDescent="0.25">
      <c r="B109" s="116"/>
      <c r="C109" s="132"/>
      <c r="D109" s="128" t="s">
        <v>148</v>
      </c>
      <c r="E109" s="129"/>
      <c r="F109" s="130"/>
      <c r="G109" s="131"/>
      <c r="H109" s="131"/>
      <c r="I109" s="194"/>
      <c r="J109" s="227"/>
      <c r="K109" s="225"/>
      <c r="L109" s="194"/>
      <c r="M109" s="227"/>
      <c r="N109" s="225"/>
      <c r="O109" s="194"/>
      <c r="P109" s="227"/>
      <c r="Q109" s="225"/>
      <c r="R109" s="194"/>
      <c r="S109" s="227"/>
      <c r="T109" s="225"/>
      <c r="U109" s="194"/>
      <c r="V109" s="227"/>
      <c r="W109" s="225"/>
      <c r="X109" s="194"/>
      <c r="Y109" s="227"/>
      <c r="Z109" s="225"/>
      <c r="AA109" s="194"/>
      <c r="AB109" s="227"/>
      <c r="AC109" s="225"/>
      <c r="AD109" s="194"/>
      <c r="AE109" s="227"/>
      <c r="AF109" s="225"/>
      <c r="AH109" s="227"/>
      <c r="AI109" s="225"/>
      <c r="AJ109" s="227"/>
      <c r="AK109" s="227"/>
      <c r="AL109" s="225"/>
      <c r="AM109" s="227"/>
      <c r="AN109" s="227"/>
      <c r="AO109" s="225"/>
      <c r="AP109" s="227"/>
      <c r="AQ109" s="227"/>
      <c r="AR109" s="225"/>
      <c r="AS109" s="227"/>
      <c r="AT109" s="227"/>
      <c r="AU109" s="225"/>
      <c r="AV109" s="227"/>
      <c r="AW109" s="227"/>
      <c r="AX109" s="225"/>
      <c r="AY109" s="227"/>
      <c r="AZ109" s="227"/>
      <c r="BA109" s="225"/>
      <c r="BB109" s="227"/>
      <c r="BC109" s="227"/>
      <c r="BD109" s="225"/>
      <c r="BE109" s="227"/>
      <c r="BF109" s="227"/>
      <c r="BG109" s="225"/>
      <c r="BH109" s="227"/>
      <c r="BI109" s="227"/>
      <c r="BJ109" s="225"/>
      <c r="BK109" s="227"/>
      <c r="BL109" s="227"/>
      <c r="BM109" s="225"/>
      <c r="BN109" s="227"/>
      <c r="BO109" s="227"/>
      <c r="BP109" s="225"/>
    </row>
    <row r="110" spans="2:68" s="167" customFormat="1" ht="24.75" customHeight="1" x14ac:dyDescent="0.25">
      <c r="B110" s="103">
        <v>3875</v>
      </c>
      <c r="C110" s="94">
        <f>C108+0.01</f>
        <v>4.1299999999999972</v>
      </c>
      <c r="D110" s="95" t="str">
        <f>VLOOKUP(B110,[2]ITEMS!$B$4:$E$2466,2,FALSE)</f>
        <v>CONCRETO 2500 PSI PARA ANCLAJE TUBERIA (Hecho en Obra. Incluye Suministro, Formaleteo y Colocación)</v>
      </c>
      <c r="E110" s="96" t="str">
        <f>VLOOKUP(B110,[2]ITEMS!$B$4:$E$2466,3,FALSE)</f>
        <v>M3</v>
      </c>
      <c r="F110" s="97">
        <v>4</v>
      </c>
      <c r="G110" s="98">
        <f>VLOOKUP(B110,[2]ITEMS!$B$4:$E$2466,4,FALSE)</f>
        <v>301960</v>
      </c>
      <c r="H110" s="98">
        <f t="shared" si="128"/>
        <v>1207840</v>
      </c>
      <c r="I110" s="191">
        <v>297255</v>
      </c>
      <c r="J110" s="227">
        <f t="shared" ref="J110" si="193">I110*F110</f>
        <v>1189020</v>
      </c>
      <c r="K110" s="225" t="str">
        <f>IF(J110&lt;=$H110,"VÁLIDA","NO VÁLIDA")</f>
        <v>VÁLIDA</v>
      </c>
      <c r="L110" s="191">
        <v>298638</v>
      </c>
      <c r="M110" s="227">
        <f t="shared" si="152"/>
        <v>1194552</v>
      </c>
      <c r="N110" s="225" t="str">
        <f>IF(M110&lt;=$H110,"VÁLIDA","NO VÁLIDA")</f>
        <v>VÁLIDA</v>
      </c>
      <c r="O110" s="191">
        <v>301960</v>
      </c>
      <c r="P110" s="227">
        <f t="shared" si="154"/>
        <v>1207840</v>
      </c>
      <c r="Q110" s="225" t="str">
        <f>IF(P110&lt;=$H110,"VÁLIDA","NO VÁLIDA")</f>
        <v>VÁLIDA</v>
      </c>
      <c r="R110" s="191">
        <v>297521</v>
      </c>
      <c r="S110" s="227">
        <f t="shared" si="156"/>
        <v>1190084</v>
      </c>
      <c r="T110" s="225" t="str">
        <f>IF(S110&lt;=$H110,"VÁLIDA","NO VÁLIDA")</f>
        <v>VÁLIDA</v>
      </c>
      <c r="U110" s="191">
        <v>301960</v>
      </c>
      <c r="V110" s="227">
        <f t="shared" si="158"/>
        <v>1207840</v>
      </c>
      <c r="W110" s="225" t="str">
        <f>IF(V110&lt;=$H110,"VÁLIDA","NO VÁLIDA")</f>
        <v>VÁLIDA</v>
      </c>
      <c r="X110" s="191">
        <v>297128</v>
      </c>
      <c r="Y110" s="227">
        <f t="shared" si="160"/>
        <v>1188512</v>
      </c>
      <c r="Z110" s="225" t="str">
        <f>IF(Y110&lt;=$H110,"VÁLIDA","NO VÁLIDA")</f>
        <v>VÁLIDA</v>
      </c>
      <c r="AA110" s="191">
        <v>298638</v>
      </c>
      <c r="AB110" s="227">
        <f t="shared" si="162"/>
        <v>1194552</v>
      </c>
      <c r="AC110" s="225" t="str">
        <f>IF(AB110&lt;=$H110,"VÁLIDA","NO VÁLIDA")</f>
        <v>VÁLIDA</v>
      </c>
      <c r="AD110" s="191">
        <v>301960</v>
      </c>
      <c r="AE110" s="227">
        <f t="shared" si="164"/>
        <v>1207840</v>
      </c>
      <c r="AF110" s="225" t="str">
        <f>IF(AE110&lt;=$H110,"VÁLIDA","NO VÁLIDA")</f>
        <v>VÁLIDA</v>
      </c>
      <c r="AH110" s="227">
        <f t="shared" si="166"/>
        <v>0</v>
      </c>
      <c r="AI110" s="225" t="str">
        <f>IF(AH110&lt;=$H110,"VÁLIDA","NO VÁLIDA")</f>
        <v>VÁLIDA</v>
      </c>
      <c r="AJ110" s="227">
        <v>280823</v>
      </c>
      <c r="AK110" s="227">
        <f t="shared" si="168"/>
        <v>1123292</v>
      </c>
      <c r="AL110" s="225" t="str">
        <f>IF(AK110&lt;=$H110,"VÁLIDA","NO VÁLIDA")</f>
        <v>VÁLIDA</v>
      </c>
      <c r="AM110" s="227">
        <v>301205</v>
      </c>
      <c r="AN110" s="227">
        <f t="shared" si="170"/>
        <v>1204820</v>
      </c>
      <c r="AO110" s="225" t="str">
        <f>IF(AN110&lt;=$H110,"VÁLIDA","NO VÁLIDA")</f>
        <v>VÁLIDA</v>
      </c>
      <c r="AP110" s="227">
        <v>301960</v>
      </c>
      <c r="AQ110" s="227">
        <f t="shared" si="172"/>
        <v>1207840</v>
      </c>
      <c r="AR110" s="225" t="str">
        <f>IF(AQ110&lt;=$H110,"VÁLIDA","NO VÁLIDA")</f>
        <v>VÁLIDA</v>
      </c>
      <c r="AS110" s="227">
        <v>295400</v>
      </c>
      <c r="AT110" s="227">
        <f t="shared" si="174"/>
        <v>1181600</v>
      </c>
      <c r="AU110" s="225" t="str">
        <f>IF(AT110&lt;=$H110,"VÁLIDA","NO VÁLIDA")</f>
        <v>VÁLIDA</v>
      </c>
      <c r="AV110" s="227">
        <v>401245.65</v>
      </c>
      <c r="AW110" s="227">
        <f t="shared" si="176"/>
        <v>1604982.6</v>
      </c>
      <c r="AX110" s="225" t="str">
        <f>IF(AW110&lt;=$H110,"VÁLIDA","NO VÁLIDA")</f>
        <v>NO VÁLIDA</v>
      </c>
      <c r="AY110" s="227">
        <v>301960</v>
      </c>
      <c r="AZ110" s="227">
        <f t="shared" si="178"/>
        <v>1207840</v>
      </c>
      <c r="BA110" s="225" t="str">
        <f>IF(AZ110&lt;=$H110,"VÁLIDA","NO VÁLIDA")</f>
        <v>VÁLIDA</v>
      </c>
      <c r="BB110" s="227">
        <v>289548.70299015997</v>
      </c>
      <c r="BC110" s="227">
        <f t="shared" si="180"/>
        <v>1158194.8119606399</v>
      </c>
      <c r="BD110" s="225" t="str">
        <f>IF(BC110&lt;=$H110,"VÁLIDA","NO VÁLIDA")</f>
        <v>VÁLIDA</v>
      </c>
      <c r="BE110" s="227">
        <v>295438</v>
      </c>
      <c r="BF110" s="227">
        <f t="shared" si="182"/>
        <v>1181752</v>
      </c>
      <c r="BG110" s="225" t="str">
        <f>IF(BF110&lt;=$H110,"VÁLIDA","NO VÁLIDA")</f>
        <v>VÁLIDA</v>
      </c>
      <c r="BH110" s="227">
        <v>298940.40000000002</v>
      </c>
      <c r="BI110" s="227">
        <f t="shared" si="184"/>
        <v>1195761.6000000001</v>
      </c>
      <c r="BJ110" s="225" t="str">
        <f>IF(BI110&lt;=$H110,"VÁLIDA","NO VÁLIDA")</f>
        <v>VÁLIDA</v>
      </c>
      <c r="BK110" s="227">
        <v>299544</v>
      </c>
      <c r="BL110" s="227">
        <f t="shared" si="186"/>
        <v>1198176</v>
      </c>
      <c r="BM110" s="225" t="str">
        <f>IF(BL110&lt;=$H110,"VÁLIDA","NO VÁLIDA")</f>
        <v>VÁLIDA</v>
      </c>
      <c r="BN110" s="227">
        <v>296566</v>
      </c>
      <c r="BO110" s="227">
        <f t="shared" si="188"/>
        <v>1186264</v>
      </c>
      <c r="BP110" s="225" t="str">
        <f>IF(BO110&lt;=$H110,"VÁLIDA","NO VÁLIDA")</f>
        <v>VÁLIDA</v>
      </c>
    </row>
    <row r="111" spans="2:68" s="167" customFormat="1" ht="24.75" customHeight="1" x14ac:dyDescent="0.25">
      <c r="B111" s="133"/>
      <c r="C111" s="134"/>
      <c r="D111" s="95" t="s">
        <v>149</v>
      </c>
      <c r="E111" s="96" t="s">
        <v>88</v>
      </c>
      <c r="F111" s="97">
        <v>115</v>
      </c>
      <c r="G111" s="98">
        <v>58833</v>
      </c>
      <c r="H111" s="98">
        <f t="shared" si="128"/>
        <v>6765795</v>
      </c>
      <c r="I111" s="191">
        <v>57916</v>
      </c>
      <c r="J111" s="227">
        <f t="shared" ref="J111:J113" si="194">I111*F111</f>
        <v>6660340</v>
      </c>
      <c r="K111" s="225" t="str">
        <f>IF(J111&lt;=$H111,"VÁLIDA","NO VÁLIDA")</f>
        <v>VÁLIDA</v>
      </c>
      <c r="L111" s="191">
        <v>58186</v>
      </c>
      <c r="M111" s="227">
        <f t="shared" si="152"/>
        <v>6691390</v>
      </c>
      <c r="N111" s="225" t="str">
        <f>IF(M111&lt;=$H111,"VÁLIDA","NO VÁLIDA")</f>
        <v>VÁLIDA</v>
      </c>
      <c r="O111" s="191">
        <v>58833</v>
      </c>
      <c r="P111" s="227">
        <f t="shared" si="154"/>
        <v>6765795</v>
      </c>
      <c r="Q111" s="225" t="str">
        <f>IF(P111&lt;=$H111,"VÁLIDA","NO VÁLIDA")</f>
        <v>VÁLIDA</v>
      </c>
      <c r="R111" s="191">
        <v>57968</v>
      </c>
      <c r="S111" s="227">
        <f t="shared" si="156"/>
        <v>6666320</v>
      </c>
      <c r="T111" s="225" t="str">
        <f>IF(S111&lt;=$H111,"VÁLIDA","NO VÁLIDA")</f>
        <v>VÁLIDA</v>
      </c>
      <c r="U111" s="191">
        <v>58833</v>
      </c>
      <c r="V111" s="227">
        <f t="shared" si="158"/>
        <v>6765795</v>
      </c>
      <c r="W111" s="225" t="str">
        <f>IF(V111&lt;=$H111,"VÁLIDA","NO VÁLIDA")</f>
        <v>VÁLIDA</v>
      </c>
      <c r="X111" s="191">
        <v>57891</v>
      </c>
      <c r="Y111" s="227">
        <f t="shared" si="160"/>
        <v>6657465</v>
      </c>
      <c r="Z111" s="225" t="str">
        <f>IF(Y111&lt;=$H111,"VÁLIDA","NO VÁLIDA")</f>
        <v>VÁLIDA</v>
      </c>
      <c r="AA111" s="191">
        <v>58186</v>
      </c>
      <c r="AB111" s="227">
        <f t="shared" si="162"/>
        <v>6691390</v>
      </c>
      <c r="AC111" s="225" t="str">
        <f>IF(AB111&lt;=$H111,"VÁLIDA","NO VÁLIDA")</f>
        <v>VÁLIDA</v>
      </c>
      <c r="AD111" s="191">
        <v>58833</v>
      </c>
      <c r="AE111" s="227">
        <f t="shared" si="164"/>
        <v>6765795</v>
      </c>
      <c r="AF111" s="225" t="str">
        <f>IF(AE111&lt;=$H111,"VÁLIDA","NO VÁLIDA")</f>
        <v>VÁLIDA</v>
      </c>
      <c r="AH111" s="227">
        <f t="shared" si="166"/>
        <v>0</v>
      </c>
      <c r="AI111" s="225" t="str">
        <f>IF(AH111&lt;=$H111,"VÁLIDA","NO VÁLIDA")</f>
        <v>VÁLIDA</v>
      </c>
      <c r="AJ111" s="227">
        <v>54715</v>
      </c>
      <c r="AK111" s="227">
        <f t="shared" si="168"/>
        <v>6292225</v>
      </c>
      <c r="AL111" s="225" t="str">
        <f>IF(AK111&lt;=$H111,"VÁLIDA","NO VÁLIDA")</f>
        <v>VÁLIDA</v>
      </c>
      <c r="AM111" s="227">
        <v>58686</v>
      </c>
      <c r="AN111" s="227">
        <f t="shared" si="170"/>
        <v>6748890</v>
      </c>
      <c r="AO111" s="225" t="str">
        <f>IF(AN111&lt;=$H111,"VÁLIDA","NO VÁLIDA")</f>
        <v>VÁLIDA</v>
      </c>
      <c r="AP111" s="227">
        <v>58833</v>
      </c>
      <c r="AQ111" s="227">
        <f t="shared" si="172"/>
        <v>6765795</v>
      </c>
      <c r="AR111" s="225" t="str">
        <f>IF(AQ111&lt;=$H111,"VÁLIDA","NO VÁLIDA")</f>
        <v>VÁLIDA</v>
      </c>
      <c r="AS111" s="227">
        <v>57500</v>
      </c>
      <c r="AT111" s="227">
        <f t="shared" si="174"/>
        <v>6612500</v>
      </c>
      <c r="AU111" s="225" t="str">
        <f>IF(AT111&lt;=$H111,"VÁLIDA","NO VÁLIDA")</f>
        <v>VÁLIDA</v>
      </c>
      <c r="AV111" s="227">
        <v>78177.149999999994</v>
      </c>
      <c r="AW111" s="227">
        <f t="shared" si="176"/>
        <v>8990372.25</v>
      </c>
      <c r="AX111" s="225" t="str">
        <f>IF(AW111&lt;=$H111,"VÁLIDA","NO VÁLIDA")</f>
        <v>NO VÁLIDA</v>
      </c>
      <c r="AY111" s="227">
        <v>58833</v>
      </c>
      <c r="AZ111" s="227">
        <f t="shared" si="178"/>
        <v>6765795</v>
      </c>
      <c r="BA111" s="225" t="str">
        <f>IF(AZ111&lt;=$H111,"VÁLIDA","NO VÁLIDA")</f>
        <v>VÁLIDA</v>
      </c>
      <c r="BB111" s="227">
        <v>56414.819323818003</v>
      </c>
      <c r="BC111" s="227">
        <f t="shared" si="180"/>
        <v>6487704.2222390706</v>
      </c>
      <c r="BD111" s="225" t="str">
        <f>IF(BC111&lt;=$H111,"VÁLIDA","NO VÁLIDA")</f>
        <v>VÁLIDA</v>
      </c>
      <c r="BE111" s="227">
        <v>57562</v>
      </c>
      <c r="BF111" s="227">
        <f t="shared" si="182"/>
        <v>6619630</v>
      </c>
      <c r="BG111" s="225" t="str">
        <f>IF(BF111&lt;=$H111,"VÁLIDA","NO VÁLIDA")</f>
        <v>VÁLIDA</v>
      </c>
      <c r="BH111" s="227">
        <v>58244.67</v>
      </c>
      <c r="BI111" s="227">
        <f t="shared" si="184"/>
        <v>6698137.0499999998</v>
      </c>
      <c r="BJ111" s="225" t="str">
        <f>IF(BI111&lt;=$H111,"VÁLIDA","NO VÁLIDA")</f>
        <v>VÁLIDA</v>
      </c>
      <c r="BK111" s="227">
        <v>58362</v>
      </c>
      <c r="BL111" s="227">
        <f t="shared" si="186"/>
        <v>6711630</v>
      </c>
      <c r="BM111" s="225" t="str">
        <f>IF(BL111&lt;=$H111,"VÁLIDA","NO VÁLIDA")</f>
        <v>VÁLIDA</v>
      </c>
      <c r="BN111" s="227">
        <v>57782</v>
      </c>
      <c r="BO111" s="227">
        <f t="shared" si="188"/>
        <v>6644930</v>
      </c>
      <c r="BP111" s="225" t="str">
        <f>IF(BO111&lt;=$H111,"VÁLIDA","NO VÁLIDA")</f>
        <v>VÁLIDA</v>
      </c>
    </row>
    <row r="112" spans="2:68" s="167" customFormat="1" ht="24.75" customHeight="1" x14ac:dyDescent="0.25">
      <c r="B112" s="133"/>
      <c r="C112" s="134"/>
      <c r="D112" s="112" t="s">
        <v>150</v>
      </c>
      <c r="E112" s="113" t="s">
        <v>88</v>
      </c>
      <c r="F112" s="114">
        <v>3</v>
      </c>
      <c r="G112" s="115">
        <v>581924</v>
      </c>
      <c r="H112" s="115">
        <f t="shared" si="128"/>
        <v>1745772</v>
      </c>
      <c r="I112" s="191">
        <v>572857</v>
      </c>
      <c r="J112" s="227">
        <f t="shared" si="194"/>
        <v>1718571</v>
      </c>
      <c r="K112" s="225" t="str">
        <f>IF(J112&lt;=$H112,"VÁLIDA","NO VÁLIDA")</f>
        <v>VÁLIDA</v>
      </c>
      <c r="L112" s="191">
        <v>575523</v>
      </c>
      <c r="M112" s="227">
        <f t="shared" si="152"/>
        <v>1726569</v>
      </c>
      <c r="N112" s="225" t="str">
        <f>IF(M112&lt;=$H112,"VÁLIDA","NO VÁLIDA")</f>
        <v>VÁLIDA</v>
      </c>
      <c r="O112" s="191">
        <v>581924</v>
      </c>
      <c r="P112" s="227">
        <f t="shared" si="154"/>
        <v>1745772</v>
      </c>
      <c r="Q112" s="225" t="str">
        <f>IF(P112&lt;=$H112,"VÁLIDA","NO VÁLIDA")</f>
        <v>VÁLIDA</v>
      </c>
      <c r="R112" s="191">
        <v>573370</v>
      </c>
      <c r="S112" s="227">
        <f t="shared" si="156"/>
        <v>1720110</v>
      </c>
      <c r="T112" s="225" t="str">
        <f>IF(S112&lt;=$H112,"VÁLIDA","NO VÁLIDA")</f>
        <v>VÁLIDA</v>
      </c>
      <c r="U112" s="191">
        <v>581924</v>
      </c>
      <c r="V112" s="227">
        <f t="shared" si="158"/>
        <v>1745772</v>
      </c>
      <c r="W112" s="225" t="str">
        <f>IF(V112&lt;=$H112,"VÁLIDA","NO VÁLIDA")</f>
        <v>VÁLIDA</v>
      </c>
      <c r="X112" s="191">
        <v>572613</v>
      </c>
      <c r="Y112" s="227">
        <f t="shared" si="160"/>
        <v>1717839</v>
      </c>
      <c r="Z112" s="225" t="str">
        <f>IF(Y112&lt;=$H112,"VÁLIDA","NO VÁLIDA")</f>
        <v>VÁLIDA</v>
      </c>
      <c r="AA112" s="191">
        <v>575523</v>
      </c>
      <c r="AB112" s="227">
        <f t="shared" si="162"/>
        <v>1726569</v>
      </c>
      <c r="AC112" s="225" t="str">
        <f>IF(AB112&lt;=$H112,"VÁLIDA","NO VÁLIDA")</f>
        <v>VÁLIDA</v>
      </c>
      <c r="AD112" s="191">
        <v>581924</v>
      </c>
      <c r="AE112" s="227">
        <f t="shared" si="164"/>
        <v>1745772</v>
      </c>
      <c r="AF112" s="225" t="str">
        <f>IF(AE112&lt;=$H112,"VÁLIDA","NO VÁLIDA")</f>
        <v>VÁLIDA</v>
      </c>
      <c r="AH112" s="227">
        <f t="shared" si="166"/>
        <v>0</v>
      </c>
      <c r="AI112" s="225" t="str">
        <f>IF(AH112&lt;=$H112,"VÁLIDA","NO VÁLIDA")</f>
        <v>VÁLIDA</v>
      </c>
      <c r="AJ112" s="227">
        <v>541189</v>
      </c>
      <c r="AK112" s="227">
        <f t="shared" si="168"/>
        <v>1623567</v>
      </c>
      <c r="AL112" s="225" t="str">
        <f>IF(AK112&lt;=$H112,"VÁLIDA","NO VÁLIDA")</f>
        <v>VÁLIDA</v>
      </c>
      <c r="AM112" s="227">
        <v>580469</v>
      </c>
      <c r="AN112" s="227">
        <f t="shared" si="170"/>
        <v>1741407</v>
      </c>
      <c r="AO112" s="225" t="str">
        <f>IF(AN112&lt;=$H112,"VÁLIDA","NO VÁLIDA")</f>
        <v>VÁLIDA</v>
      </c>
      <c r="AP112" s="227">
        <v>581924</v>
      </c>
      <c r="AQ112" s="227">
        <f t="shared" si="172"/>
        <v>1745772</v>
      </c>
      <c r="AR112" s="225" t="str">
        <f>IF(AQ112&lt;=$H112,"VÁLIDA","NO VÁLIDA")</f>
        <v>VÁLIDA</v>
      </c>
      <c r="AS112" s="227">
        <v>596000</v>
      </c>
      <c r="AT112" s="227">
        <f>AS112*$F112</f>
        <v>1788000</v>
      </c>
      <c r="AU112" s="225" t="str">
        <f>IF(AT112&lt;=$H112,"VÁLIDA","NO VÁLIDA")</f>
        <v>NO VÁLIDA</v>
      </c>
      <c r="AV112" s="227">
        <v>773263.8</v>
      </c>
      <c r="AW112" s="227">
        <f t="shared" si="176"/>
        <v>2319791.4000000004</v>
      </c>
      <c r="AX112" s="225" t="str">
        <f>IF(AW112&lt;=$H112,"VÁLIDA","NO VÁLIDA")</f>
        <v>NO VÁLIDA</v>
      </c>
      <c r="AY112" s="227">
        <v>581924</v>
      </c>
      <c r="AZ112" s="227">
        <f t="shared" si="178"/>
        <v>1745772</v>
      </c>
      <c r="BA112" s="225" t="str">
        <f>IF(AZ112&lt;=$H112,"VÁLIDA","NO VÁLIDA")</f>
        <v>VÁLIDA</v>
      </c>
      <c r="BB112" s="227">
        <v>558005.49555850402</v>
      </c>
      <c r="BC112" s="227">
        <f t="shared" si="180"/>
        <v>1674016.486675512</v>
      </c>
      <c r="BD112" s="225" t="str">
        <f>IF(BC112&lt;=$H112,"VÁLIDA","NO VÁLIDA")</f>
        <v>VÁLIDA</v>
      </c>
      <c r="BE112" s="227">
        <v>569354</v>
      </c>
      <c r="BF112" s="227">
        <f t="shared" si="182"/>
        <v>1708062</v>
      </c>
      <c r="BG112" s="225" t="str">
        <f>IF(BF112&lt;=$H112,"VÁLIDA","NO VÁLIDA")</f>
        <v>VÁLIDA</v>
      </c>
      <c r="BH112" s="227">
        <v>576104.76</v>
      </c>
      <c r="BI112" s="227">
        <f t="shared" si="184"/>
        <v>1728314.28</v>
      </c>
      <c r="BJ112" s="225" t="str">
        <f>IF(BI112&lt;=$H112,"VÁLIDA","NO VÁLIDA")</f>
        <v>VÁLIDA</v>
      </c>
      <c r="BK112" s="227">
        <v>577269</v>
      </c>
      <c r="BL112" s="227">
        <f t="shared" si="186"/>
        <v>1731807</v>
      </c>
      <c r="BM112" s="225" t="str">
        <f>IF(BL112&lt;=$H112,"VÁLIDA","NO VÁLIDA")</f>
        <v>VÁLIDA</v>
      </c>
      <c r="BN112" s="227">
        <v>571530</v>
      </c>
      <c r="BO112" s="227">
        <f t="shared" si="188"/>
        <v>1714590</v>
      </c>
      <c r="BP112" s="225" t="str">
        <f>IF(BO112&lt;=$H112,"VÁLIDA","NO VÁLIDA")</f>
        <v>VÁLIDA</v>
      </c>
    </row>
    <row r="113" spans="2:68" s="167" customFormat="1" ht="39.75" customHeight="1" thickBot="1" x14ac:dyDescent="0.3">
      <c r="B113" s="135">
        <v>6512</v>
      </c>
      <c r="C113" s="136">
        <v>6512</v>
      </c>
      <c r="D113" s="137" t="str">
        <f>VLOOKUP(B113,[2]ITEMS!$B$4:$E$2466,2,FALSE)</f>
        <v>CONCRETO 3000 PSI PARA ANCLAJE TUBERÍA (Premezclado. Incluye Suministro, Formaleteo y Colocación)</v>
      </c>
      <c r="E113" s="138" t="str">
        <f>VLOOKUP(B113,[2]ITEMS!$B$4:$E$2466,3,FALSE)</f>
        <v>M3</v>
      </c>
      <c r="F113" s="139">
        <v>4</v>
      </c>
      <c r="G113" s="140">
        <f>VLOOKUP(B113,[2]ITEMS!$B$4:$E$2466,4,FALSE)</f>
        <v>410380</v>
      </c>
      <c r="H113" s="140">
        <f t="shared" si="128"/>
        <v>1641520</v>
      </c>
      <c r="I113" s="190">
        <v>403986</v>
      </c>
      <c r="J113" s="227">
        <f t="shared" si="194"/>
        <v>1615944</v>
      </c>
      <c r="K113" s="225" t="str">
        <f>IF(J113&lt;=$H113,"VÁLIDA","NO VÁLIDA")</f>
        <v>VÁLIDA</v>
      </c>
      <c r="L113" s="190">
        <v>405866</v>
      </c>
      <c r="M113" s="227">
        <f t="shared" si="152"/>
        <v>1623464</v>
      </c>
      <c r="N113" s="225" t="str">
        <f>IF(M113&lt;=$H113,"VÁLIDA","NO VÁLIDA")</f>
        <v>VÁLIDA</v>
      </c>
      <c r="O113" s="190">
        <v>410380</v>
      </c>
      <c r="P113" s="227">
        <f t="shared" si="154"/>
        <v>1641520</v>
      </c>
      <c r="Q113" s="225" t="str">
        <f>IF(P113&lt;=$H113,"VÁLIDA","NO VÁLIDA")</f>
        <v>VÁLIDA</v>
      </c>
      <c r="R113" s="190">
        <v>404347</v>
      </c>
      <c r="S113" s="227">
        <f t="shared" si="156"/>
        <v>1617388</v>
      </c>
      <c r="T113" s="225" t="str">
        <f>IF(S113&lt;=$H113,"VÁLIDA","NO VÁLIDA")</f>
        <v>VÁLIDA</v>
      </c>
      <c r="U113" s="190">
        <v>410380</v>
      </c>
      <c r="V113" s="227">
        <f t="shared" si="158"/>
        <v>1641520</v>
      </c>
      <c r="W113" s="225" t="str">
        <f>IF(V113&lt;=$H113,"VÁLIDA","NO VÁLIDA")</f>
        <v>VÁLIDA</v>
      </c>
      <c r="X113" s="190">
        <v>403813</v>
      </c>
      <c r="Y113" s="227">
        <f t="shared" si="160"/>
        <v>1615252</v>
      </c>
      <c r="Z113" s="225" t="str">
        <f>IF(Y113&lt;=$H113,"VÁLIDA","NO VÁLIDA")</f>
        <v>VÁLIDA</v>
      </c>
      <c r="AA113" s="190">
        <v>405866</v>
      </c>
      <c r="AB113" s="227">
        <f t="shared" si="162"/>
        <v>1623464</v>
      </c>
      <c r="AC113" s="225" t="str">
        <f>IF(AB113&lt;=$H113,"VÁLIDA","NO VÁLIDA")</f>
        <v>VÁLIDA</v>
      </c>
      <c r="AD113" s="190">
        <v>410380</v>
      </c>
      <c r="AE113" s="227">
        <f t="shared" si="164"/>
        <v>1641520</v>
      </c>
      <c r="AF113" s="225" t="str">
        <f>IF(AE113&lt;=$H113,"VÁLIDA","NO VÁLIDA")</f>
        <v>VÁLIDA</v>
      </c>
      <c r="AH113" s="227">
        <f t="shared" si="166"/>
        <v>0</v>
      </c>
      <c r="AI113" s="225" t="str">
        <f>IF(AH113&lt;=$H113,"VÁLIDA","NO VÁLIDA")</f>
        <v>VÁLIDA</v>
      </c>
      <c r="AJ113" s="227">
        <v>381653</v>
      </c>
      <c r="AK113" s="227">
        <f t="shared" si="168"/>
        <v>1526612</v>
      </c>
      <c r="AL113" s="225" t="str">
        <f>IF(AK113&lt;=$H113,"VÁLIDA","NO VÁLIDA")</f>
        <v>VÁLIDA</v>
      </c>
      <c r="AM113" s="227">
        <v>409354</v>
      </c>
      <c r="AN113" s="227">
        <f t="shared" si="170"/>
        <v>1637416</v>
      </c>
      <c r="AO113" s="225" t="str">
        <f>IF(AN113&lt;=$H113,"VÁLIDA","NO VÁLIDA")</f>
        <v>VÁLIDA</v>
      </c>
      <c r="AP113" s="227">
        <v>410380</v>
      </c>
      <c r="AQ113" s="227">
        <f t="shared" si="172"/>
        <v>1641520</v>
      </c>
      <c r="AR113" s="225" t="str">
        <f>IF(AQ113&lt;=$H113,"VÁLIDA","NO VÁLIDA")</f>
        <v>VÁLIDA</v>
      </c>
      <c r="AS113" s="227">
        <v>401000</v>
      </c>
      <c r="AT113" s="227">
        <f t="shared" si="174"/>
        <v>1604000</v>
      </c>
      <c r="AU113" s="225" t="str">
        <f>IF(AT113&lt;=$H113,"VÁLIDA","NO VÁLIDA")</f>
        <v>VÁLIDA</v>
      </c>
      <c r="AV113" s="227">
        <v>545314.94999999995</v>
      </c>
      <c r="AW113" s="227">
        <f t="shared" si="176"/>
        <v>2181259.7999999998</v>
      </c>
      <c r="AX113" s="225" t="str">
        <f>IF(AW113&lt;=$H113,"VÁLIDA","NO VÁLIDA")</f>
        <v>NO VÁLIDA</v>
      </c>
      <c r="AY113" s="227">
        <v>410380</v>
      </c>
      <c r="AZ113" s="227">
        <f t="shared" si="178"/>
        <v>1641520</v>
      </c>
      <c r="BA113" s="225" t="str">
        <f>IF(AZ113&lt;=$H113,"VÁLIDA","NO VÁLIDA")</f>
        <v>VÁLIDA</v>
      </c>
      <c r="BB113" s="227">
        <v>393512.37492748001</v>
      </c>
      <c r="BC113" s="227">
        <f t="shared" si="180"/>
        <v>1574049.49970992</v>
      </c>
      <c r="BD113" s="225" t="str">
        <f>IF(BC113&lt;=$H113,"VÁLIDA","NO VÁLIDA")</f>
        <v>VÁLIDA</v>
      </c>
      <c r="BE113" s="227">
        <v>401516</v>
      </c>
      <c r="BF113" s="227">
        <f t="shared" si="182"/>
        <v>1606064</v>
      </c>
      <c r="BG113" s="225" t="str">
        <f>IF(BF113&lt;=$H113,"VÁLIDA","NO VÁLIDA")</f>
        <v>VÁLIDA</v>
      </c>
      <c r="BH113" s="227">
        <v>406276.2</v>
      </c>
      <c r="BI113" s="227">
        <f t="shared" si="184"/>
        <v>1625104.8</v>
      </c>
      <c r="BJ113" s="225" t="str">
        <f>IF(BI113&lt;=$H113,"VÁLIDA","NO VÁLIDA")</f>
        <v>VÁLIDA</v>
      </c>
      <c r="BK113" s="227">
        <v>407097</v>
      </c>
      <c r="BL113" s="227">
        <f t="shared" si="186"/>
        <v>1628388</v>
      </c>
      <c r="BM113" s="225" t="str">
        <f>IF(BL113&lt;=$H113,"VÁLIDA","NO VÁLIDA")</f>
        <v>VÁLIDA</v>
      </c>
      <c r="BN113" s="227">
        <v>403050</v>
      </c>
      <c r="BO113" s="227">
        <f t="shared" si="188"/>
        <v>1612200</v>
      </c>
      <c r="BP113" s="225" t="str">
        <f>IF(BO113&lt;=$H113,"VÁLIDA","NO VÁLIDA")</f>
        <v>VÁLIDA</v>
      </c>
    </row>
    <row r="114" spans="2:68" s="167" customFormat="1" ht="12.75" thickBot="1" x14ac:dyDescent="0.3">
      <c r="B114" s="78"/>
      <c r="C114" s="141">
        <f>C86+1</f>
        <v>5</v>
      </c>
      <c r="D114" s="101" t="s">
        <v>151</v>
      </c>
      <c r="E114" s="101"/>
      <c r="F114" s="82"/>
      <c r="G114" s="102"/>
      <c r="H114" s="83">
        <f>SUM(H115:H129)</f>
        <v>132575568.84999999</v>
      </c>
      <c r="I114" s="226"/>
      <c r="J114" s="192">
        <f>SUM(J115:J129)</f>
        <v>130696901</v>
      </c>
      <c r="K114" s="225" t="str">
        <f>IF(J114&lt;=$H114,"VÁLIDA","NO VÁLIDA")</f>
        <v>VÁLIDA</v>
      </c>
      <c r="L114" s="226"/>
      <c r="M114" s="192">
        <f>SUM(M115:M129)</f>
        <v>131117313</v>
      </c>
      <c r="N114" s="225" t="str">
        <f>IF(M114&lt;=$H114,"VÁLIDA","NO VÁLIDA")</f>
        <v>VÁLIDA</v>
      </c>
      <c r="O114" s="226"/>
      <c r="P114" s="192">
        <f>SUM(P115:P129)</f>
        <v>132075568.84999999</v>
      </c>
      <c r="Q114" s="225" t="str">
        <f>IF(P114&lt;=$H114,"VÁLIDA","NO VÁLIDA")</f>
        <v>VÁLIDA</v>
      </c>
      <c r="R114" s="226"/>
      <c r="S114" s="192">
        <f>SUM(S115:S129)</f>
        <v>130626658</v>
      </c>
      <c r="T114" s="225" t="str">
        <f>IF(S114&lt;=$H114,"VÁLIDA","NO VÁLIDA")</f>
        <v>VÁLIDA</v>
      </c>
      <c r="U114" s="226"/>
      <c r="V114" s="192">
        <f>SUM(V115:V129)</f>
        <v>132575568.84999999</v>
      </c>
      <c r="W114" s="225" t="str">
        <f>IF(V114&lt;=$H114,"VÁLIDA","NO VÁLIDA")</f>
        <v>VÁLIDA</v>
      </c>
      <c r="X114" s="226"/>
      <c r="Y114" s="192">
        <f>SUM(Y115:Y129)</f>
        <v>130454074</v>
      </c>
      <c r="Z114" s="225" t="str">
        <f>IF(Y114&lt;=$H114,"VÁLIDA","NO VÁLIDA")</f>
        <v>VÁLIDA</v>
      </c>
      <c r="AA114" s="226"/>
      <c r="AB114" s="192">
        <f>SUM(AB115:AB129)</f>
        <v>131117313</v>
      </c>
      <c r="AC114" s="225" t="str">
        <f>IF(AB114&lt;=$H114,"VÁLIDA","NO VÁLIDA")</f>
        <v>VÁLIDA</v>
      </c>
      <c r="AD114" s="226"/>
      <c r="AE114" s="192">
        <f>SUM(AE115:AE129)</f>
        <v>131372781</v>
      </c>
      <c r="AF114" s="225" t="str">
        <f>IF(AE114&lt;=$H114,"VÁLIDA","NO VÁLIDA")</f>
        <v>VÁLIDA</v>
      </c>
      <c r="AH114" s="192">
        <f>SUM(AH115:AH129)</f>
        <v>0</v>
      </c>
      <c r="AI114" s="225" t="str">
        <f>IF(AH114&lt;=$H114,"VÁLIDA","NO VÁLIDA")</f>
        <v>VÁLIDA</v>
      </c>
      <c r="AJ114" s="192"/>
      <c r="AK114" s="192">
        <f>SUM(AK115:AK129)</f>
        <v>123295128</v>
      </c>
      <c r="AL114" s="225" t="str">
        <f>IF(AK114&lt;=$H114,"VÁLIDA","NO VÁLIDA")</f>
        <v>VÁLIDA</v>
      </c>
      <c r="AM114" s="192"/>
      <c r="AN114" s="192">
        <f>SUM(AN115:AN129)</f>
        <v>132244079</v>
      </c>
      <c r="AO114" s="225" t="str">
        <f>IF(AN114&lt;=$H114,"VÁLIDA","NO VÁLIDA")</f>
        <v>VÁLIDA</v>
      </c>
      <c r="AP114" s="192"/>
      <c r="AQ114" s="192">
        <f>SUM(AQ115:AQ129)</f>
        <v>132575565</v>
      </c>
      <c r="AR114" s="225" t="str">
        <f>IF(AQ114&lt;=$H114,"VÁLIDA","NO VÁLIDA")</f>
        <v>VÁLIDA</v>
      </c>
      <c r="AS114" s="192"/>
      <c r="AT114" s="192">
        <f>SUM(AT115:AT129)</f>
        <v>129660500</v>
      </c>
      <c r="AU114" s="225" t="str">
        <f>IF(AT114&lt;=$H114,"VÁLIDA","NO VÁLIDA")</f>
        <v>VÁLIDA</v>
      </c>
      <c r="AV114" s="192"/>
      <c r="AW114" s="192">
        <f>SUM(AW115:AW129)</f>
        <v>176168284.19999999</v>
      </c>
      <c r="AX114" s="225" t="str">
        <f>IF(AW114&lt;=$H114,"VÁLIDA","NO VÁLIDA")</f>
        <v>NO VÁLIDA</v>
      </c>
      <c r="AY114" s="192"/>
      <c r="AZ114" s="192">
        <f>SUM(AZ115:AZ129)</f>
        <v>132575565</v>
      </c>
      <c r="BA114" s="225" t="str">
        <f>IF(AZ114&lt;=$H114,"VÁLIDA","NO VÁLIDA")</f>
        <v>VÁLIDA</v>
      </c>
      <c r="BB114" s="192"/>
      <c r="BC114" s="192">
        <f>SUM(BC115:BC129)</f>
        <v>127126387.62981905</v>
      </c>
      <c r="BD114" s="225" t="str">
        <f>IF(BC114&lt;=$H114,"VÁLIDA","NO VÁLIDA")</f>
        <v>VÁLIDA</v>
      </c>
      <c r="BE114" s="192"/>
      <c r="BF114" s="192">
        <f>SUM(BF115:BF129)</f>
        <v>129711924</v>
      </c>
      <c r="BG114" s="225" t="str">
        <f>IF(BF114&lt;=$H114,"VÁLIDA","NO VÁLIDA")</f>
        <v>VÁLIDA</v>
      </c>
      <c r="BH114" s="192"/>
      <c r="BI114" s="192">
        <f>SUM(BI115:BI129)</f>
        <v>131249813.16150002</v>
      </c>
      <c r="BJ114" s="225" t="str">
        <f>IF(BI114&lt;=$H114,"VÁLIDA","NO VÁLIDA")</f>
        <v>VÁLIDA</v>
      </c>
      <c r="BK114" s="192"/>
      <c r="BL114" s="192">
        <f>SUM(BL115:BL129)</f>
        <v>131514900</v>
      </c>
      <c r="BM114" s="225" t="str">
        <f>IF(BL114&lt;=$H114,"VÁLIDA","NO VÁLIDA")</f>
        <v>VÁLIDA</v>
      </c>
      <c r="BN114" s="192"/>
      <c r="BO114" s="192">
        <f>SUM(BO115:BO129)</f>
        <v>130207417</v>
      </c>
      <c r="BP114" s="225" t="str">
        <f>IF(BO114&lt;=$H114,"VÁLIDA","NO VÁLIDA")</f>
        <v>VÁLIDA</v>
      </c>
    </row>
    <row r="115" spans="2:68" s="167" customFormat="1" ht="12" x14ac:dyDescent="0.25">
      <c r="B115" s="87"/>
      <c r="C115" s="142"/>
      <c r="D115" s="143" t="s">
        <v>152</v>
      </c>
      <c r="E115" s="90"/>
      <c r="F115" s="91"/>
      <c r="G115" s="92"/>
      <c r="H115" s="92"/>
      <c r="I115" s="191"/>
      <c r="J115" s="227"/>
      <c r="K115" s="225"/>
      <c r="L115" s="191"/>
      <c r="M115" s="227"/>
      <c r="N115" s="225"/>
      <c r="O115" s="191"/>
      <c r="P115" s="227"/>
      <c r="Q115" s="225"/>
      <c r="R115" s="191"/>
      <c r="S115" s="227"/>
      <c r="T115" s="225"/>
      <c r="U115" s="191"/>
      <c r="V115" s="227"/>
      <c r="W115" s="225"/>
      <c r="X115" s="191"/>
      <c r="Y115" s="227"/>
      <c r="Z115" s="225"/>
      <c r="AA115" s="191"/>
      <c r="AB115" s="227"/>
      <c r="AC115" s="225"/>
      <c r="AD115" s="191"/>
      <c r="AE115" s="227"/>
      <c r="AF115" s="225"/>
      <c r="AH115" s="227"/>
      <c r="AI115" s="225"/>
      <c r="AJ115" s="227"/>
      <c r="AK115" s="227"/>
      <c r="AL115" s="225"/>
      <c r="AM115" s="227"/>
      <c r="AN115" s="227"/>
      <c r="AO115" s="225"/>
      <c r="AP115" s="227"/>
      <c r="AQ115" s="227"/>
      <c r="AR115" s="225"/>
      <c r="AS115" s="227"/>
      <c r="AT115" s="247"/>
      <c r="AU115" s="225"/>
      <c r="AV115" s="227"/>
      <c r="AW115" s="227"/>
      <c r="AX115" s="225"/>
      <c r="AY115" s="227"/>
      <c r="AZ115" s="227"/>
      <c r="BA115" s="225"/>
      <c r="BB115" s="227"/>
      <c r="BC115" s="227"/>
      <c r="BD115" s="225"/>
      <c r="BE115" s="227"/>
      <c r="BF115" s="227"/>
      <c r="BG115" s="225"/>
      <c r="BH115" s="227"/>
      <c r="BI115" s="227"/>
      <c r="BJ115" s="225"/>
      <c r="BK115" s="227"/>
      <c r="BL115" s="227"/>
      <c r="BM115" s="225"/>
      <c r="BN115" s="227"/>
      <c r="BO115" s="227"/>
      <c r="BP115" s="225"/>
    </row>
    <row r="116" spans="2:68" s="167" customFormat="1" ht="40.5" customHeight="1" x14ac:dyDescent="0.25">
      <c r="B116" s="103"/>
      <c r="C116" s="94">
        <f>C114+0.01</f>
        <v>5.01</v>
      </c>
      <c r="D116" s="95" t="s">
        <v>153</v>
      </c>
      <c r="E116" s="96" t="s">
        <v>115</v>
      </c>
      <c r="F116" s="97">
        <v>220</v>
      </c>
      <c r="G116" s="98">
        <v>35837</v>
      </c>
      <c r="H116" s="98">
        <f t="shared" ref="H116:H128" si="195">F116*G116</f>
        <v>7884140</v>
      </c>
      <c r="I116" s="191">
        <v>35279</v>
      </c>
      <c r="J116" s="227">
        <f t="shared" ref="J116:J119" si="196">I116*F116</f>
        <v>7761380</v>
      </c>
      <c r="K116" s="225" t="str">
        <f>IF(J116&lt;=$H116,"VÁLIDA","NO VÁLIDA")</f>
        <v>VÁLIDA</v>
      </c>
      <c r="L116" s="191">
        <v>35443</v>
      </c>
      <c r="M116" s="227">
        <f t="shared" si="152"/>
        <v>7797460</v>
      </c>
      <c r="N116" s="225" t="str">
        <f>IF(M116&lt;=$H116,"VÁLIDA","NO VÁLIDA")</f>
        <v>VÁLIDA</v>
      </c>
      <c r="O116" s="191">
        <v>35837</v>
      </c>
      <c r="P116" s="227">
        <f t="shared" si="154"/>
        <v>7884140</v>
      </c>
      <c r="Q116" s="225" t="str">
        <f>IF(P116&lt;=$H116,"VÁLIDA","NO VÁLIDA")</f>
        <v>VÁLIDA</v>
      </c>
      <c r="R116" s="191">
        <v>35310</v>
      </c>
      <c r="S116" s="227">
        <f t="shared" si="156"/>
        <v>7768200</v>
      </c>
      <c r="T116" s="225" t="str">
        <f>IF(S116&lt;=$H116,"VÁLIDA","NO VÁLIDA")</f>
        <v>VÁLIDA</v>
      </c>
      <c r="U116" s="191">
        <v>35837</v>
      </c>
      <c r="V116" s="227">
        <f t="shared" si="158"/>
        <v>7884140</v>
      </c>
      <c r="W116" s="225" t="str">
        <f>IF(V116&lt;=$H116,"VÁLIDA","NO VÁLIDA")</f>
        <v>VÁLIDA</v>
      </c>
      <c r="X116" s="191">
        <v>35263</v>
      </c>
      <c r="Y116" s="227">
        <f t="shared" si="160"/>
        <v>7757860</v>
      </c>
      <c r="Z116" s="225" t="str">
        <f>IF(Y116&lt;=$H116,"VÁLIDA","NO VÁLIDA")</f>
        <v>VÁLIDA</v>
      </c>
      <c r="AA116" s="191">
        <v>35443</v>
      </c>
      <c r="AB116" s="227">
        <f t="shared" si="162"/>
        <v>7797460</v>
      </c>
      <c r="AC116" s="225" t="str">
        <f>IF(AB116&lt;=$H116,"VÁLIDA","NO VÁLIDA")</f>
        <v>VÁLIDA</v>
      </c>
      <c r="AD116" s="191">
        <v>35837</v>
      </c>
      <c r="AE116" s="227">
        <f t="shared" si="164"/>
        <v>7884140</v>
      </c>
      <c r="AF116" s="225" t="str">
        <f>IF(AE116&lt;=$H116,"VÁLIDA","NO VÁLIDA")</f>
        <v>VÁLIDA</v>
      </c>
      <c r="AH116" s="227">
        <f t="shared" si="166"/>
        <v>0</v>
      </c>
      <c r="AI116" s="225" t="str">
        <f>IF(AH116&lt;=$H116,"VÁLIDA","NO VÁLIDA")</f>
        <v>VÁLIDA</v>
      </c>
      <c r="AJ116" s="227">
        <v>33328</v>
      </c>
      <c r="AK116" s="227">
        <f t="shared" si="168"/>
        <v>7332160</v>
      </c>
      <c r="AL116" s="225" t="str">
        <f>IF(AK116&lt;=$H116,"VÁLIDA","NO VÁLIDA")</f>
        <v>VÁLIDA</v>
      </c>
      <c r="AM116" s="227">
        <v>35747</v>
      </c>
      <c r="AN116" s="227">
        <f t="shared" si="170"/>
        <v>7864340</v>
      </c>
      <c r="AO116" s="225" t="str">
        <f>IF(AN116&lt;=$H116,"VÁLIDA","NO VÁLIDA")</f>
        <v>VÁLIDA</v>
      </c>
      <c r="AP116" s="227">
        <v>35837</v>
      </c>
      <c r="AQ116" s="227">
        <f t="shared" si="172"/>
        <v>7884140</v>
      </c>
      <c r="AR116" s="225" t="str">
        <f>IF(AQ116&lt;=$H116,"VÁLIDA","NO VÁLIDA")</f>
        <v>VÁLIDA</v>
      </c>
      <c r="AS116" s="227">
        <v>35000</v>
      </c>
      <c r="AT116" s="227">
        <f t="shared" si="174"/>
        <v>7700000</v>
      </c>
      <c r="AU116" s="225" t="str">
        <f>IF(AT116&lt;=$H116,"VÁLIDA","NO VÁLIDA")</f>
        <v>VÁLIDA</v>
      </c>
      <c r="AV116" s="227">
        <v>47619.9</v>
      </c>
      <c r="AW116" s="227">
        <f t="shared" si="176"/>
        <v>10476378</v>
      </c>
      <c r="AX116" s="225" t="str">
        <f>IF(AW116&lt;=$H116,"VÁLIDA","NO VÁLIDA")</f>
        <v>NO VÁLIDA</v>
      </c>
      <c r="AY116" s="227">
        <v>35837</v>
      </c>
      <c r="AZ116" s="227">
        <f t="shared" si="178"/>
        <v>7884140</v>
      </c>
      <c r="BA116" s="225" t="str">
        <f>IF(AZ116&lt;=$H116,"VÁLIDA","NO VÁLIDA")</f>
        <v>VÁLIDA</v>
      </c>
      <c r="BB116" s="227">
        <v>34364.011356001996</v>
      </c>
      <c r="BC116" s="227">
        <f t="shared" si="180"/>
        <v>7560082.4983204389</v>
      </c>
      <c r="BD116" s="225" t="str">
        <f>IF(BC116&lt;=$H116,"VÁLIDA","NO VÁLIDA")</f>
        <v>VÁLIDA</v>
      </c>
      <c r="BE116" s="227">
        <v>35063</v>
      </c>
      <c r="BF116" s="227">
        <f t="shared" si="182"/>
        <v>7713860</v>
      </c>
      <c r="BG116" s="225" t="str">
        <f>IF(BF116&lt;=$H116,"VÁLIDA","NO VÁLIDA")</f>
        <v>VÁLIDA</v>
      </c>
      <c r="BH116" s="227">
        <v>35478.629999999997</v>
      </c>
      <c r="BI116" s="227">
        <f t="shared" si="184"/>
        <v>7805298.5999999996</v>
      </c>
      <c r="BJ116" s="225" t="str">
        <f>IF(BI116&lt;=$H116,"VÁLIDA","NO VÁLIDA")</f>
        <v>VÁLIDA</v>
      </c>
      <c r="BK116" s="227">
        <v>35550</v>
      </c>
      <c r="BL116" s="227">
        <f t="shared" si="186"/>
        <v>7821000</v>
      </c>
      <c r="BM116" s="225" t="str">
        <f>IF(BL116&lt;=$H116,"VÁLIDA","NO VÁLIDA")</f>
        <v>VÁLIDA</v>
      </c>
      <c r="BN116" s="227">
        <v>35196</v>
      </c>
      <c r="BO116" s="227">
        <f t="shared" si="188"/>
        <v>7743120</v>
      </c>
      <c r="BP116" s="225" t="str">
        <f>IF(BO116&lt;=$H116,"VÁLIDA","NO VÁLIDA")</f>
        <v>VÁLIDA</v>
      </c>
    </row>
    <row r="117" spans="2:68" s="167" customFormat="1" ht="40.5" customHeight="1" x14ac:dyDescent="0.25">
      <c r="B117" s="103"/>
      <c r="C117" s="94">
        <f>C116+0.01</f>
        <v>5.0199999999999996</v>
      </c>
      <c r="D117" s="95" t="s">
        <v>154</v>
      </c>
      <c r="E117" s="96" t="s">
        <v>88</v>
      </c>
      <c r="F117" s="97">
        <v>1</v>
      </c>
      <c r="G117" s="98">
        <v>555915</v>
      </c>
      <c r="H117" s="98">
        <f t="shared" si="195"/>
        <v>555915</v>
      </c>
      <c r="I117" s="191">
        <v>547253</v>
      </c>
      <c r="J117" s="227">
        <f t="shared" si="196"/>
        <v>547253</v>
      </c>
      <c r="K117" s="225" t="str">
        <f>IF(J117&lt;=$H117,"VÁLIDA","NO VÁLIDA")</f>
        <v>VÁLIDA</v>
      </c>
      <c r="L117" s="191">
        <v>549800</v>
      </c>
      <c r="M117" s="227">
        <f t="shared" si="152"/>
        <v>549800</v>
      </c>
      <c r="N117" s="225" t="str">
        <f>IF(M117&lt;=$H117,"VÁLIDA","NO VÁLIDA")</f>
        <v>VÁLIDA</v>
      </c>
      <c r="O117" s="191">
        <v>55915</v>
      </c>
      <c r="P117" s="227">
        <f t="shared" si="154"/>
        <v>55915</v>
      </c>
      <c r="Q117" s="225" t="str">
        <f>IF(P117&lt;=$H117,"VÁLIDA","NO VÁLIDA")</f>
        <v>VÁLIDA</v>
      </c>
      <c r="R117" s="191">
        <v>547743</v>
      </c>
      <c r="S117" s="227">
        <f t="shared" si="156"/>
        <v>547743</v>
      </c>
      <c r="T117" s="225" t="str">
        <f>IF(S117&lt;=$H117,"VÁLIDA","NO VÁLIDA")</f>
        <v>VÁLIDA</v>
      </c>
      <c r="U117" s="191">
        <v>555915</v>
      </c>
      <c r="V117" s="227">
        <f t="shared" si="158"/>
        <v>555915</v>
      </c>
      <c r="W117" s="225" t="str">
        <f>IF(V117&lt;=$H117,"VÁLIDA","NO VÁLIDA")</f>
        <v>VÁLIDA</v>
      </c>
      <c r="X117" s="191">
        <v>547020</v>
      </c>
      <c r="Y117" s="227">
        <f t="shared" si="160"/>
        <v>547020</v>
      </c>
      <c r="Z117" s="225" t="str">
        <f>IF(Y117&lt;=$H117,"VÁLIDA","NO VÁLIDA")</f>
        <v>VÁLIDA</v>
      </c>
      <c r="AA117" s="191">
        <v>549800</v>
      </c>
      <c r="AB117" s="227">
        <f t="shared" si="162"/>
        <v>549800</v>
      </c>
      <c r="AC117" s="225" t="str">
        <f>IF(AB117&lt;=$H117,"VÁLIDA","NO VÁLIDA")</f>
        <v>VÁLIDA</v>
      </c>
      <c r="AD117" s="191">
        <v>555915</v>
      </c>
      <c r="AE117" s="227">
        <f t="shared" si="164"/>
        <v>555915</v>
      </c>
      <c r="AF117" s="225" t="str">
        <f>IF(AE117&lt;=$H117,"VÁLIDA","NO VÁLIDA")</f>
        <v>VÁLIDA</v>
      </c>
      <c r="AH117" s="227">
        <f t="shared" si="166"/>
        <v>0</v>
      </c>
      <c r="AI117" s="225" t="str">
        <f>IF(AH117&lt;=$H117,"VÁLIDA","NO VÁLIDA")</f>
        <v>VÁLIDA</v>
      </c>
      <c r="AJ117" s="227">
        <v>517001</v>
      </c>
      <c r="AK117" s="227">
        <f t="shared" si="168"/>
        <v>517001</v>
      </c>
      <c r="AL117" s="225" t="str">
        <f>IF(AK117&lt;=$H117,"VÁLIDA","NO VÁLIDA")</f>
        <v>VÁLIDA</v>
      </c>
      <c r="AM117" s="227">
        <v>554525</v>
      </c>
      <c r="AN117" s="227">
        <f t="shared" si="170"/>
        <v>554525</v>
      </c>
      <c r="AO117" s="225" t="str">
        <f>IF(AN117&lt;=$H117,"VÁLIDA","NO VÁLIDA")</f>
        <v>VÁLIDA</v>
      </c>
      <c r="AP117" s="227">
        <v>555915</v>
      </c>
      <c r="AQ117" s="227">
        <f t="shared" si="172"/>
        <v>555915</v>
      </c>
      <c r="AR117" s="225" t="str">
        <f>IF(AQ117&lt;=$H117,"VÁLIDA","NO VÁLIDA")</f>
        <v>VÁLIDA</v>
      </c>
      <c r="AS117" s="227">
        <v>543000</v>
      </c>
      <c r="AT117" s="227">
        <f t="shared" si="174"/>
        <v>543000</v>
      </c>
      <c r="AU117" s="225" t="str">
        <f>IF(AT117&lt;=$H117,"VÁLIDA","NO VÁLIDA")</f>
        <v>VÁLIDA</v>
      </c>
      <c r="AV117" s="227">
        <v>738702.45</v>
      </c>
      <c r="AW117" s="227">
        <f t="shared" si="176"/>
        <v>738702.45</v>
      </c>
      <c r="AX117" s="225" t="str">
        <f>IF(AW117&lt;=$H117,"VÁLIDA","NO VÁLIDA")</f>
        <v>NO VÁLIDA</v>
      </c>
      <c r="AY117" s="227">
        <v>555915</v>
      </c>
      <c r="AZ117" s="227">
        <f t="shared" si="178"/>
        <v>555915</v>
      </c>
      <c r="BA117" s="225" t="str">
        <f>IF(AZ117&lt;=$H117,"VÁLIDA","NO VÁLIDA")</f>
        <v>VÁLIDA</v>
      </c>
      <c r="BB117" s="227">
        <v>533065.52928459004</v>
      </c>
      <c r="BC117" s="227">
        <f t="shared" si="180"/>
        <v>533065.52928459004</v>
      </c>
      <c r="BD117" s="225" t="str">
        <f>IF(BC117&lt;=$H117,"VÁLIDA","NO VÁLIDA")</f>
        <v>VÁLIDA</v>
      </c>
      <c r="BE117" s="227">
        <v>543907</v>
      </c>
      <c r="BF117" s="227">
        <f t="shared" si="182"/>
        <v>543907</v>
      </c>
      <c r="BG117" s="225" t="str">
        <f>IF(BF117&lt;=$H117,"VÁLIDA","NO VÁLIDA")</f>
        <v>VÁLIDA</v>
      </c>
      <c r="BH117" s="227">
        <v>550355.85</v>
      </c>
      <c r="BI117" s="227">
        <f t="shared" si="184"/>
        <v>550355.85</v>
      </c>
      <c r="BJ117" s="225" t="str">
        <f>IF(BI117&lt;=$H117,"VÁLIDA","NO VÁLIDA")</f>
        <v>VÁLIDA</v>
      </c>
      <c r="BK117" s="227">
        <v>551468</v>
      </c>
      <c r="BL117" s="227">
        <f t="shared" si="186"/>
        <v>551468</v>
      </c>
      <c r="BM117" s="225" t="str">
        <f>IF(BL117&lt;=$H117,"VÁLIDA","NO VÁLIDA")</f>
        <v>VÁLIDA</v>
      </c>
      <c r="BN117" s="227">
        <v>545986</v>
      </c>
      <c r="BO117" s="227">
        <f t="shared" si="188"/>
        <v>545986</v>
      </c>
      <c r="BP117" s="225" t="str">
        <f>IF(BO117&lt;=$H117,"VÁLIDA","NO VÁLIDA")</f>
        <v>VÁLIDA</v>
      </c>
    </row>
    <row r="118" spans="2:68" s="167" customFormat="1" ht="40.5" customHeight="1" x14ac:dyDescent="0.25">
      <c r="B118" s="103">
        <v>5316</v>
      </c>
      <c r="C118" s="94">
        <f>C117+0.01</f>
        <v>5.0299999999999994</v>
      </c>
      <c r="D118" s="95" t="str">
        <f>VLOOKUP(B118,[2]ITEMS!$B$4:$E$2466,2,FALSE)</f>
        <v>NIVELACION DE CAJA CS276 EN ANDEN H= 0.42m (INCLUYE CONCRETO 2500 PSI HECHO EN OBRA, LADRILLO TOLETE RECOCIDO 24x12x6. MORTERO 1:5 HECHO EN OBRA. INCL. REPOSICION DE MARCO Y TAPA PREFABRICADA</v>
      </c>
      <c r="E118" s="96" t="str">
        <f>VLOOKUP(B118,[2]ITEMS!$B$4:$E$2466,3,FALSE)</f>
        <v>UN</v>
      </c>
      <c r="F118" s="97">
        <f>15+1</f>
        <v>16</v>
      </c>
      <c r="G118" s="98">
        <f>VLOOKUP(B118,[2]ITEMS!$B$4:$E$2466,4,FALSE)</f>
        <v>959439</v>
      </c>
      <c r="H118" s="98">
        <f t="shared" si="195"/>
        <v>15351024</v>
      </c>
      <c r="I118" s="191">
        <v>944489</v>
      </c>
      <c r="J118" s="227">
        <f t="shared" si="196"/>
        <v>15111824</v>
      </c>
      <c r="K118" s="225" t="str">
        <f>IF(J118&lt;=$H118,"VÁLIDA","NO VÁLIDA")</f>
        <v>VÁLIDA</v>
      </c>
      <c r="L118" s="191">
        <v>948885</v>
      </c>
      <c r="M118" s="227">
        <f t="shared" si="152"/>
        <v>15182160</v>
      </c>
      <c r="N118" s="225" t="str">
        <f>IF(M118&lt;=$H118,"VÁLIDA","NO VÁLIDA")</f>
        <v>VÁLIDA</v>
      </c>
      <c r="O118" s="191">
        <v>959439</v>
      </c>
      <c r="P118" s="227">
        <f t="shared" si="154"/>
        <v>15351024</v>
      </c>
      <c r="Q118" s="225" t="str">
        <f>IF(P118&lt;=$H118,"VÁLIDA","NO VÁLIDA")</f>
        <v>VÁLIDA</v>
      </c>
      <c r="R118" s="191">
        <v>945335</v>
      </c>
      <c r="S118" s="227">
        <f t="shared" si="156"/>
        <v>15125360</v>
      </c>
      <c r="T118" s="225" t="str">
        <f>IF(S118&lt;=$H118,"VÁLIDA","NO VÁLIDA")</f>
        <v>VÁLIDA</v>
      </c>
      <c r="U118" s="191">
        <v>959439</v>
      </c>
      <c r="V118" s="227">
        <f t="shared" si="158"/>
        <v>15351024</v>
      </c>
      <c r="W118" s="225" t="str">
        <f>IF(V118&lt;=$H118,"VÁLIDA","NO VÁLIDA")</f>
        <v>VÁLIDA</v>
      </c>
      <c r="X118" s="191">
        <v>944087</v>
      </c>
      <c r="Y118" s="227">
        <f t="shared" si="160"/>
        <v>15105392</v>
      </c>
      <c r="Z118" s="225" t="str">
        <f>IF(Y118&lt;=$H118,"VÁLIDA","NO VÁLIDA")</f>
        <v>VÁLIDA</v>
      </c>
      <c r="AA118" s="191">
        <v>948885</v>
      </c>
      <c r="AB118" s="227">
        <f t="shared" si="162"/>
        <v>15182160</v>
      </c>
      <c r="AC118" s="225" t="str">
        <f>IF(AB118&lt;=$H118,"VÁLIDA","NO VÁLIDA")</f>
        <v>VÁLIDA</v>
      </c>
      <c r="AD118" s="191">
        <v>959439</v>
      </c>
      <c r="AE118" s="227">
        <f t="shared" si="164"/>
        <v>15351024</v>
      </c>
      <c r="AF118" s="225" t="str">
        <f>IF(AE118&lt;=$H118,"VÁLIDA","NO VÁLIDA")</f>
        <v>VÁLIDA</v>
      </c>
      <c r="AH118" s="227">
        <f t="shared" si="166"/>
        <v>0</v>
      </c>
      <c r="AI118" s="225" t="str">
        <f>IF(AH118&lt;=$H118,"VÁLIDA","NO VÁLIDA")</f>
        <v>VÁLIDA</v>
      </c>
      <c r="AJ118" s="227">
        <v>892278</v>
      </c>
      <c r="AK118" s="227">
        <f t="shared" si="168"/>
        <v>14276448</v>
      </c>
      <c r="AL118" s="225" t="str">
        <f>IF(AK118&lt;=$H118,"VÁLIDA","NO VÁLIDA")</f>
        <v>VÁLIDA</v>
      </c>
      <c r="AM118" s="227">
        <v>957040</v>
      </c>
      <c r="AN118" s="227">
        <f t="shared" si="170"/>
        <v>15312640</v>
      </c>
      <c r="AO118" s="225" t="str">
        <f>IF(AN118&lt;=$H118,"VÁLIDA","NO VÁLIDA")</f>
        <v>VÁLIDA</v>
      </c>
      <c r="AP118" s="227">
        <v>959439</v>
      </c>
      <c r="AQ118" s="227">
        <f t="shared" si="172"/>
        <v>15351024</v>
      </c>
      <c r="AR118" s="225" t="str">
        <f>IF(AQ118&lt;=$H118,"VÁLIDA","NO VÁLIDA")</f>
        <v>VÁLIDA</v>
      </c>
      <c r="AS118" s="227">
        <v>938000</v>
      </c>
      <c r="AT118" s="227">
        <f t="shared" si="174"/>
        <v>15008000</v>
      </c>
      <c r="AU118" s="225" t="str">
        <f>IF(AT118&lt;=$H118,"VÁLIDA","NO VÁLIDA")</f>
        <v>VÁLIDA</v>
      </c>
      <c r="AV118" s="227">
        <v>1274907.6000000001</v>
      </c>
      <c r="AW118" s="227">
        <f t="shared" si="176"/>
        <v>20398521.600000001</v>
      </c>
      <c r="AX118" s="225" t="str">
        <f>IF(AW118&lt;=$H118,"VÁLIDA","NO VÁLIDA")</f>
        <v>NO VÁLIDA</v>
      </c>
      <c r="AY118" s="227">
        <v>959439</v>
      </c>
      <c r="AZ118" s="227">
        <f t="shared" si="178"/>
        <v>15351024</v>
      </c>
      <c r="BA118" s="225" t="str">
        <f>IF(AZ118&lt;=$H118,"VÁLIDA","NO VÁLIDA")</f>
        <v>VÁLIDA</v>
      </c>
      <c r="BB118" s="227">
        <v>920003.70263669395</v>
      </c>
      <c r="BC118" s="227">
        <f t="shared" si="180"/>
        <v>14720059.242187103</v>
      </c>
      <c r="BD118" s="225" t="str">
        <f>IF(BC118&lt;=$H118,"VÁLIDA","NO VÁLIDA")</f>
        <v>VÁLIDA</v>
      </c>
      <c r="BE118" s="227">
        <v>938715</v>
      </c>
      <c r="BF118" s="227">
        <f t="shared" si="182"/>
        <v>15019440</v>
      </c>
      <c r="BG118" s="225" t="str">
        <f>IF(BF118&lt;=$H118,"VÁLIDA","NO VÁLIDA")</f>
        <v>VÁLIDA</v>
      </c>
      <c r="BH118" s="227">
        <v>949844.61</v>
      </c>
      <c r="BI118" s="227">
        <f t="shared" si="184"/>
        <v>15197513.76</v>
      </c>
      <c r="BJ118" s="225" t="str">
        <f>IF(BI118&lt;=$H118,"VÁLIDA","NO VÁLIDA")</f>
        <v>VÁLIDA</v>
      </c>
      <c r="BK118" s="227">
        <v>951763</v>
      </c>
      <c r="BL118" s="227">
        <f t="shared" si="186"/>
        <v>15228208</v>
      </c>
      <c r="BM118" s="225" t="str">
        <f>IF(BL118&lt;=$H118,"VÁLIDA","NO VÁLIDA")</f>
        <v>VÁLIDA</v>
      </c>
      <c r="BN118" s="227">
        <v>942303</v>
      </c>
      <c r="BO118" s="227">
        <f t="shared" si="188"/>
        <v>15076848</v>
      </c>
      <c r="BP118" s="225" t="str">
        <f>IF(BO118&lt;=$H118,"VÁLIDA","NO VÁLIDA")</f>
        <v>VÁLIDA</v>
      </c>
    </row>
    <row r="119" spans="2:68" s="167" customFormat="1" ht="47.25" customHeight="1" thickBot="1" x14ac:dyDescent="0.3">
      <c r="B119" s="103">
        <v>0</v>
      </c>
      <c r="C119" s="94">
        <f>C118+0.01</f>
        <v>5.0399999999999991</v>
      </c>
      <c r="D119" s="112" t="s">
        <v>155</v>
      </c>
      <c r="E119" s="113" t="s">
        <v>88</v>
      </c>
      <c r="F119" s="114">
        <v>15</v>
      </c>
      <c r="G119" s="115">
        <v>295851</v>
      </c>
      <c r="H119" s="115">
        <f t="shared" si="195"/>
        <v>4437765</v>
      </c>
      <c r="I119" s="191">
        <v>291241</v>
      </c>
      <c r="J119" s="227">
        <f t="shared" si="196"/>
        <v>4368615</v>
      </c>
      <c r="K119" s="225" t="str">
        <f>IF(J119&lt;=$H119,"VÁLIDA","NO VÁLIDA")</f>
        <v>VÁLIDA</v>
      </c>
      <c r="L119" s="191">
        <v>292597</v>
      </c>
      <c r="M119" s="227">
        <f t="shared" si="152"/>
        <v>4388955</v>
      </c>
      <c r="N119" s="225" t="str">
        <f>IF(M119&lt;=$H119,"VÁLIDA","NO VÁLIDA")</f>
        <v>VÁLIDA</v>
      </c>
      <c r="O119" s="191">
        <v>295851</v>
      </c>
      <c r="P119" s="227">
        <f t="shared" si="154"/>
        <v>4437765</v>
      </c>
      <c r="Q119" s="225" t="str">
        <f>IF(P119&lt;=$H119,"VÁLIDA","NO VÁLIDA")</f>
        <v>VÁLIDA</v>
      </c>
      <c r="R119" s="191">
        <v>291502</v>
      </c>
      <c r="S119" s="227">
        <f t="shared" si="156"/>
        <v>4372530</v>
      </c>
      <c r="T119" s="225" t="str">
        <f>IF(S119&lt;=$H119,"VÁLIDA","NO VÁLIDA")</f>
        <v>VÁLIDA</v>
      </c>
      <c r="U119" s="191">
        <v>295851</v>
      </c>
      <c r="V119" s="227">
        <f t="shared" si="158"/>
        <v>4437765</v>
      </c>
      <c r="W119" s="225" t="str">
        <f>IF(V119&lt;=$H119,"VÁLIDA","NO VÁLIDA")</f>
        <v>VÁLIDA</v>
      </c>
      <c r="X119" s="191">
        <v>291117</v>
      </c>
      <c r="Y119" s="227">
        <f t="shared" si="160"/>
        <v>4366755</v>
      </c>
      <c r="Z119" s="225" t="str">
        <f>IF(Y119&lt;=$H119,"VÁLIDA","NO VÁLIDA")</f>
        <v>VÁLIDA</v>
      </c>
      <c r="AA119" s="191">
        <v>292597</v>
      </c>
      <c r="AB119" s="227">
        <f t="shared" si="162"/>
        <v>4388955</v>
      </c>
      <c r="AC119" s="225" t="str">
        <f>IF(AB119&lt;=$H119,"VÁLIDA","NO VÁLIDA")</f>
        <v>VÁLIDA</v>
      </c>
      <c r="AD119" s="191">
        <v>295851</v>
      </c>
      <c r="AE119" s="227">
        <f t="shared" si="164"/>
        <v>4437765</v>
      </c>
      <c r="AF119" s="225" t="str">
        <f>IF(AE119&lt;=$H119,"VÁLIDA","NO VÁLIDA")</f>
        <v>VÁLIDA</v>
      </c>
      <c r="AH119" s="227">
        <f t="shared" si="166"/>
        <v>0</v>
      </c>
      <c r="AI119" s="225" t="str">
        <f>IF(AH119&lt;=$H119,"VÁLIDA","NO VÁLIDA")</f>
        <v>VÁLIDA</v>
      </c>
      <c r="AJ119" s="227">
        <v>275141</v>
      </c>
      <c r="AK119" s="227">
        <f t="shared" si="168"/>
        <v>4127115</v>
      </c>
      <c r="AL119" s="225" t="str">
        <f>IF(AK119&lt;=$H119,"VÁLIDA","NO VÁLIDA")</f>
        <v>VÁLIDA</v>
      </c>
      <c r="AM119" s="227">
        <v>295111</v>
      </c>
      <c r="AN119" s="227">
        <f t="shared" si="170"/>
        <v>4426665</v>
      </c>
      <c r="AO119" s="225" t="str">
        <f>IF(AN119&lt;=$H119,"VÁLIDA","NO VÁLIDA")</f>
        <v>VÁLIDA</v>
      </c>
      <c r="AP119" s="227">
        <v>295851</v>
      </c>
      <c r="AQ119" s="227">
        <f t="shared" si="172"/>
        <v>4437765</v>
      </c>
      <c r="AR119" s="225" t="str">
        <f>IF(AQ119&lt;=$H119,"VÁLIDA","NO VÁLIDA")</f>
        <v>VÁLIDA</v>
      </c>
      <c r="AS119" s="227">
        <v>289000</v>
      </c>
      <c r="AT119" s="227">
        <f t="shared" si="174"/>
        <v>4335000</v>
      </c>
      <c r="AU119" s="225" t="str">
        <f>IF(AT119&lt;=$H119,"VÁLIDA","NO VÁLIDA")</f>
        <v>VÁLIDA</v>
      </c>
      <c r="AV119" s="227">
        <v>393128.1</v>
      </c>
      <c r="AW119" s="227">
        <f t="shared" si="176"/>
        <v>5896921.5</v>
      </c>
      <c r="AX119" s="225" t="str">
        <f>IF(AW119&lt;=$H119,"VÁLIDA","NO VÁLIDA")</f>
        <v>NO VÁLIDA</v>
      </c>
      <c r="AY119" s="227">
        <v>295851</v>
      </c>
      <c r="AZ119" s="227">
        <f t="shared" si="178"/>
        <v>4437765</v>
      </c>
      <c r="BA119" s="225" t="str">
        <f>IF(AZ119&lt;=$H119,"VÁLIDA","NO VÁLIDA")</f>
        <v>VÁLIDA</v>
      </c>
      <c r="BB119" s="227">
        <v>283690.79788164602</v>
      </c>
      <c r="BC119" s="227">
        <f t="shared" si="180"/>
        <v>4255361.9682246903</v>
      </c>
      <c r="BD119" s="225" t="str">
        <f>IF(BC119&lt;=$H119,"VÁLIDA","NO VÁLIDA")</f>
        <v>VÁLIDA</v>
      </c>
      <c r="BE119" s="227">
        <v>289461</v>
      </c>
      <c r="BF119" s="227">
        <f t="shared" si="182"/>
        <v>4341915</v>
      </c>
      <c r="BG119" s="225" t="str">
        <f>IF(BF119&lt;=$H119,"VÁLIDA","NO VÁLIDA")</f>
        <v>VÁLIDA</v>
      </c>
      <c r="BH119" s="227">
        <v>292892.49</v>
      </c>
      <c r="BI119" s="227">
        <f t="shared" si="184"/>
        <v>4393387.3499999996</v>
      </c>
      <c r="BJ119" s="225" t="str">
        <f>IF(BI119&lt;=$H119,"VÁLIDA","NO VÁLIDA")</f>
        <v>VÁLIDA</v>
      </c>
      <c r="BK119" s="227">
        <v>293484</v>
      </c>
      <c r="BL119" s="227">
        <f t="shared" si="186"/>
        <v>4402260</v>
      </c>
      <c r="BM119" s="225" t="str">
        <f>IF(BL119&lt;=$H119,"VÁLIDA","NO VÁLIDA")</f>
        <v>VÁLIDA</v>
      </c>
      <c r="BN119" s="227">
        <v>290567</v>
      </c>
      <c r="BO119" s="227">
        <f t="shared" si="188"/>
        <v>4358505</v>
      </c>
      <c r="BP119" s="225" t="str">
        <f>IF(BO119&lt;=$H119,"VÁLIDA","NO VÁLIDA")</f>
        <v>VÁLIDA</v>
      </c>
    </row>
    <row r="120" spans="2:68" s="230" customFormat="1" ht="12.75" thickBot="1" x14ac:dyDescent="0.3">
      <c r="B120" s="217"/>
      <c r="C120" s="144">
        <f>+C114+1</f>
        <v>6</v>
      </c>
      <c r="D120" s="145" t="s">
        <v>156</v>
      </c>
      <c r="E120" s="146"/>
      <c r="F120" s="147"/>
      <c r="G120" s="148"/>
      <c r="H120" s="148"/>
      <c r="I120" s="194"/>
      <c r="J120" s="227"/>
      <c r="K120" s="225"/>
      <c r="L120" s="194"/>
      <c r="M120" s="227"/>
      <c r="N120" s="225"/>
      <c r="O120" s="194"/>
      <c r="P120" s="227"/>
      <c r="Q120" s="225"/>
      <c r="R120" s="194"/>
      <c r="S120" s="227"/>
      <c r="T120" s="225"/>
      <c r="U120" s="194"/>
      <c r="V120" s="227"/>
      <c r="W120" s="225"/>
      <c r="X120" s="194"/>
      <c r="Y120" s="227"/>
      <c r="Z120" s="225"/>
      <c r="AA120" s="194"/>
      <c r="AB120" s="227"/>
      <c r="AC120" s="225"/>
      <c r="AD120" s="194"/>
      <c r="AE120" s="227"/>
      <c r="AF120" s="225"/>
      <c r="AH120" s="227"/>
      <c r="AI120" s="225"/>
      <c r="AJ120" s="227"/>
      <c r="AK120" s="227"/>
      <c r="AL120" s="225"/>
      <c r="AM120" s="227"/>
      <c r="AN120" s="227"/>
      <c r="AO120" s="225"/>
      <c r="AP120" s="227"/>
      <c r="AQ120" s="227"/>
      <c r="AR120" s="225"/>
      <c r="AS120" s="227"/>
      <c r="AT120" s="227"/>
      <c r="AU120" s="225"/>
      <c r="AV120" s="227"/>
      <c r="AW120" s="227"/>
      <c r="AX120" s="225"/>
      <c r="AY120" s="227"/>
      <c r="AZ120" s="227"/>
      <c r="BA120" s="225"/>
      <c r="BB120" s="227"/>
      <c r="BC120" s="227"/>
      <c r="BD120" s="225"/>
      <c r="BE120" s="227"/>
      <c r="BF120" s="227"/>
      <c r="BG120" s="225"/>
      <c r="BH120" s="227"/>
      <c r="BI120" s="227"/>
      <c r="BJ120" s="225"/>
      <c r="BK120" s="227"/>
      <c r="BL120" s="227"/>
      <c r="BM120" s="225"/>
      <c r="BN120" s="227"/>
      <c r="BO120" s="227"/>
      <c r="BP120" s="225"/>
    </row>
    <row r="121" spans="2:68" s="167" customFormat="1" ht="36.75" customHeight="1" x14ac:dyDescent="0.25">
      <c r="B121" s="103">
        <v>3450</v>
      </c>
      <c r="C121" s="149">
        <f t="shared" ref="C121:C127" si="197">C120+0.01</f>
        <v>6.01</v>
      </c>
      <c r="D121" s="123" t="s">
        <v>157</v>
      </c>
      <c r="E121" s="124" t="str">
        <f>VLOOKUP(B121,[2]ITEMS!$B$4:$E$2466,3,FALSE)</f>
        <v>UN</v>
      </c>
      <c r="F121" s="125">
        <f>6+8</f>
        <v>14</v>
      </c>
      <c r="G121" s="126">
        <v>2812971.2749999999</v>
      </c>
      <c r="H121" s="126">
        <f t="shared" si="195"/>
        <v>39381597.850000001</v>
      </c>
      <c r="I121" s="191">
        <v>2769141</v>
      </c>
      <c r="J121" s="227">
        <f t="shared" ref="J121:J128" si="198">I121*F121</f>
        <v>38767974</v>
      </c>
      <c r="K121" s="225" t="str">
        <f t="shared" ref="K121:K128" si="199">IF(J121&lt;=$H121,"VÁLIDA","NO VÁLIDA")</f>
        <v>VÁLIDA</v>
      </c>
      <c r="L121" s="191">
        <v>2782029</v>
      </c>
      <c r="M121" s="227">
        <f t="shared" si="152"/>
        <v>38948406</v>
      </c>
      <c r="N121" s="225" t="str">
        <f t="shared" ref="N121:N128" si="200">IF(M121&lt;=$H121,"VÁLIDA","NO VÁLIDA")</f>
        <v>VÁLIDA</v>
      </c>
      <c r="O121" s="198">
        <v>2812971.2749999999</v>
      </c>
      <c r="P121" s="231">
        <f t="shared" si="154"/>
        <v>39381597.850000001</v>
      </c>
      <c r="Q121" s="225" t="str">
        <f t="shared" ref="Q121:Q128" si="201">IF(P121&lt;=$H121,"VÁLIDA","NO VÁLIDA")</f>
        <v>VÁLIDA</v>
      </c>
      <c r="R121" s="198">
        <v>2771621</v>
      </c>
      <c r="S121" s="231">
        <f t="shared" si="156"/>
        <v>38802694</v>
      </c>
      <c r="T121" s="225" t="str">
        <f t="shared" ref="T121:T128" si="202">IF(S121&lt;=$H121,"VÁLIDA","NO VÁLIDA")</f>
        <v>VÁLIDA</v>
      </c>
      <c r="U121" s="198">
        <v>2812971.2749999999</v>
      </c>
      <c r="V121" s="231">
        <f t="shared" si="158"/>
        <v>39381597.850000001</v>
      </c>
      <c r="W121" s="225" t="str">
        <f t="shared" ref="W121:W128" si="203">IF(V121&lt;=$H121,"VÁLIDA","NO VÁLIDA")</f>
        <v>VÁLIDA</v>
      </c>
      <c r="X121" s="198">
        <v>2767963</v>
      </c>
      <c r="Y121" s="231">
        <f t="shared" si="160"/>
        <v>38751482</v>
      </c>
      <c r="Z121" s="225" t="str">
        <f t="shared" ref="Z121:Z128" si="204">IF(Y121&lt;=$H121,"VÁLIDA","NO VÁLIDA")</f>
        <v>VÁLIDA</v>
      </c>
      <c r="AA121" s="198">
        <v>2782029</v>
      </c>
      <c r="AB121" s="231">
        <f t="shared" si="162"/>
        <v>38948406</v>
      </c>
      <c r="AC121" s="225" t="str">
        <f t="shared" ref="AC121:AC128" si="205">IF(AB121&lt;=$H121,"VÁLIDA","NO VÁLIDA")</f>
        <v>VÁLIDA</v>
      </c>
      <c r="AD121" s="198">
        <v>2790000</v>
      </c>
      <c r="AE121" s="231">
        <f t="shared" si="164"/>
        <v>39060000</v>
      </c>
      <c r="AF121" s="225" t="str">
        <f t="shared" ref="AF121:AF128" si="206">IF(AE121&lt;=$H121,"VÁLIDA","NO VÁLIDA")</f>
        <v>VÁLIDA</v>
      </c>
      <c r="AH121" s="231">
        <f t="shared" si="166"/>
        <v>0</v>
      </c>
      <c r="AI121" s="225" t="str">
        <f t="shared" ref="AI121:AI128" si="207">IF(AH121&lt;=$H121,"VÁLIDA","NO VÁLIDA")</f>
        <v>VÁLIDA</v>
      </c>
      <c r="AJ121" s="231">
        <v>2616063</v>
      </c>
      <c r="AK121" s="231">
        <f t="shared" si="168"/>
        <v>36624882</v>
      </c>
      <c r="AL121" s="225" t="str">
        <f t="shared" ref="AL121:AL128" si="208">IF(AK121&lt;=$H121,"VÁLIDA","NO VÁLIDA")</f>
        <v>VÁLIDA</v>
      </c>
      <c r="AM121" s="231">
        <v>2805939</v>
      </c>
      <c r="AN121" s="231">
        <f t="shared" si="170"/>
        <v>39283146</v>
      </c>
      <c r="AO121" s="225" t="str">
        <f t="shared" ref="AO121:AO128" si="209">IF(AN121&lt;=$H121,"VÁLIDA","NO VÁLIDA")</f>
        <v>VÁLIDA</v>
      </c>
      <c r="AP121" s="231">
        <v>2812971</v>
      </c>
      <c r="AQ121" s="231">
        <f t="shared" si="172"/>
        <v>39381594</v>
      </c>
      <c r="AR121" s="225" t="str">
        <f t="shared" ref="AR121:AR128" si="210">IF(AQ121&lt;=$H121,"VÁLIDA","NO VÁLIDA")</f>
        <v>VÁLIDA</v>
      </c>
      <c r="AS121" s="231">
        <v>2752000</v>
      </c>
      <c r="AT121" s="231">
        <f t="shared" si="174"/>
        <v>38528000</v>
      </c>
      <c r="AU121" s="225" t="str">
        <f t="shared" ref="AU121:AU128" si="211">IF(AT121&lt;=$H121,"VÁLIDA","NO VÁLIDA")</f>
        <v>VÁLIDA</v>
      </c>
      <c r="AV121" s="231">
        <v>3737980.8</v>
      </c>
      <c r="AW121" s="231">
        <f t="shared" si="176"/>
        <v>52331731.199999996</v>
      </c>
      <c r="AX121" s="225" t="str">
        <f t="shared" ref="AX121:AX128" si="212">IF(AW121&lt;=$H121,"VÁLIDA","NO VÁLIDA")</f>
        <v>NO VÁLIDA</v>
      </c>
      <c r="AY121" s="231">
        <v>2812971</v>
      </c>
      <c r="AZ121" s="231">
        <f t="shared" si="178"/>
        <v>39381594</v>
      </c>
      <c r="BA121" s="225" t="str">
        <f t="shared" ref="BA121:BA128" si="213">IF(AZ121&lt;=$H121,"VÁLIDA","NO VÁLIDA")</f>
        <v>VÁLIDA</v>
      </c>
      <c r="BB121" s="231">
        <v>2697351.2525659911</v>
      </c>
      <c r="BC121" s="231">
        <f t="shared" si="180"/>
        <v>37762917.535923876</v>
      </c>
      <c r="BD121" s="225" t="str">
        <f t="shared" ref="BD121:BD128" si="214">IF(BC121&lt;=$H121,"VÁLIDA","NO VÁLIDA")</f>
        <v>VÁLIDA</v>
      </c>
      <c r="BE121" s="231">
        <v>2752211</v>
      </c>
      <c r="BF121" s="231">
        <f t="shared" si="182"/>
        <v>38530954</v>
      </c>
      <c r="BG121" s="225" t="str">
        <f t="shared" ref="BG121:BG128" si="215">IF(BF121&lt;=$H121,"VÁLIDA","NO VÁLIDA")</f>
        <v>VÁLIDA</v>
      </c>
      <c r="BH121" s="231">
        <v>2784841.56225</v>
      </c>
      <c r="BI121" s="231">
        <f t="shared" si="184"/>
        <v>38987781.8715</v>
      </c>
      <c r="BJ121" s="225" t="str">
        <f t="shared" ref="BJ121:BJ128" si="216">IF(BI121&lt;=$H121,"VÁLIDA","NO VÁLIDA")</f>
        <v>VÁLIDA</v>
      </c>
      <c r="BK121" s="231">
        <v>2790468</v>
      </c>
      <c r="BL121" s="231">
        <f t="shared" si="186"/>
        <v>39066552</v>
      </c>
      <c r="BM121" s="225" t="str">
        <f t="shared" ref="BM121:BM128" si="217">IF(BL121&lt;=$H121,"VÁLIDA","NO VÁLIDA")</f>
        <v>VÁLIDA</v>
      </c>
      <c r="BN121" s="231">
        <v>2762731</v>
      </c>
      <c r="BO121" s="231">
        <f t="shared" si="188"/>
        <v>38678234</v>
      </c>
      <c r="BP121" s="225" t="str">
        <f t="shared" ref="BP121:BP128" si="218">IF(BO121&lt;=$H121,"VÁLIDA","NO VÁLIDA")</f>
        <v>VÁLIDA</v>
      </c>
    </row>
    <row r="122" spans="2:68" s="167" customFormat="1" ht="45" customHeight="1" x14ac:dyDescent="0.2">
      <c r="B122" s="103">
        <v>3451</v>
      </c>
      <c r="C122" s="94">
        <f t="shared" si="197"/>
        <v>6.02</v>
      </c>
      <c r="D122" s="232" t="s">
        <v>158</v>
      </c>
      <c r="E122" s="96" t="s">
        <v>89</v>
      </c>
      <c r="F122" s="97">
        <v>1</v>
      </c>
      <c r="G122" s="98">
        <v>12000000</v>
      </c>
      <c r="H122" s="98">
        <f t="shared" si="195"/>
        <v>12000000</v>
      </c>
      <c r="I122" s="191">
        <v>12000000</v>
      </c>
      <c r="J122" s="227">
        <f t="shared" si="198"/>
        <v>12000000</v>
      </c>
      <c r="K122" s="225" t="str">
        <f t="shared" si="199"/>
        <v>VÁLIDA</v>
      </c>
      <c r="L122" s="191">
        <v>11868000</v>
      </c>
      <c r="M122" s="227">
        <f t="shared" si="152"/>
        <v>11868000</v>
      </c>
      <c r="N122" s="225" t="str">
        <f t="shared" si="200"/>
        <v>VÁLIDA</v>
      </c>
      <c r="O122" s="191">
        <v>12000000</v>
      </c>
      <c r="P122" s="227">
        <f t="shared" si="154"/>
        <v>12000000</v>
      </c>
      <c r="Q122" s="225" t="str">
        <f t="shared" si="201"/>
        <v>VÁLIDA</v>
      </c>
      <c r="R122" s="191">
        <v>11823600</v>
      </c>
      <c r="S122" s="227">
        <f t="shared" si="156"/>
        <v>11823600</v>
      </c>
      <c r="T122" s="225" t="str">
        <f t="shared" si="202"/>
        <v>VÁLIDA</v>
      </c>
      <c r="U122" s="191">
        <v>12000000</v>
      </c>
      <c r="V122" s="227">
        <f t="shared" si="158"/>
        <v>12000000</v>
      </c>
      <c r="W122" s="225" t="str">
        <f t="shared" si="203"/>
        <v>VÁLIDA</v>
      </c>
      <c r="X122" s="191">
        <v>11808000</v>
      </c>
      <c r="Y122" s="227">
        <f t="shared" si="160"/>
        <v>11808000</v>
      </c>
      <c r="Z122" s="225" t="str">
        <f t="shared" si="204"/>
        <v>VÁLIDA</v>
      </c>
      <c r="AA122" s="191">
        <v>11868000</v>
      </c>
      <c r="AB122" s="227">
        <f t="shared" si="162"/>
        <v>11868000</v>
      </c>
      <c r="AC122" s="225" t="str">
        <f t="shared" si="205"/>
        <v>VÁLIDA</v>
      </c>
      <c r="AD122" s="191">
        <v>12000000</v>
      </c>
      <c r="AE122" s="227">
        <f t="shared" si="164"/>
        <v>12000000</v>
      </c>
      <c r="AF122" s="225" t="str">
        <f t="shared" si="206"/>
        <v>VÁLIDA</v>
      </c>
      <c r="AH122" s="227">
        <f t="shared" si="166"/>
        <v>0</v>
      </c>
      <c r="AI122" s="225" t="str">
        <f t="shared" si="207"/>
        <v>VÁLIDA</v>
      </c>
      <c r="AJ122" s="227">
        <v>11160000</v>
      </c>
      <c r="AK122" s="227">
        <f t="shared" si="168"/>
        <v>11160000</v>
      </c>
      <c r="AL122" s="225" t="str">
        <f t="shared" si="208"/>
        <v>VÁLIDA</v>
      </c>
      <c r="AM122" s="227">
        <v>11970000</v>
      </c>
      <c r="AN122" s="227">
        <f t="shared" si="170"/>
        <v>11970000</v>
      </c>
      <c r="AO122" s="225" t="str">
        <f t="shared" si="209"/>
        <v>VÁLIDA</v>
      </c>
      <c r="AP122" s="227">
        <v>12000000</v>
      </c>
      <c r="AQ122" s="227">
        <f t="shared" si="172"/>
        <v>12000000</v>
      </c>
      <c r="AR122" s="225" t="str">
        <f t="shared" si="210"/>
        <v>VÁLIDA</v>
      </c>
      <c r="AS122" s="227">
        <v>11741000</v>
      </c>
      <c r="AT122" s="227">
        <f t="shared" si="174"/>
        <v>11741000</v>
      </c>
      <c r="AU122" s="225" t="str">
        <f t="shared" si="211"/>
        <v>VÁLIDA</v>
      </c>
      <c r="AV122" s="227">
        <v>15945660</v>
      </c>
      <c r="AW122" s="227">
        <f t="shared" si="176"/>
        <v>15945660</v>
      </c>
      <c r="AX122" s="225" t="str">
        <f t="shared" si="212"/>
        <v>NO VÁLIDA</v>
      </c>
      <c r="AY122" s="227">
        <v>12000000</v>
      </c>
      <c r="AZ122" s="227">
        <f t="shared" si="178"/>
        <v>12000000</v>
      </c>
      <c r="BA122" s="225" t="str">
        <f t="shared" si="213"/>
        <v>VÁLIDA</v>
      </c>
      <c r="BB122" s="227">
        <v>11506770.551999999</v>
      </c>
      <c r="BC122" s="227">
        <f t="shared" si="180"/>
        <v>11506770.551999999</v>
      </c>
      <c r="BD122" s="225" t="str">
        <f t="shared" si="214"/>
        <v>VÁLIDA</v>
      </c>
      <c r="BE122" s="227">
        <v>11740807</v>
      </c>
      <c r="BF122" s="227">
        <f t="shared" si="182"/>
        <v>11740807</v>
      </c>
      <c r="BG122" s="225" t="str">
        <f t="shared" si="215"/>
        <v>VÁLIDA</v>
      </c>
      <c r="BH122" s="227">
        <v>11880000</v>
      </c>
      <c r="BI122" s="227">
        <f t="shared" si="184"/>
        <v>11880000</v>
      </c>
      <c r="BJ122" s="225" t="str">
        <f t="shared" si="216"/>
        <v>VÁLIDA</v>
      </c>
      <c r="BK122" s="227">
        <v>11904000</v>
      </c>
      <c r="BL122" s="227">
        <f t="shared" si="186"/>
        <v>11904000</v>
      </c>
      <c r="BM122" s="225" t="str">
        <f t="shared" si="217"/>
        <v>VÁLIDA</v>
      </c>
      <c r="BN122" s="227">
        <v>11785680</v>
      </c>
      <c r="BO122" s="227">
        <f t="shared" si="188"/>
        <v>11785680</v>
      </c>
      <c r="BP122" s="225" t="str">
        <f t="shared" si="218"/>
        <v>VÁLIDA</v>
      </c>
    </row>
    <row r="123" spans="2:68" s="167" customFormat="1" ht="38.25" customHeight="1" x14ac:dyDescent="0.2">
      <c r="B123" s="103">
        <v>3015</v>
      </c>
      <c r="C123" s="94">
        <f t="shared" si="197"/>
        <v>6.0299999999999994</v>
      </c>
      <c r="D123" s="232" t="s">
        <v>159</v>
      </c>
      <c r="E123" s="96" t="str">
        <f>VLOOKUP(B123,[2]ITEMS!$B$4:$E$2466,3,FALSE)</f>
        <v>UN</v>
      </c>
      <c r="F123" s="97">
        <f>7+8</f>
        <v>15</v>
      </c>
      <c r="G123" s="98">
        <v>2758746</v>
      </c>
      <c r="H123" s="98">
        <f t="shared" si="195"/>
        <v>41381190</v>
      </c>
      <c r="I123" s="191">
        <v>2715760</v>
      </c>
      <c r="J123" s="227">
        <f t="shared" si="198"/>
        <v>40736400</v>
      </c>
      <c r="K123" s="225" t="str">
        <f t="shared" si="199"/>
        <v>VÁLIDA</v>
      </c>
      <c r="L123" s="191">
        <v>2728400</v>
      </c>
      <c r="M123" s="227">
        <f t="shared" si="152"/>
        <v>40926000</v>
      </c>
      <c r="N123" s="225" t="str">
        <f t="shared" si="200"/>
        <v>VÁLIDA</v>
      </c>
      <c r="O123" s="191">
        <v>2758746</v>
      </c>
      <c r="P123" s="227">
        <f t="shared" si="154"/>
        <v>41381190</v>
      </c>
      <c r="Q123" s="225" t="str">
        <f t="shared" si="201"/>
        <v>VÁLIDA</v>
      </c>
      <c r="R123" s="191">
        <v>2718192</v>
      </c>
      <c r="S123" s="227">
        <f t="shared" si="156"/>
        <v>40772880</v>
      </c>
      <c r="T123" s="225" t="str">
        <f t="shared" si="202"/>
        <v>VÁLIDA</v>
      </c>
      <c r="U123" s="191">
        <v>2758746</v>
      </c>
      <c r="V123" s="227">
        <f t="shared" si="158"/>
        <v>41381190</v>
      </c>
      <c r="W123" s="225" t="str">
        <f t="shared" si="203"/>
        <v>VÁLIDA</v>
      </c>
      <c r="X123" s="191">
        <v>2714606</v>
      </c>
      <c r="Y123" s="227">
        <f t="shared" si="160"/>
        <v>40719090</v>
      </c>
      <c r="Z123" s="225" t="str">
        <f t="shared" si="204"/>
        <v>VÁLIDA</v>
      </c>
      <c r="AA123" s="191">
        <v>2728400</v>
      </c>
      <c r="AB123" s="227">
        <f t="shared" si="162"/>
        <v>40926000</v>
      </c>
      <c r="AC123" s="225" t="str">
        <f t="shared" si="205"/>
        <v>VÁLIDA</v>
      </c>
      <c r="AD123" s="191">
        <v>2700000</v>
      </c>
      <c r="AE123" s="227">
        <f t="shared" si="164"/>
        <v>40500000</v>
      </c>
      <c r="AF123" s="225" t="str">
        <f t="shared" si="206"/>
        <v>VÁLIDA</v>
      </c>
      <c r="AH123" s="227">
        <f t="shared" si="166"/>
        <v>0</v>
      </c>
      <c r="AI123" s="225" t="str">
        <f t="shared" si="207"/>
        <v>VÁLIDA</v>
      </c>
      <c r="AJ123" s="227">
        <v>2565634</v>
      </c>
      <c r="AK123" s="227">
        <f t="shared" si="168"/>
        <v>38484510</v>
      </c>
      <c r="AL123" s="225" t="str">
        <f t="shared" si="208"/>
        <v>VÁLIDA</v>
      </c>
      <c r="AM123" s="227">
        <v>2751849</v>
      </c>
      <c r="AN123" s="227">
        <f t="shared" si="170"/>
        <v>41277735</v>
      </c>
      <c r="AO123" s="225" t="str">
        <f t="shared" si="209"/>
        <v>VÁLIDA</v>
      </c>
      <c r="AP123" s="227">
        <v>2758746</v>
      </c>
      <c r="AQ123" s="227">
        <f t="shared" si="172"/>
        <v>41381190</v>
      </c>
      <c r="AR123" s="225" t="str">
        <f t="shared" si="210"/>
        <v>VÁLIDA</v>
      </c>
      <c r="AS123" s="227">
        <v>2699000</v>
      </c>
      <c r="AT123" s="227">
        <f t="shared" si="174"/>
        <v>40485000</v>
      </c>
      <c r="AU123" s="225" t="str">
        <f t="shared" si="211"/>
        <v>VÁLIDA</v>
      </c>
      <c r="AV123" s="227">
        <v>3665835.9</v>
      </c>
      <c r="AW123" s="227">
        <f t="shared" si="176"/>
        <v>54987538.5</v>
      </c>
      <c r="AX123" s="225" t="str">
        <f t="shared" si="212"/>
        <v>NO VÁLIDA</v>
      </c>
      <c r="AY123" s="227">
        <v>2758746</v>
      </c>
      <c r="AZ123" s="227">
        <f t="shared" si="178"/>
        <v>41381190</v>
      </c>
      <c r="BA123" s="225" t="str">
        <f t="shared" si="213"/>
        <v>VÁLIDA</v>
      </c>
      <c r="BB123" s="227">
        <v>2645354.7694373159</v>
      </c>
      <c r="BC123" s="227">
        <f t="shared" si="180"/>
        <v>39680321.541559741</v>
      </c>
      <c r="BD123" s="225" t="str">
        <f t="shared" si="214"/>
        <v>VÁLIDA</v>
      </c>
      <c r="BE123" s="227">
        <v>2699157</v>
      </c>
      <c r="BF123" s="227">
        <f t="shared" si="182"/>
        <v>40487355</v>
      </c>
      <c r="BG123" s="225" t="str">
        <f t="shared" si="215"/>
        <v>VÁLIDA</v>
      </c>
      <c r="BH123" s="227">
        <v>2731158.54</v>
      </c>
      <c r="BI123" s="227">
        <f t="shared" si="184"/>
        <v>40967378.100000001</v>
      </c>
      <c r="BJ123" s="225" t="str">
        <f t="shared" si="216"/>
        <v>VÁLIDA</v>
      </c>
      <c r="BK123" s="227">
        <v>2736676</v>
      </c>
      <c r="BL123" s="227">
        <f t="shared" si="186"/>
        <v>41050140</v>
      </c>
      <c r="BM123" s="225" t="str">
        <f t="shared" si="217"/>
        <v>VÁLIDA</v>
      </c>
      <c r="BN123" s="227">
        <v>2709474</v>
      </c>
      <c r="BO123" s="227">
        <f t="shared" si="188"/>
        <v>40642110</v>
      </c>
      <c r="BP123" s="225" t="str">
        <f t="shared" si="218"/>
        <v>VÁLIDA</v>
      </c>
    </row>
    <row r="124" spans="2:68" s="167" customFormat="1" ht="38.25" customHeight="1" x14ac:dyDescent="0.25">
      <c r="B124" s="103">
        <v>3221</v>
      </c>
      <c r="C124" s="94">
        <f>C122+0.01</f>
        <v>6.0299999999999994</v>
      </c>
      <c r="D124" s="95" t="str">
        <f>VLOOKUP(B124,[2]ITEMS!$B$4:$E$2466,2,FALSE)</f>
        <v>CAJA DE INSPECCIÓN PARA ALUMBRADO PÚBLICO NORMA CODENSA CS 274  (ZVerde. Incluye Base, Muros, Pañete, Marco y Tapa). Medidas Externas: 0.90 x 0.90m. Medidas Internas: 0.60 x 0.60m. Altura: 0.93m.</v>
      </c>
      <c r="E124" s="96" t="str">
        <f>VLOOKUP(B124,[2]ITEMS!$B$4:$E$2466,3,FALSE)</f>
        <v>UN</v>
      </c>
      <c r="F124" s="97">
        <v>7</v>
      </c>
      <c r="G124" s="98">
        <f>VLOOKUP(B124,[2]ITEMS!$B$4:$E$2466,4,FALSE)</f>
        <v>406473</v>
      </c>
      <c r="H124" s="98">
        <f t="shared" si="195"/>
        <v>2845311</v>
      </c>
      <c r="I124" s="191">
        <v>400140</v>
      </c>
      <c r="J124" s="227">
        <f t="shared" si="198"/>
        <v>2800980</v>
      </c>
      <c r="K124" s="225" t="str">
        <f t="shared" si="199"/>
        <v>VÁLIDA</v>
      </c>
      <c r="L124" s="191">
        <v>402002</v>
      </c>
      <c r="M124" s="227">
        <f t="shared" si="152"/>
        <v>2814014</v>
      </c>
      <c r="N124" s="225" t="str">
        <f t="shared" si="200"/>
        <v>VÁLIDA</v>
      </c>
      <c r="O124" s="191">
        <v>406473</v>
      </c>
      <c r="P124" s="227">
        <f t="shared" si="154"/>
        <v>2845311</v>
      </c>
      <c r="Q124" s="225" t="str">
        <f t="shared" si="201"/>
        <v>VÁLIDA</v>
      </c>
      <c r="R124" s="191">
        <v>400498</v>
      </c>
      <c r="S124" s="227">
        <f t="shared" si="156"/>
        <v>2803486</v>
      </c>
      <c r="T124" s="225" t="str">
        <f t="shared" si="202"/>
        <v>VÁLIDA</v>
      </c>
      <c r="U124" s="191">
        <v>406473</v>
      </c>
      <c r="V124" s="227">
        <f t="shared" si="158"/>
        <v>2845311</v>
      </c>
      <c r="W124" s="225" t="str">
        <f t="shared" si="203"/>
        <v>VÁLIDA</v>
      </c>
      <c r="X124" s="191">
        <v>399969</v>
      </c>
      <c r="Y124" s="227">
        <f t="shared" si="160"/>
        <v>2799783</v>
      </c>
      <c r="Z124" s="225" t="str">
        <f t="shared" si="204"/>
        <v>VÁLIDA</v>
      </c>
      <c r="AA124" s="191">
        <v>402002</v>
      </c>
      <c r="AB124" s="227">
        <f t="shared" si="162"/>
        <v>2814014</v>
      </c>
      <c r="AC124" s="225" t="str">
        <f t="shared" si="205"/>
        <v>VÁLIDA</v>
      </c>
      <c r="AD124" s="191">
        <v>406473</v>
      </c>
      <c r="AE124" s="227">
        <f t="shared" si="164"/>
        <v>2845311</v>
      </c>
      <c r="AF124" s="225" t="str">
        <f t="shared" si="206"/>
        <v>VÁLIDA</v>
      </c>
      <c r="AH124" s="227">
        <f t="shared" si="166"/>
        <v>0</v>
      </c>
      <c r="AI124" s="225" t="str">
        <f t="shared" si="207"/>
        <v>VÁLIDA</v>
      </c>
      <c r="AJ124" s="227">
        <v>378020</v>
      </c>
      <c r="AK124" s="227">
        <f t="shared" si="168"/>
        <v>2646140</v>
      </c>
      <c r="AL124" s="225" t="str">
        <f t="shared" si="208"/>
        <v>VÁLIDA</v>
      </c>
      <c r="AM124" s="227">
        <v>405457</v>
      </c>
      <c r="AN124" s="227">
        <f t="shared" si="170"/>
        <v>2838199</v>
      </c>
      <c r="AO124" s="225" t="str">
        <f t="shared" si="209"/>
        <v>VÁLIDA</v>
      </c>
      <c r="AP124" s="227">
        <v>406473</v>
      </c>
      <c r="AQ124" s="227">
        <f t="shared" si="172"/>
        <v>2845311</v>
      </c>
      <c r="AR124" s="225" t="str">
        <f t="shared" si="210"/>
        <v>VÁLIDA</v>
      </c>
      <c r="AS124" s="227">
        <v>397000</v>
      </c>
      <c r="AT124" s="227">
        <f t="shared" si="174"/>
        <v>2779000</v>
      </c>
      <c r="AU124" s="225" t="str">
        <f t="shared" si="211"/>
        <v>VÁLIDA</v>
      </c>
      <c r="AV124" s="227">
        <v>540122.85</v>
      </c>
      <c r="AW124" s="227">
        <f t="shared" si="176"/>
        <v>3780859.9499999997</v>
      </c>
      <c r="AX124" s="225" t="str">
        <f t="shared" si="212"/>
        <v>NO VÁLIDA</v>
      </c>
      <c r="AY124" s="227">
        <v>406473</v>
      </c>
      <c r="AZ124" s="227">
        <f t="shared" si="178"/>
        <v>2845311</v>
      </c>
      <c r="BA124" s="225" t="str">
        <f t="shared" si="213"/>
        <v>VÁLIDA</v>
      </c>
      <c r="BB124" s="227">
        <v>389765.96221525798</v>
      </c>
      <c r="BC124" s="227">
        <f t="shared" si="180"/>
        <v>2728361.7355068061</v>
      </c>
      <c r="BD124" s="225" t="str">
        <f t="shared" si="214"/>
        <v>VÁLIDA</v>
      </c>
      <c r="BE124" s="227">
        <v>397693</v>
      </c>
      <c r="BF124" s="227">
        <f t="shared" si="182"/>
        <v>2783851</v>
      </c>
      <c r="BG124" s="225" t="str">
        <f t="shared" si="215"/>
        <v>VÁLIDA</v>
      </c>
      <c r="BH124" s="227">
        <v>402408.27</v>
      </c>
      <c r="BI124" s="227">
        <f t="shared" si="184"/>
        <v>2816857.89</v>
      </c>
      <c r="BJ124" s="225" t="str">
        <f t="shared" si="216"/>
        <v>VÁLIDA</v>
      </c>
      <c r="BK124" s="227">
        <v>403221</v>
      </c>
      <c r="BL124" s="227">
        <f t="shared" si="186"/>
        <v>2822547</v>
      </c>
      <c r="BM124" s="225" t="str">
        <f t="shared" si="217"/>
        <v>VÁLIDA</v>
      </c>
      <c r="BN124" s="227">
        <v>399213</v>
      </c>
      <c r="BO124" s="227">
        <f t="shared" si="188"/>
        <v>2794491</v>
      </c>
      <c r="BP124" s="225" t="str">
        <f t="shared" si="218"/>
        <v>VÁLIDA</v>
      </c>
    </row>
    <row r="125" spans="2:68" s="167" customFormat="1" ht="39.75" customHeight="1" x14ac:dyDescent="0.25">
      <c r="B125" s="103">
        <v>4106</v>
      </c>
      <c r="C125" s="94">
        <f>C123+0.01</f>
        <v>6.0399999999999991</v>
      </c>
      <c r="D125" s="95" t="str">
        <f>VLOOKUP(B125,[2]ITEMS!$B$4:$E$2466,2,FALSE)</f>
        <v>CAJA DE INSPECCIÓN SENCILLA PARA CANALIZACIÓN NORMA CODENSA CS 275  (Anden. Incluye Base, Muros, Pañete, Marco y Tapa). Medidas Externas: 1.49 x 0.99m. Medidas Internas: 1.19 x 0.69m. Altura: 1.37m.</v>
      </c>
      <c r="E125" s="96" t="str">
        <f>VLOOKUP(B125,[2]ITEMS!$B$4:$E$2466,3,FALSE)</f>
        <v>UN</v>
      </c>
      <c r="F125" s="97">
        <v>4</v>
      </c>
      <c r="G125" s="98">
        <f>VLOOKUP(B125,[2]ITEMS!$B$4:$E$2466,4,FALSE)</f>
        <v>699270</v>
      </c>
      <c r="H125" s="98">
        <f t="shared" si="195"/>
        <v>2797080</v>
      </c>
      <c r="I125" s="191">
        <v>688374</v>
      </c>
      <c r="J125" s="227">
        <f t="shared" si="198"/>
        <v>2753496</v>
      </c>
      <c r="K125" s="225" t="str">
        <f t="shared" si="199"/>
        <v>VÁLIDA</v>
      </c>
      <c r="L125" s="191">
        <v>691578</v>
      </c>
      <c r="M125" s="227">
        <f t="shared" si="152"/>
        <v>2766312</v>
      </c>
      <c r="N125" s="225" t="str">
        <f t="shared" si="200"/>
        <v>VÁLIDA</v>
      </c>
      <c r="O125" s="191">
        <v>699270</v>
      </c>
      <c r="P125" s="227">
        <f t="shared" si="154"/>
        <v>2797080</v>
      </c>
      <c r="Q125" s="225" t="str">
        <f t="shared" si="201"/>
        <v>VÁLIDA</v>
      </c>
      <c r="R125" s="191">
        <v>688991</v>
      </c>
      <c r="S125" s="227">
        <f t="shared" si="156"/>
        <v>2755964</v>
      </c>
      <c r="T125" s="225" t="str">
        <f t="shared" si="202"/>
        <v>VÁLIDA</v>
      </c>
      <c r="U125" s="191">
        <v>699270</v>
      </c>
      <c r="V125" s="227">
        <f t="shared" si="158"/>
        <v>2797080</v>
      </c>
      <c r="W125" s="225" t="str">
        <f t="shared" si="203"/>
        <v>VÁLIDA</v>
      </c>
      <c r="X125" s="191">
        <v>688081</v>
      </c>
      <c r="Y125" s="227">
        <f t="shared" si="160"/>
        <v>2752324</v>
      </c>
      <c r="Z125" s="225" t="str">
        <f t="shared" si="204"/>
        <v>VÁLIDA</v>
      </c>
      <c r="AA125" s="191">
        <v>691578</v>
      </c>
      <c r="AB125" s="227">
        <f t="shared" si="162"/>
        <v>2766312</v>
      </c>
      <c r="AC125" s="225" t="str">
        <f t="shared" si="205"/>
        <v>VÁLIDA</v>
      </c>
      <c r="AD125" s="191">
        <v>699270</v>
      </c>
      <c r="AE125" s="227">
        <f t="shared" si="164"/>
        <v>2797080</v>
      </c>
      <c r="AF125" s="225" t="str">
        <f t="shared" si="206"/>
        <v>VÁLIDA</v>
      </c>
      <c r="AH125" s="227">
        <f t="shared" si="166"/>
        <v>0</v>
      </c>
      <c r="AI125" s="225" t="str">
        <f t="shared" si="207"/>
        <v>VÁLIDA</v>
      </c>
      <c r="AJ125" s="227">
        <v>650321</v>
      </c>
      <c r="AK125" s="227">
        <f t="shared" si="168"/>
        <v>2601284</v>
      </c>
      <c r="AL125" s="225" t="str">
        <f t="shared" si="208"/>
        <v>VÁLIDA</v>
      </c>
      <c r="AM125" s="227">
        <v>697522</v>
      </c>
      <c r="AN125" s="227">
        <f t="shared" si="170"/>
        <v>2790088</v>
      </c>
      <c r="AO125" s="225" t="str">
        <f t="shared" si="209"/>
        <v>VÁLIDA</v>
      </c>
      <c r="AP125" s="227">
        <v>699270</v>
      </c>
      <c r="AQ125" s="227">
        <f t="shared" si="172"/>
        <v>2797080</v>
      </c>
      <c r="AR125" s="225" t="str">
        <f t="shared" si="210"/>
        <v>VÁLIDA</v>
      </c>
      <c r="AS125" s="227">
        <v>684200</v>
      </c>
      <c r="AT125" s="227">
        <f t="shared" si="174"/>
        <v>2736800</v>
      </c>
      <c r="AU125" s="225" t="str">
        <f t="shared" si="211"/>
        <v>VÁLIDA</v>
      </c>
      <c r="AV125" s="227">
        <v>929192.85</v>
      </c>
      <c r="AW125" s="227">
        <f t="shared" si="176"/>
        <v>3716771.4</v>
      </c>
      <c r="AX125" s="225" t="str">
        <f t="shared" si="212"/>
        <v>NO VÁLIDA</v>
      </c>
      <c r="AY125" s="227">
        <v>699270</v>
      </c>
      <c r="AZ125" s="227">
        <f t="shared" si="178"/>
        <v>2797080</v>
      </c>
      <c r="BA125" s="225" t="str">
        <f t="shared" si="213"/>
        <v>VÁLIDA</v>
      </c>
      <c r="BB125" s="227">
        <v>670528.28699141997</v>
      </c>
      <c r="BC125" s="227">
        <f t="shared" si="180"/>
        <v>2682113.1479656799</v>
      </c>
      <c r="BD125" s="225" t="str">
        <f t="shared" si="214"/>
        <v>VÁLIDA</v>
      </c>
      <c r="BE125" s="227">
        <v>684166</v>
      </c>
      <c r="BF125" s="227">
        <f t="shared" si="182"/>
        <v>2736664</v>
      </c>
      <c r="BG125" s="225" t="str">
        <f t="shared" si="215"/>
        <v>VÁLIDA</v>
      </c>
      <c r="BH125" s="227">
        <v>692277.3</v>
      </c>
      <c r="BI125" s="227">
        <f t="shared" si="184"/>
        <v>2769109.2</v>
      </c>
      <c r="BJ125" s="225" t="str">
        <f t="shared" si="216"/>
        <v>VÁLIDA</v>
      </c>
      <c r="BK125" s="227">
        <v>693676</v>
      </c>
      <c r="BL125" s="227">
        <f t="shared" si="186"/>
        <v>2774704</v>
      </c>
      <c r="BM125" s="225" t="str">
        <f t="shared" si="217"/>
        <v>VÁLIDA</v>
      </c>
      <c r="BN125" s="227">
        <v>686781</v>
      </c>
      <c r="BO125" s="227">
        <f t="shared" si="188"/>
        <v>2747124</v>
      </c>
      <c r="BP125" s="225" t="str">
        <f t="shared" si="218"/>
        <v>VÁLIDA</v>
      </c>
    </row>
    <row r="126" spans="2:68" s="167" customFormat="1" ht="39.75" customHeight="1" x14ac:dyDescent="0.25">
      <c r="B126" s="103">
        <v>3779</v>
      </c>
      <c r="C126" s="94">
        <f t="shared" si="197"/>
        <v>6.0499999999999989</v>
      </c>
      <c r="D126" s="95" t="str">
        <f>VLOOKUP(B126,[2]ITEMS!$B$4:$E$2466,2,FALSE)</f>
        <v>CAJA DE INSPECCIÓN DE 0.6x0.6m (H=0.6m. Incluye Suministro y Construcción. Incluye Marco y Tapa. No Inc. Base y Cañuela)</v>
      </c>
      <c r="E126" s="96" t="str">
        <f>VLOOKUP(B126,[2]ITEMS!$B$4:$E$2466,3,FALSE)</f>
        <v>UN</v>
      </c>
      <c r="F126" s="97">
        <v>13</v>
      </c>
      <c r="G126" s="98">
        <f>VLOOKUP(B126,[2]ITEMS!$B$4:$E$2466,4,FALSE)</f>
        <v>293110</v>
      </c>
      <c r="H126" s="98">
        <f t="shared" si="195"/>
        <v>3810430</v>
      </c>
      <c r="I126" s="191">
        <v>288543</v>
      </c>
      <c r="J126" s="227">
        <f t="shared" si="198"/>
        <v>3751059</v>
      </c>
      <c r="K126" s="225" t="str">
        <f t="shared" si="199"/>
        <v>VÁLIDA</v>
      </c>
      <c r="L126" s="191">
        <v>289886</v>
      </c>
      <c r="M126" s="227">
        <f t="shared" si="152"/>
        <v>3768518</v>
      </c>
      <c r="N126" s="225" t="str">
        <f t="shared" si="200"/>
        <v>VÁLIDA</v>
      </c>
      <c r="O126" s="191">
        <v>293110</v>
      </c>
      <c r="P126" s="227">
        <f t="shared" si="154"/>
        <v>3810430</v>
      </c>
      <c r="Q126" s="225" t="str">
        <f t="shared" si="201"/>
        <v>VÁLIDA</v>
      </c>
      <c r="R126" s="191">
        <v>288801</v>
      </c>
      <c r="S126" s="227">
        <f t="shared" si="156"/>
        <v>3754413</v>
      </c>
      <c r="T126" s="225" t="str">
        <f t="shared" si="202"/>
        <v>VÁLIDA</v>
      </c>
      <c r="U126" s="191">
        <v>293110</v>
      </c>
      <c r="V126" s="227">
        <f t="shared" si="158"/>
        <v>3810430</v>
      </c>
      <c r="W126" s="225" t="str">
        <f t="shared" si="203"/>
        <v>VÁLIDA</v>
      </c>
      <c r="X126" s="191">
        <v>288420</v>
      </c>
      <c r="Y126" s="227">
        <f t="shared" si="160"/>
        <v>3749460</v>
      </c>
      <c r="Z126" s="225" t="str">
        <f t="shared" si="204"/>
        <v>VÁLIDA</v>
      </c>
      <c r="AA126" s="191">
        <v>289886</v>
      </c>
      <c r="AB126" s="227">
        <f t="shared" si="162"/>
        <v>3768518</v>
      </c>
      <c r="AC126" s="225" t="str">
        <f t="shared" si="205"/>
        <v>VÁLIDA</v>
      </c>
      <c r="AD126" s="191">
        <v>293110</v>
      </c>
      <c r="AE126" s="227">
        <f t="shared" si="164"/>
        <v>3810430</v>
      </c>
      <c r="AF126" s="225" t="str">
        <f t="shared" si="206"/>
        <v>VÁLIDA</v>
      </c>
      <c r="AH126" s="227">
        <f t="shared" si="166"/>
        <v>0</v>
      </c>
      <c r="AI126" s="225" t="str">
        <f t="shared" si="207"/>
        <v>VÁLIDA</v>
      </c>
      <c r="AJ126" s="227">
        <v>272592</v>
      </c>
      <c r="AK126" s="227">
        <f t="shared" si="168"/>
        <v>3543696</v>
      </c>
      <c r="AL126" s="225" t="str">
        <f t="shared" si="208"/>
        <v>VÁLIDA</v>
      </c>
      <c r="AM126" s="227">
        <v>292377</v>
      </c>
      <c r="AN126" s="227">
        <f t="shared" si="170"/>
        <v>3800901</v>
      </c>
      <c r="AO126" s="225" t="str">
        <f t="shared" si="209"/>
        <v>VÁLIDA</v>
      </c>
      <c r="AP126" s="227">
        <v>293110</v>
      </c>
      <c r="AQ126" s="227">
        <f t="shared" si="172"/>
        <v>3810430</v>
      </c>
      <c r="AR126" s="225" t="str">
        <f t="shared" si="210"/>
        <v>VÁLIDA</v>
      </c>
      <c r="AS126" s="227">
        <v>286700</v>
      </c>
      <c r="AT126" s="227">
        <f t="shared" si="174"/>
        <v>3727100</v>
      </c>
      <c r="AU126" s="225" t="str">
        <f t="shared" si="211"/>
        <v>VÁLIDA</v>
      </c>
      <c r="AV126" s="227">
        <v>389485.8</v>
      </c>
      <c r="AW126" s="227">
        <f t="shared" si="176"/>
        <v>5063315.3999999994</v>
      </c>
      <c r="AX126" s="225" t="str">
        <f t="shared" si="212"/>
        <v>NO VÁLIDA</v>
      </c>
      <c r="AY126" s="227">
        <v>293110</v>
      </c>
      <c r="AZ126" s="227">
        <f t="shared" si="178"/>
        <v>3810430</v>
      </c>
      <c r="BA126" s="225" t="str">
        <f t="shared" si="213"/>
        <v>VÁLIDA</v>
      </c>
      <c r="BB126" s="227">
        <v>281062.45970806002</v>
      </c>
      <c r="BC126" s="227">
        <f t="shared" si="180"/>
        <v>3653811.9762047804</v>
      </c>
      <c r="BD126" s="225" t="str">
        <f t="shared" si="214"/>
        <v>VÁLIDA</v>
      </c>
      <c r="BE126" s="227">
        <v>286779</v>
      </c>
      <c r="BF126" s="227">
        <f t="shared" si="182"/>
        <v>3728127</v>
      </c>
      <c r="BG126" s="225" t="str">
        <f t="shared" si="215"/>
        <v>VÁLIDA</v>
      </c>
      <c r="BH126" s="227">
        <v>290178.90000000002</v>
      </c>
      <c r="BI126" s="227">
        <f t="shared" si="184"/>
        <v>3772325.7</v>
      </c>
      <c r="BJ126" s="225" t="str">
        <f t="shared" si="216"/>
        <v>VÁLIDA</v>
      </c>
      <c r="BK126" s="227">
        <v>290765</v>
      </c>
      <c r="BL126" s="227">
        <f t="shared" si="186"/>
        <v>3779945</v>
      </c>
      <c r="BM126" s="225" t="str">
        <f t="shared" si="217"/>
        <v>VÁLIDA</v>
      </c>
      <c r="BN126" s="227">
        <v>287875</v>
      </c>
      <c r="BO126" s="227">
        <f t="shared" si="188"/>
        <v>3742375</v>
      </c>
      <c r="BP126" s="225" t="str">
        <f t="shared" si="218"/>
        <v>VÁLIDA</v>
      </c>
    </row>
    <row r="127" spans="2:68" s="167" customFormat="1" ht="24" x14ac:dyDescent="0.25">
      <c r="B127" s="103">
        <v>0</v>
      </c>
      <c r="C127" s="94">
        <f t="shared" si="197"/>
        <v>6.0599999999999987</v>
      </c>
      <c r="D127" s="95" t="s">
        <v>160</v>
      </c>
      <c r="E127" s="96" t="s">
        <v>84</v>
      </c>
      <c r="F127" s="97">
        <v>100</v>
      </c>
      <c r="G127" s="98">
        <v>19380</v>
      </c>
      <c r="H127" s="98">
        <f t="shared" si="195"/>
        <v>1938000</v>
      </c>
      <c r="I127" s="191">
        <v>19078</v>
      </c>
      <c r="J127" s="227">
        <f t="shared" si="198"/>
        <v>1907800</v>
      </c>
      <c r="K127" s="225" t="str">
        <f t="shared" si="199"/>
        <v>VÁLIDA</v>
      </c>
      <c r="L127" s="191">
        <v>19167</v>
      </c>
      <c r="M127" s="227">
        <f t="shared" si="152"/>
        <v>1916700</v>
      </c>
      <c r="N127" s="225" t="str">
        <f t="shared" si="200"/>
        <v>VÁLIDA</v>
      </c>
      <c r="O127" s="191">
        <v>19380</v>
      </c>
      <c r="P127" s="227">
        <f t="shared" si="154"/>
        <v>1938000</v>
      </c>
      <c r="Q127" s="225" t="str">
        <f t="shared" si="201"/>
        <v>VÁLIDA</v>
      </c>
      <c r="R127" s="191">
        <v>19095</v>
      </c>
      <c r="S127" s="227">
        <f t="shared" si="156"/>
        <v>1909500</v>
      </c>
      <c r="T127" s="225" t="str">
        <f t="shared" si="202"/>
        <v>VÁLIDA</v>
      </c>
      <c r="U127" s="191">
        <v>19380</v>
      </c>
      <c r="V127" s="227">
        <f t="shared" si="158"/>
        <v>1938000</v>
      </c>
      <c r="W127" s="225" t="str">
        <f t="shared" si="203"/>
        <v>VÁLIDA</v>
      </c>
      <c r="X127" s="191">
        <v>19069</v>
      </c>
      <c r="Y127" s="227">
        <f t="shared" si="160"/>
        <v>1906900</v>
      </c>
      <c r="Z127" s="225" t="str">
        <f t="shared" si="204"/>
        <v>VÁLIDA</v>
      </c>
      <c r="AA127" s="191">
        <v>19167</v>
      </c>
      <c r="AB127" s="227">
        <f t="shared" si="162"/>
        <v>1916700</v>
      </c>
      <c r="AC127" s="225" t="str">
        <f t="shared" si="205"/>
        <v>VÁLIDA</v>
      </c>
      <c r="AD127" s="191">
        <v>19380</v>
      </c>
      <c r="AE127" s="227">
        <f t="shared" si="164"/>
        <v>1938000</v>
      </c>
      <c r="AF127" s="225" t="str">
        <f t="shared" si="206"/>
        <v>VÁLIDA</v>
      </c>
      <c r="AH127" s="227">
        <f t="shared" si="166"/>
        <v>0</v>
      </c>
      <c r="AI127" s="225" t="str">
        <f t="shared" si="207"/>
        <v>VÁLIDA</v>
      </c>
      <c r="AJ127" s="227">
        <v>18023</v>
      </c>
      <c r="AK127" s="227">
        <f t="shared" si="168"/>
        <v>1802300</v>
      </c>
      <c r="AL127" s="225" t="str">
        <f t="shared" si="208"/>
        <v>VÁLIDA</v>
      </c>
      <c r="AM127" s="227">
        <v>19332</v>
      </c>
      <c r="AN127" s="227">
        <f t="shared" si="170"/>
        <v>1933200</v>
      </c>
      <c r="AO127" s="225" t="str">
        <f t="shared" si="209"/>
        <v>VÁLIDA</v>
      </c>
      <c r="AP127" s="227">
        <v>19380</v>
      </c>
      <c r="AQ127" s="227">
        <f t="shared" si="172"/>
        <v>1938000</v>
      </c>
      <c r="AR127" s="225" t="str">
        <f t="shared" si="210"/>
        <v>VÁLIDA</v>
      </c>
      <c r="AS127" s="227">
        <v>18900</v>
      </c>
      <c r="AT127" s="227">
        <f t="shared" si="174"/>
        <v>1890000</v>
      </c>
      <c r="AU127" s="225" t="str">
        <f t="shared" si="211"/>
        <v>VÁLIDA</v>
      </c>
      <c r="AV127" s="227">
        <v>25752.6</v>
      </c>
      <c r="AW127" s="227">
        <f t="shared" si="176"/>
        <v>2575260</v>
      </c>
      <c r="AX127" s="225" t="str">
        <f t="shared" si="212"/>
        <v>NO VÁLIDA</v>
      </c>
      <c r="AY127" s="227">
        <v>19380</v>
      </c>
      <c r="AZ127" s="227">
        <f t="shared" si="178"/>
        <v>1938000</v>
      </c>
      <c r="BA127" s="225" t="str">
        <f t="shared" si="213"/>
        <v>VÁLIDA</v>
      </c>
      <c r="BB127" s="227">
        <v>18583.43444148</v>
      </c>
      <c r="BC127" s="227">
        <f t="shared" si="180"/>
        <v>1858343.4441479999</v>
      </c>
      <c r="BD127" s="225" t="str">
        <f t="shared" si="214"/>
        <v>VÁLIDA</v>
      </c>
      <c r="BE127" s="227">
        <v>18961</v>
      </c>
      <c r="BF127" s="227">
        <f t="shared" si="182"/>
        <v>1896100</v>
      </c>
      <c r="BG127" s="225" t="str">
        <f t="shared" si="215"/>
        <v>VÁLIDA</v>
      </c>
      <c r="BH127" s="227">
        <v>19186.2</v>
      </c>
      <c r="BI127" s="227">
        <f t="shared" si="184"/>
        <v>1918620</v>
      </c>
      <c r="BJ127" s="225" t="str">
        <f t="shared" si="216"/>
        <v>VÁLIDA</v>
      </c>
      <c r="BK127" s="227">
        <v>19225</v>
      </c>
      <c r="BL127" s="227">
        <f t="shared" si="186"/>
        <v>1922500</v>
      </c>
      <c r="BM127" s="225" t="str">
        <f t="shared" si="217"/>
        <v>VÁLIDA</v>
      </c>
      <c r="BN127" s="227">
        <v>19033</v>
      </c>
      <c r="BO127" s="227">
        <f t="shared" si="188"/>
        <v>1903300</v>
      </c>
      <c r="BP127" s="225" t="str">
        <f t="shared" si="218"/>
        <v>VÁLIDA</v>
      </c>
    </row>
    <row r="128" spans="2:68" s="167" customFormat="1" ht="12" x14ac:dyDescent="0.25">
      <c r="B128" s="103">
        <v>3356</v>
      </c>
      <c r="C128" s="94">
        <f>C127+0.01</f>
        <v>6.0699999999999985</v>
      </c>
      <c r="D128" s="95" t="s">
        <v>161</v>
      </c>
      <c r="E128" s="96" t="str">
        <f>VLOOKUP(B128,[2]ITEMS!$B$4:$E$2466,3,FALSE)</f>
        <v>UN</v>
      </c>
      <c r="F128" s="97">
        <v>28</v>
      </c>
      <c r="G128" s="98">
        <v>6897</v>
      </c>
      <c r="H128" s="98">
        <f t="shared" si="195"/>
        <v>193116</v>
      </c>
      <c r="I128" s="191">
        <v>6790</v>
      </c>
      <c r="J128" s="227">
        <f t="shared" si="198"/>
        <v>190120</v>
      </c>
      <c r="K128" s="225" t="str">
        <f t="shared" si="199"/>
        <v>VÁLIDA</v>
      </c>
      <c r="L128" s="191">
        <v>6821</v>
      </c>
      <c r="M128" s="227">
        <f t="shared" si="152"/>
        <v>190988</v>
      </c>
      <c r="N128" s="225" t="str">
        <f t="shared" si="200"/>
        <v>VÁLIDA</v>
      </c>
      <c r="O128" s="191">
        <v>6897</v>
      </c>
      <c r="P128" s="227">
        <f t="shared" si="154"/>
        <v>193116</v>
      </c>
      <c r="Q128" s="225" t="str">
        <f t="shared" si="201"/>
        <v>VÁLIDA</v>
      </c>
      <c r="R128" s="191">
        <v>6796</v>
      </c>
      <c r="S128" s="227">
        <f t="shared" si="156"/>
        <v>190288</v>
      </c>
      <c r="T128" s="225" t="str">
        <f t="shared" si="202"/>
        <v>VÁLIDA</v>
      </c>
      <c r="U128" s="191">
        <v>6897</v>
      </c>
      <c r="V128" s="227">
        <f t="shared" si="158"/>
        <v>193116</v>
      </c>
      <c r="W128" s="225" t="str">
        <f t="shared" si="203"/>
        <v>VÁLIDA</v>
      </c>
      <c r="X128" s="191">
        <v>6786</v>
      </c>
      <c r="Y128" s="227">
        <f t="shared" si="160"/>
        <v>190008</v>
      </c>
      <c r="Z128" s="225" t="str">
        <f t="shared" si="204"/>
        <v>VÁLIDA</v>
      </c>
      <c r="AA128" s="191">
        <v>6821</v>
      </c>
      <c r="AB128" s="227">
        <f t="shared" si="162"/>
        <v>190988</v>
      </c>
      <c r="AC128" s="225" t="str">
        <f t="shared" si="205"/>
        <v>VÁLIDA</v>
      </c>
      <c r="AD128" s="191">
        <v>6897</v>
      </c>
      <c r="AE128" s="227">
        <f t="shared" si="164"/>
        <v>193116</v>
      </c>
      <c r="AF128" s="225" t="str">
        <f t="shared" si="206"/>
        <v>VÁLIDA</v>
      </c>
      <c r="AH128" s="227">
        <f t="shared" si="166"/>
        <v>0</v>
      </c>
      <c r="AI128" s="225" t="str">
        <f t="shared" si="207"/>
        <v>VÁLIDA</v>
      </c>
      <c r="AJ128" s="227">
        <v>6414</v>
      </c>
      <c r="AK128" s="227">
        <f t="shared" si="168"/>
        <v>179592</v>
      </c>
      <c r="AL128" s="225" t="str">
        <f t="shared" si="208"/>
        <v>VÁLIDA</v>
      </c>
      <c r="AM128" s="227">
        <v>6880</v>
      </c>
      <c r="AN128" s="227">
        <f t="shared" si="170"/>
        <v>192640</v>
      </c>
      <c r="AO128" s="225" t="str">
        <f t="shared" si="209"/>
        <v>VÁLIDA</v>
      </c>
      <c r="AP128" s="227">
        <v>6897</v>
      </c>
      <c r="AQ128" s="227">
        <f t="shared" si="172"/>
        <v>193116</v>
      </c>
      <c r="AR128" s="225" t="str">
        <f t="shared" si="210"/>
        <v>VÁLIDA</v>
      </c>
      <c r="AS128" s="227">
        <v>6700</v>
      </c>
      <c r="AT128" s="227">
        <f t="shared" si="174"/>
        <v>187600</v>
      </c>
      <c r="AU128" s="225" t="str">
        <f t="shared" si="211"/>
        <v>VÁLIDA</v>
      </c>
      <c r="AV128" s="227">
        <v>9165.15</v>
      </c>
      <c r="AW128" s="227">
        <f t="shared" si="176"/>
        <v>256624.19999999998</v>
      </c>
      <c r="AX128" s="225" t="str">
        <f t="shared" si="212"/>
        <v>NO VÁLIDA</v>
      </c>
      <c r="AY128" s="227">
        <v>6897</v>
      </c>
      <c r="AZ128" s="227">
        <f t="shared" si="178"/>
        <v>193116</v>
      </c>
      <c r="BA128" s="225" t="str">
        <f t="shared" si="213"/>
        <v>VÁLIDA</v>
      </c>
      <c r="BB128" s="227">
        <v>6613.5163747619999</v>
      </c>
      <c r="BC128" s="227">
        <f t="shared" si="180"/>
        <v>185178.45849333599</v>
      </c>
      <c r="BD128" s="225" t="str">
        <f t="shared" si="214"/>
        <v>VÁLIDA</v>
      </c>
      <c r="BE128" s="227">
        <v>6748</v>
      </c>
      <c r="BF128" s="227">
        <f t="shared" si="182"/>
        <v>188944</v>
      </c>
      <c r="BG128" s="225" t="str">
        <f t="shared" si="215"/>
        <v>VÁLIDA</v>
      </c>
      <c r="BH128" s="227">
        <v>6828.03</v>
      </c>
      <c r="BI128" s="227">
        <f t="shared" si="184"/>
        <v>191184.84</v>
      </c>
      <c r="BJ128" s="225" t="str">
        <f t="shared" si="216"/>
        <v>VÁLIDA</v>
      </c>
      <c r="BK128" s="227">
        <v>6842</v>
      </c>
      <c r="BL128" s="227">
        <f t="shared" si="186"/>
        <v>191576</v>
      </c>
      <c r="BM128" s="225" t="str">
        <f t="shared" si="217"/>
        <v>VÁLIDA</v>
      </c>
      <c r="BN128" s="227">
        <v>6773</v>
      </c>
      <c r="BO128" s="227">
        <f t="shared" si="188"/>
        <v>189644</v>
      </c>
      <c r="BP128" s="225" t="str">
        <f t="shared" si="218"/>
        <v>VÁLIDA</v>
      </c>
    </row>
    <row r="129" spans="1:247" s="229" customFormat="1" ht="12.75" thickBot="1" x14ac:dyDescent="0.3">
      <c r="B129" s="283"/>
      <c r="C129" s="284"/>
      <c r="D129" s="284"/>
      <c r="E129" s="284"/>
      <c r="F129" s="284"/>
      <c r="G129" s="284"/>
      <c r="H129" s="285"/>
      <c r="I129" s="195"/>
      <c r="J129" s="227"/>
      <c r="K129" s="225"/>
      <c r="L129" s="195"/>
      <c r="M129" s="227"/>
      <c r="N129" s="225"/>
      <c r="O129" s="195"/>
      <c r="P129" s="227"/>
      <c r="Q129" s="225"/>
      <c r="R129" s="195"/>
      <c r="S129" s="227"/>
      <c r="T129" s="225"/>
      <c r="U129" s="195"/>
      <c r="V129" s="227"/>
      <c r="W129" s="225"/>
      <c r="X129" s="195"/>
      <c r="Y129" s="227"/>
      <c r="Z129" s="225"/>
      <c r="AA129" s="195"/>
      <c r="AB129" s="227"/>
      <c r="AC129" s="225"/>
      <c r="AD129" s="195"/>
      <c r="AE129" s="227"/>
      <c r="AF129" s="225"/>
      <c r="AH129" s="227"/>
      <c r="AI129" s="225"/>
      <c r="AJ129" s="227"/>
      <c r="AK129" s="227"/>
      <c r="AL129" s="225"/>
      <c r="AM129" s="227"/>
      <c r="AN129" s="227"/>
      <c r="AO129" s="225"/>
      <c r="AP129" s="227"/>
      <c r="AQ129" s="227"/>
      <c r="AR129" s="225"/>
      <c r="AS129" s="227"/>
      <c r="AT129" s="227"/>
      <c r="AU129" s="225"/>
      <c r="AV129" s="227"/>
      <c r="AW129" s="227"/>
      <c r="AX129" s="225"/>
      <c r="AY129" s="227"/>
      <c r="AZ129" s="227"/>
      <c r="BA129" s="225"/>
      <c r="BB129" s="227"/>
      <c r="BC129" s="227"/>
      <c r="BD129" s="225"/>
      <c r="BE129" s="227"/>
      <c r="BF129" s="227"/>
      <c r="BG129" s="225"/>
      <c r="BH129" s="227"/>
      <c r="BI129" s="227"/>
      <c r="BJ129" s="225"/>
      <c r="BK129" s="227"/>
      <c r="BL129" s="227"/>
      <c r="BM129" s="225"/>
      <c r="BN129" s="227"/>
      <c r="BO129" s="227"/>
      <c r="BP129" s="225"/>
    </row>
    <row r="130" spans="1:247" s="167" customFormat="1" ht="12.75" thickBot="1" x14ac:dyDescent="0.3">
      <c r="B130" s="78"/>
      <c r="C130" s="150">
        <f>C114+1</f>
        <v>6</v>
      </c>
      <c r="D130" s="81" t="s">
        <v>162</v>
      </c>
      <c r="E130" s="81"/>
      <c r="F130" s="82"/>
      <c r="G130" s="102"/>
      <c r="H130" s="83">
        <f>SUM(H132:H139)</f>
        <v>1290936</v>
      </c>
      <c r="I130" s="226"/>
      <c r="J130" s="192">
        <f>SUM(J132:J139)</f>
        <v>1270822</v>
      </c>
      <c r="K130" s="225" t="str">
        <f>IF(J130&lt;=$H130,"VÁLIDA","NO VÁLIDA")</f>
        <v>VÁLIDA</v>
      </c>
      <c r="L130" s="226"/>
      <c r="M130" s="192">
        <f>SUM(M132:M139)</f>
        <v>1276736</v>
      </c>
      <c r="N130" s="225" t="str">
        <f>IF(M130&lt;=$H130,"VÁLIDA","NO VÁLIDA")</f>
        <v>VÁLIDA</v>
      </c>
      <c r="O130" s="226"/>
      <c r="P130" s="192">
        <f>SUM(P132:P139)</f>
        <v>1290936</v>
      </c>
      <c r="Q130" s="225" t="str">
        <f>IF(P130&lt;=$H130,"VÁLIDA","NO VÁLIDA")</f>
        <v>VÁLIDA</v>
      </c>
      <c r="R130" s="196"/>
      <c r="S130" s="192">
        <f>SUM(S132:S139)</f>
        <v>1271959</v>
      </c>
      <c r="T130" s="225" t="str">
        <f>IF(S130&lt;=$H130,"VÁLIDA","NO VÁLIDA")</f>
        <v>VÁLIDA</v>
      </c>
      <c r="U130" s="196"/>
      <c r="V130" s="192">
        <f>SUM(V132:V139)</f>
        <v>1290936</v>
      </c>
      <c r="W130" s="225" t="str">
        <f>IF(V130&lt;=$H130,"VÁLIDA","NO VÁLIDA")</f>
        <v>VÁLIDA</v>
      </c>
      <c r="X130" s="196"/>
      <c r="Y130" s="192">
        <f>SUM(Y132:Y139)</f>
        <v>1270278</v>
      </c>
      <c r="Z130" s="225" t="str">
        <f>IF(Y130&lt;=$H130,"VÁLIDA","NO VÁLIDA")</f>
        <v>VÁLIDA</v>
      </c>
      <c r="AA130" s="196"/>
      <c r="AB130" s="192">
        <f>SUM(AB132:AB139)</f>
        <v>1276736</v>
      </c>
      <c r="AC130" s="225" t="str">
        <f>IF(AB130&lt;=$H130,"VÁLIDA","NO VÁLIDA")</f>
        <v>VÁLIDA</v>
      </c>
      <c r="AD130" s="196"/>
      <c r="AE130" s="192">
        <f>SUM(AE132:AE139)</f>
        <v>1290936</v>
      </c>
      <c r="AF130" s="225" t="str">
        <f>IF(AE130&lt;=$H130,"VÁLIDA","NO VÁLIDA")</f>
        <v>VÁLIDA</v>
      </c>
      <c r="AH130" s="192">
        <f>SUM(AH132:AH139)</f>
        <v>0</v>
      </c>
      <c r="AI130" s="225" t="str">
        <f>IF(AH130&lt;=$H130,"VÁLIDA","NO VÁLIDA")</f>
        <v>VÁLIDA</v>
      </c>
      <c r="AJ130" s="192"/>
      <c r="AK130" s="192">
        <f>SUM(AK132:AK139)</f>
        <v>1200570</v>
      </c>
      <c r="AL130" s="225" t="str">
        <f>IF(AK130&lt;=$H130,"VÁLIDA","NO VÁLIDA")</f>
        <v>VÁLIDA</v>
      </c>
      <c r="AM130" s="192"/>
      <c r="AN130" s="192">
        <f>SUM(AN132:AN139)</f>
        <v>1287708</v>
      </c>
      <c r="AO130" s="225" t="str">
        <f>IF(AN130&lt;=$H130,"VÁLIDA","NO VÁLIDA")</f>
        <v>VÁLIDA</v>
      </c>
      <c r="AP130" s="192"/>
      <c r="AQ130" s="192">
        <f>SUM(AQ132:AQ139)</f>
        <v>1290936</v>
      </c>
      <c r="AR130" s="225" t="str">
        <f>IF(AQ130&lt;=$H130,"VÁLIDA","NO VÁLIDA")</f>
        <v>VÁLIDA</v>
      </c>
      <c r="AS130" s="192"/>
      <c r="AT130" s="192">
        <f>SUM(AT132:AT139)</f>
        <v>1261100</v>
      </c>
      <c r="AU130" s="225" t="str">
        <f>IF(AT130&lt;=$H130,"VÁLIDA","NO VÁLIDA")</f>
        <v>VÁLIDA</v>
      </c>
      <c r="AV130" s="192"/>
      <c r="AW130" s="192">
        <f>SUM(AW132:AW139)</f>
        <v>1715401.45</v>
      </c>
      <c r="AX130" s="225" t="str">
        <f>IF(AW130&lt;=$H130,"VÁLIDA","NO VÁLIDA")</f>
        <v>NO VÁLIDA</v>
      </c>
      <c r="AY130" s="192"/>
      <c r="AZ130" s="192">
        <f>SUM(AZ132:AZ139)</f>
        <v>1290936</v>
      </c>
      <c r="BA130" s="225" t="str">
        <f>IF(AZ130&lt;=$H130,"VÁLIDA","NO VÁLIDA")</f>
        <v>VÁLIDA</v>
      </c>
      <c r="BB130" s="192"/>
      <c r="BC130" s="192">
        <f>SUM(BC132:BC139)</f>
        <v>1237875.362443056</v>
      </c>
      <c r="BD130" s="225" t="str">
        <f>IF(BC130&lt;=$H130,"VÁLIDA","NO VÁLIDA")</f>
        <v>VÁLIDA</v>
      </c>
      <c r="BE130" s="192"/>
      <c r="BF130" s="192">
        <f>SUM(BF132:BF139)</f>
        <v>1262916</v>
      </c>
      <c r="BG130" s="225" t="str">
        <f>IF(BF130&lt;=$H130,"VÁLIDA","NO VÁLIDA")</f>
        <v>VÁLIDA</v>
      </c>
      <c r="BH130" s="192"/>
      <c r="BI130" s="192">
        <f>SUM(BI132:BI139)</f>
        <v>1278026.6400000001</v>
      </c>
      <c r="BJ130" s="225" t="str">
        <f>IF(BI130&lt;=$H130,"VÁLIDA","NO VÁLIDA")</f>
        <v>VÁLIDA</v>
      </c>
      <c r="BK130" s="192"/>
      <c r="BL130" s="192">
        <f>SUM(BL132:BL139)</f>
        <v>1280609</v>
      </c>
      <c r="BM130" s="225" t="str">
        <f>IF(BL130&lt;=$H130,"VÁLIDA","NO VÁLIDA")</f>
        <v>VÁLIDA</v>
      </c>
      <c r="BN130" s="192"/>
      <c r="BO130" s="192">
        <f>SUM(BO132:BO139)</f>
        <v>1267876</v>
      </c>
      <c r="BP130" s="225" t="str">
        <f>IF(BO130&lt;=$H130,"VÁLIDA","NO VÁLIDA")</f>
        <v>VÁLIDA</v>
      </c>
    </row>
    <row r="131" spans="1:247" s="167" customFormat="1" ht="12" x14ac:dyDescent="0.25">
      <c r="B131" s="105"/>
      <c r="C131" s="151"/>
      <c r="D131" s="108" t="s">
        <v>163</v>
      </c>
      <c r="E131" s="108"/>
      <c r="F131" s="109"/>
      <c r="G131" s="110"/>
      <c r="H131" s="110"/>
      <c r="I131" s="196"/>
      <c r="J131" s="227"/>
      <c r="K131" s="225"/>
      <c r="L131" s="196"/>
      <c r="M131" s="227"/>
      <c r="N131" s="225"/>
      <c r="O131" s="196"/>
      <c r="P131" s="227"/>
      <c r="Q131" s="225"/>
      <c r="R131" s="233"/>
      <c r="S131" s="227"/>
      <c r="T131" s="225"/>
      <c r="U131" s="233"/>
      <c r="V131" s="227"/>
      <c r="W131" s="225"/>
      <c r="X131" s="233"/>
      <c r="Y131" s="227"/>
      <c r="Z131" s="225"/>
      <c r="AA131" s="233"/>
      <c r="AB131" s="227"/>
      <c r="AC131" s="225"/>
      <c r="AD131" s="233"/>
      <c r="AE131" s="227"/>
      <c r="AF131" s="225"/>
      <c r="AH131" s="227"/>
      <c r="AI131" s="225"/>
      <c r="AJ131" s="227"/>
      <c r="AK131" s="227"/>
      <c r="AL131" s="225"/>
      <c r="AM131" s="227"/>
      <c r="AN131" s="227"/>
      <c r="AO131" s="225"/>
      <c r="AP131" s="227"/>
      <c r="AQ131" s="227"/>
      <c r="AR131" s="225"/>
      <c r="AS131" s="227"/>
      <c r="AT131" s="227"/>
      <c r="AU131" s="225"/>
      <c r="AV131" s="227"/>
      <c r="AW131" s="227"/>
      <c r="AX131" s="225"/>
      <c r="AY131" s="227"/>
      <c r="AZ131" s="227"/>
      <c r="BA131" s="225"/>
      <c r="BB131" s="227"/>
      <c r="BC131" s="227"/>
      <c r="BD131" s="225"/>
      <c r="BE131" s="227"/>
      <c r="BF131" s="227"/>
      <c r="BG131" s="225"/>
      <c r="BH131" s="227"/>
      <c r="BI131" s="227"/>
      <c r="BJ131" s="225"/>
      <c r="BK131" s="227"/>
      <c r="BL131" s="227"/>
      <c r="BM131" s="225"/>
      <c r="BN131" s="227"/>
      <c r="BO131" s="227"/>
      <c r="BP131" s="225"/>
    </row>
    <row r="132" spans="1:247" s="167" customFormat="1" ht="24" x14ac:dyDescent="0.25">
      <c r="B132" s="103">
        <v>4248</v>
      </c>
      <c r="C132" s="94">
        <f>C130+0.01</f>
        <v>6.01</v>
      </c>
      <c r="D132" s="95" t="str">
        <f>VLOOKUP(B132,[2]ITEMS!$B$4:$E$2466,2,FALSE)</f>
        <v>DEMARCACION PASO PEATONAL-CEBRA (e=2.3mm,Termoplástica. Inc. Suministro y Aplicación con Equipo. Inc Microesferas)</v>
      </c>
      <c r="E132" s="96" t="str">
        <f>VLOOKUP(B132,[2]ITEMS!$B$4:$E$2466,3,FALSE)</f>
        <v>M2</v>
      </c>
      <c r="F132" s="97">
        <v>1</v>
      </c>
      <c r="G132" s="98">
        <f>VLOOKUP(B132,[2]ITEMS!$B$4:$E$2466,4,FALSE)</f>
        <v>109480</v>
      </c>
      <c r="H132" s="98">
        <f t="shared" ref="H132:H139" si="219">F132*G132</f>
        <v>109480</v>
      </c>
      <c r="I132" s="191">
        <v>107774</v>
      </c>
      <c r="J132" s="227">
        <f t="shared" ref="J132" si="220">I132*F132</f>
        <v>107774</v>
      </c>
      <c r="K132" s="225" t="str">
        <f>IF(J132&lt;=$H132,"VÁLIDA","NO VÁLIDA")</f>
        <v>VÁLIDA</v>
      </c>
      <c r="L132" s="191">
        <v>108276</v>
      </c>
      <c r="M132" s="227">
        <f t="shared" ref="M132:M139" si="221">L132*$F132</f>
        <v>108276</v>
      </c>
      <c r="N132" s="225" t="str">
        <f>IF(M132&lt;=$H132,"VÁLIDA","NO VÁLIDA")</f>
        <v>VÁLIDA</v>
      </c>
      <c r="O132" s="191">
        <v>109480</v>
      </c>
      <c r="P132" s="227">
        <f t="shared" ref="P132:P139" si="222">O132*$F132</f>
        <v>109480</v>
      </c>
      <c r="Q132" s="225" t="str">
        <f>IF(P132&lt;=$H132,"VÁLIDA","NO VÁLIDA")</f>
        <v>VÁLIDA</v>
      </c>
      <c r="R132" s="191">
        <v>107871</v>
      </c>
      <c r="S132" s="227">
        <f t="shared" ref="S132:S139" si="223">R132*$F132</f>
        <v>107871</v>
      </c>
      <c r="T132" s="225" t="str">
        <f>IF(S132&lt;=$H132,"VÁLIDA","NO VÁLIDA")</f>
        <v>VÁLIDA</v>
      </c>
      <c r="U132" s="191">
        <v>109480</v>
      </c>
      <c r="V132" s="227">
        <f t="shared" ref="V132:V139" si="224">U132*$F132</f>
        <v>109480</v>
      </c>
      <c r="W132" s="225" t="str">
        <f>IF(V132&lt;=$H132,"VÁLIDA","NO VÁLIDA")</f>
        <v>VÁLIDA</v>
      </c>
      <c r="X132" s="191">
        <v>107728</v>
      </c>
      <c r="Y132" s="227">
        <f t="shared" ref="Y132:Y139" si="225">X132*$F132</f>
        <v>107728</v>
      </c>
      <c r="Z132" s="225" t="str">
        <f>IF(Y132&lt;=$H132,"VÁLIDA","NO VÁLIDA")</f>
        <v>VÁLIDA</v>
      </c>
      <c r="AA132" s="191">
        <v>108276</v>
      </c>
      <c r="AB132" s="227">
        <f t="shared" ref="AB132:AB139" si="226">AA132*$F132</f>
        <v>108276</v>
      </c>
      <c r="AC132" s="225" t="str">
        <f>IF(AB132&lt;=$H132,"VÁLIDA","NO VÁLIDA")</f>
        <v>VÁLIDA</v>
      </c>
      <c r="AD132" s="191">
        <v>109480</v>
      </c>
      <c r="AE132" s="227">
        <f t="shared" ref="AE132:AE139" si="227">AD132*$F132</f>
        <v>109480</v>
      </c>
      <c r="AF132" s="225" t="str">
        <f>IF(AE132&lt;=$H132,"VÁLIDA","NO VÁLIDA")</f>
        <v>VÁLIDA</v>
      </c>
      <c r="AH132" s="227">
        <f t="shared" ref="AH132:AH139" si="228">AG132*$F132</f>
        <v>0</v>
      </c>
      <c r="AI132" s="225" t="str">
        <f>IF(AH132&lt;=$H132,"VÁLIDA","NO VÁLIDA")</f>
        <v>VÁLIDA</v>
      </c>
      <c r="AJ132" s="227">
        <v>101816</v>
      </c>
      <c r="AK132" s="227">
        <f t="shared" ref="AK132:AK139" si="229">AJ132*$F132</f>
        <v>101816</v>
      </c>
      <c r="AL132" s="225" t="str">
        <f>IF(AK132&lt;=$H132,"VÁLIDA","NO VÁLIDA")</f>
        <v>VÁLIDA</v>
      </c>
      <c r="AM132" s="227">
        <v>109206</v>
      </c>
      <c r="AN132" s="227">
        <f t="shared" ref="AN132:AN139" si="230">AM132*$F132</f>
        <v>109206</v>
      </c>
      <c r="AO132" s="225" t="str">
        <f>IF(AN132&lt;=$H132,"VÁLIDA","NO VÁLIDA")</f>
        <v>VÁLIDA</v>
      </c>
      <c r="AP132" s="227">
        <v>109480</v>
      </c>
      <c r="AQ132" s="227">
        <f t="shared" ref="AQ132:AQ139" si="231">AP132*$F132</f>
        <v>109480</v>
      </c>
      <c r="AR132" s="225" t="str">
        <f>IF(AQ132&lt;=$H132,"VÁLIDA","NO VÁLIDA")</f>
        <v>VÁLIDA</v>
      </c>
      <c r="AS132" s="227">
        <v>107000</v>
      </c>
      <c r="AT132" s="227">
        <f t="shared" ref="AT132:AT139" si="232">AS132*$F132</f>
        <v>107000</v>
      </c>
      <c r="AU132" s="225" t="str">
        <f>IF(AT132&lt;=$H132,"VÁLIDA","NO VÁLIDA")</f>
        <v>VÁLIDA</v>
      </c>
      <c r="AV132" s="227">
        <v>145477</v>
      </c>
      <c r="AW132" s="227">
        <f t="shared" ref="AW132:AW139" si="233">AV132*$F132</f>
        <v>145477</v>
      </c>
      <c r="AX132" s="225" t="str">
        <f>IF(AW132&lt;=$H132,"VÁLIDA","NO VÁLIDA")</f>
        <v>NO VÁLIDA</v>
      </c>
      <c r="AY132" s="227">
        <v>109480</v>
      </c>
      <c r="AZ132" s="227">
        <f t="shared" ref="AZ132:AZ139" si="234">AY132*$F132</f>
        <v>109480</v>
      </c>
      <c r="BA132" s="225" t="str">
        <f>IF(AZ132&lt;=$H132,"VÁLIDA","NO VÁLIDA")</f>
        <v>VÁLIDA</v>
      </c>
      <c r="BB132" s="227">
        <v>104980.10333607999</v>
      </c>
      <c r="BC132" s="227">
        <f t="shared" ref="BC132:BC139" si="235">BB132*$F132</f>
        <v>104980.10333607999</v>
      </c>
      <c r="BD132" s="225" t="str">
        <f>IF(BC132&lt;=$H132,"VÁLIDA","NO VÁLIDA")</f>
        <v>VÁLIDA</v>
      </c>
      <c r="BE132" s="227">
        <v>107115</v>
      </c>
      <c r="BF132" s="227">
        <f t="shared" ref="BF132:BF139" si="236">BE132*$F132</f>
        <v>107115</v>
      </c>
      <c r="BG132" s="225" t="str">
        <f>IF(BF132&lt;=$H132,"VÁLIDA","NO VÁLIDA")</f>
        <v>VÁLIDA</v>
      </c>
      <c r="BH132" s="227">
        <v>108385.2</v>
      </c>
      <c r="BI132" s="227">
        <f t="shared" ref="BI132:BI139" si="237">BH132*$F132</f>
        <v>108385.2</v>
      </c>
      <c r="BJ132" s="225" t="str">
        <f>IF(BI132&lt;=$H132,"VÁLIDA","NO VÁLIDA")</f>
        <v>VÁLIDA</v>
      </c>
      <c r="BK132" s="227">
        <v>108604</v>
      </c>
      <c r="BL132" s="227">
        <f t="shared" ref="BL132:BL139" si="238">BK132*$F132</f>
        <v>108604</v>
      </c>
      <c r="BM132" s="225" t="str">
        <f>IF(BL132&lt;=$H132,"VÁLIDA","NO VÁLIDA")</f>
        <v>VÁLIDA</v>
      </c>
      <c r="BN132" s="227">
        <v>107524</v>
      </c>
      <c r="BO132" s="227">
        <f t="shared" ref="BO132:BO139" si="239">BN132*$F132</f>
        <v>107524</v>
      </c>
      <c r="BP132" s="225" t="str">
        <f>IF(BO132&lt;=$H132,"VÁLIDA","NO VÁLIDA")</f>
        <v>VÁLIDA</v>
      </c>
    </row>
    <row r="133" spans="1:247" s="229" customFormat="1" ht="12" x14ac:dyDescent="0.25">
      <c r="B133" s="116"/>
      <c r="C133" s="94"/>
      <c r="D133" s="128" t="s">
        <v>164</v>
      </c>
      <c r="E133" s="96"/>
      <c r="F133" s="127"/>
      <c r="G133" s="98"/>
      <c r="H133" s="98"/>
      <c r="I133" s="195"/>
      <c r="J133" s="227"/>
      <c r="K133" s="225"/>
      <c r="L133" s="195"/>
      <c r="M133" s="227"/>
      <c r="N133" s="225"/>
      <c r="O133" s="195"/>
      <c r="P133" s="227"/>
      <c r="Q133" s="225"/>
      <c r="R133" s="195"/>
      <c r="S133" s="227"/>
      <c r="T133" s="225"/>
      <c r="U133" s="195"/>
      <c r="V133" s="227"/>
      <c r="W133" s="225"/>
      <c r="X133" s="195"/>
      <c r="Y133" s="227"/>
      <c r="Z133" s="225"/>
      <c r="AA133" s="195"/>
      <c r="AB133" s="227"/>
      <c r="AC133" s="225"/>
      <c r="AD133" s="195"/>
      <c r="AE133" s="227"/>
      <c r="AF133" s="225"/>
      <c r="AH133" s="227"/>
      <c r="AI133" s="225"/>
      <c r="AJ133" s="227"/>
      <c r="AK133" s="227"/>
      <c r="AL133" s="225"/>
      <c r="AM133" s="227"/>
      <c r="AN133" s="227"/>
      <c r="AO133" s="225"/>
      <c r="AP133" s="227"/>
      <c r="AQ133" s="227"/>
      <c r="AR133" s="225"/>
      <c r="AS133" s="227"/>
      <c r="AT133" s="227"/>
      <c r="AU133" s="225"/>
      <c r="AV133" s="227"/>
      <c r="AW133" s="227"/>
      <c r="AX133" s="225"/>
      <c r="AY133" s="227"/>
      <c r="AZ133" s="227"/>
      <c r="BA133" s="225"/>
      <c r="BB133" s="227"/>
      <c r="BC133" s="227"/>
      <c r="BD133" s="225"/>
      <c r="BE133" s="227"/>
      <c r="BF133" s="227"/>
      <c r="BG133" s="225"/>
      <c r="BH133" s="227"/>
      <c r="BI133" s="227"/>
      <c r="BJ133" s="225"/>
      <c r="BK133" s="227"/>
      <c r="BL133" s="227"/>
      <c r="BM133" s="225"/>
      <c r="BN133" s="227"/>
      <c r="BO133" s="227"/>
      <c r="BP133" s="225"/>
    </row>
    <row r="134" spans="1:247" s="167" customFormat="1" ht="12" x14ac:dyDescent="0.25">
      <c r="B134" s="103">
        <v>3431</v>
      </c>
      <c r="C134" s="94">
        <f>C132+0.01</f>
        <v>6.02</v>
      </c>
      <c r="D134" s="95" t="str">
        <f>VLOOKUP(B134,[2]ITEMS!$B$4:$E$2466,2,FALSE)</f>
        <v>SEÑAL VERTICAL GRUPO I (75x75cm) (Incluye Suministro e Instalación)</v>
      </c>
      <c r="E134" s="96" t="str">
        <f>VLOOKUP(B134,[2]ITEMS!$B$4:$E$2466,3,FALSE)</f>
        <v>UN</v>
      </c>
      <c r="F134" s="97">
        <v>1</v>
      </c>
      <c r="G134" s="98">
        <f>VLOOKUP(B134,[2]ITEMS!$B$4:$E$2466,4,FALSE)</f>
        <v>151086</v>
      </c>
      <c r="H134" s="98">
        <f t="shared" si="219"/>
        <v>151086</v>
      </c>
      <c r="I134" s="191">
        <v>148732</v>
      </c>
      <c r="J134" s="227">
        <f t="shared" ref="J134:J139" si="240">I134*F134</f>
        <v>148732</v>
      </c>
      <c r="K134" s="225" t="str">
        <f t="shared" ref="K134:K139" si="241">IF(J134&lt;=$H134,"VÁLIDA","NO VÁLIDA")</f>
        <v>VÁLIDA</v>
      </c>
      <c r="L134" s="191">
        <v>149424</v>
      </c>
      <c r="M134" s="227">
        <f t="shared" si="221"/>
        <v>149424</v>
      </c>
      <c r="N134" s="225" t="str">
        <f t="shared" ref="N134:N139" si="242">IF(M134&lt;=$H134,"VÁLIDA","NO VÁLIDA")</f>
        <v>VÁLIDA</v>
      </c>
      <c r="O134" s="191">
        <v>151086</v>
      </c>
      <c r="P134" s="227">
        <f t="shared" si="222"/>
        <v>151086</v>
      </c>
      <c r="Q134" s="225" t="str">
        <f t="shared" ref="Q134:Q139" si="243">IF(P134&lt;=$H134,"VÁLIDA","NO VÁLIDA")</f>
        <v>VÁLIDA</v>
      </c>
      <c r="R134" s="191">
        <v>148865</v>
      </c>
      <c r="S134" s="227">
        <f t="shared" si="223"/>
        <v>148865</v>
      </c>
      <c r="T134" s="225" t="str">
        <f t="shared" ref="T134:T139" si="244">IF(S134&lt;=$H134,"VÁLIDA","NO VÁLIDA")</f>
        <v>VÁLIDA</v>
      </c>
      <c r="U134" s="191">
        <v>151086</v>
      </c>
      <c r="V134" s="227">
        <f t="shared" si="224"/>
        <v>151086</v>
      </c>
      <c r="W134" s="225" t="str">
        <f t="shared" ref="W134:W139" si="245">IF(V134&lt;=$H134,"VÁLIDA","NO VÁLIDA")</f>
        <v>VÁLIDA</v>
      </c>
      <c r="X134" s="191">
        <v>148668</v>
      </c>
      <c r="Y134" s="227">
        <f t="shared" si="225"/>
        <v>148668</v>
      </c>
      <c r="Z134" s="225" t="str">
        <f t="shared" ref="Z134:Z139" si="246">IF(Y134&lt;=$H134,"VÁLIDA","NO VÁLIDA")</f>
        <v>VÁLIDA</v>
      </c>
      <c r="AA134" s="191">
        <v>149424</v>
      </c>
      <c r="AB134" s="227">
        <f t="shared" si="226"/>
        <v>149424</v>
      </c>
      <c r="AC134" s="225" t="str">
        <f t="shared" ref="AC134:AC139" si="247">IF(AB134&lt;=$H134,"VÁLIDA","NO VÁLIDA")</f>
        <v>VÁLIDA</v>
      </c>
      <c r="AD134" s="191">
        <v>151086</v>
      </c>
      <c r="AE134" s="227">
        <f t="shared" si="227"/>
        <v>151086</v>
      </c>
      <c r="AF134" s="225" t="str">
        <f t="shared" ref="AF134:AF139" si="248">IF(AE134&lt;=$H134,"VÁLIDA","NO VÁLIDA")</f>
        <v>VÁLIDA</v>
      </c>
      <c r="AH134" s="227">
        <f t="shared" si="228"/>
        <v>0</v>
      </c>
      <c r="AI134" s="225" t="str">
        <f t="shared" ref="AI134:AI139" si="249">IF(AH134&lt;=$H134,"VÁLIDA","NO VÁLIDA")</f>
        <v>VÁLIDA</v>
      </c>
      <c r="AJ134" s="227">
        <v>140510</v>
      </c>
      <c r="AK134" s="227">
        <f t="shared" si="229"/>
        <v>140510</v>
      </c>
      <c r="AL134" s="225" t="str">
        <f t="shared" ref="AL134:AL139" si="250">IF(AK134&lt;=$H134,"VÁLIDA","NO VÁLIDA")</f>
        <v>VÁLIDA</v>
      </c>
      <c r="AM134" s="227">
        <v>150708</v>
      </c>
      <c r="AN134" s="227">
        <f t="shared" si="230"/>
        <v>150708</v>
      </c>
      <c r="AO134" s="225" t="str">
        <f t="shared" ref="AO134:AO139" si="251">IF(AN134&lt;=$H134,"VÁLIDA","NO VÁLIDA")</f>
        <v>VÁLIDA</v>
      </c>
      <c r="AP134" s="227">
        <v>151086</v>
      </c>
      <c r="AQ134" s="227">
        <f t="shared" si="231"/>
        <v>151086</v>
      </c>
      <c r="AR134" s="225" t="str">
        <f t="shared" ref="AR134:AR139" si="252">IF(AQ134&lt;=$H134,"VÁLIDA","NO VÁLIDA")</f>
        <v>VÁLIDA</v>
      </c>
      <c r="AS134" s="227">
        <v>147800</v>
      </c>
      <c r="AT134" s="227">
        <f t="shared" si="232"/>
        <v>147800</v>
      </c>
      <c r="AU134" s="225" t="str">
        <f t="shared" ref="AU134:AU139" si="253">IF(AT134&lt;=$H134,"VÁLIDA","NO VÁLIDA")</f>
        <v>VÁLIDA</v>
      </c>
      <c r="AV134" s="227">
        <v>200763.9</v>
      </c>
      <c r="AW134" s="227">
        <f t="shared" si="233"/>
        <v>200763.9</v>
      </c>
      <c r="AX134" s="225" t="str">
        <f t="shared" ref="AX134:AX139" si="254">IF(AW134&lt;=$H134,"VÁLIDA","NO VÁLIDA")</f>
        <v>NO VÁLIDA</v>
      </c>
      <c r="AY134" s="227">
        <v>151086</v>
      </c>
      <c r="AZ134" s="227">
        <f t="shared" si="234"/>
        <v>151086</v>
      </c>
      <c r="BA134" s="225" t="str">
        <f t="shared" ref="BA134:BA139" si="255">IF(AZ134&lt;=$H134,"VÁLIDA","NO VÁLIDA")</f>
        <v>VÁLIDA</v>
      </c>
      <c r="BB134" s="227">
        <v>144875.99463495601</v>
      </c>
      <c r="BC134" s="227">
        <f t="shared" si="235"/>
        <v>144875.99463495601</v>
      </c>
      <c r="BD134" s="225" t="str">
        <f t="shared" ref="BD134:BD139" si="256">IF(BC134&lt;=$H134,"VÁLIDA","NO VÁLIDA")</f>
        <v>VÁLIDA</v>
      </c>
      <c r="BE134" s="227">
        <v>147823</v>
      </c>
      <c r="BF134" s="227">
        <f t="shared" si="236"/>
        <v>147823</v>
      </c>
      <c r="BG134" s="225" t="str">
        <f t="shared" ref="BG134:BG139" si="257">IF(BF134&lt;=$H134,"VÁLIDA","NO VÁLIDA")</f>
        <v>VÁLIDA</v>
      </c>
      <c r="BH134" s="227">
        <v>149575.13999999998</v>
      </c>
      <c r="BI134" s="227">
        <f t="shared" si="237"/>
        <v>149575.13999999998</v>
      </c>
      <c r="BJ134" s="225" t="str">
        <f t="shared" ref="BJ134:BJ139" si="258">IF(BI134&lt;=$H134,"VÁLIDA","NO VÁLIDA")</f>
        <v>VÁLIDA</v>
      </c>
      <c r="BK134" s="227">
        <v>149877</v>
      </c>
      <c r="BL134" s="227">
        <f t="shared" si="238"/>
        <v>149877</v>
      </c>
      <c r="BM134" s="225" t="str">
        <f t="shared" ref="BM134:BM139" si="259">IF(BL134&lt;=$H134,"VÁLIDA","NO VÁLIDA")</f>
        <v>VÁLIDA</v>
      </c>
      <c r="BN134" s="227">
        <v>148387</v>
      </c>
      <c r="BO134" s="227">
        <f t="shared" si="239"/>
        <v>148387</v>
      </c>
      <c r="BP134" s="225" t="str">
        <f t="shared" ref="BP134:BP139" si="260">IF(BO134&lt;=$H134,"VÁLIDA","NO VÁLIDA")</f>
        <v>VÁLIDA</v>
      </c>
    </row>
    <row r="135" spans="1:247" s="167" customFormat="1" ht="24" x14ac:dyDescent="0.25">
      <c r="B135" s="103">
        <v>6030</v>
      </c>
      <c r="C135" s="94">
        <f>C134+0.01</f>
        <v>6.0299999999999994</v>
      </c>
      <c r="D135" s="95" t="str">
        <f>VLOOKUP(B135,[2]ITEMS!$B$4:$E$2466,2,FALSE)</f>
        <v>SEÑAL VERTICAL GRUPO DE REGLAMENTARIAS TIPO CIRCULO D=75cm. INCLUYE SUMINISTRO E INSTALACION.</v>
      </c>
      <c r="E135" s="96" t="str">
        <f>VLOOKUP(B135,[2]ITEMS!$B$4:$E$2466,3,FALSE)</f>
        <v>UN</v>
      </c>
      <c r="F135" s="97">
        <v>1</v>
      </c>
      <c r="G135" s="98">
        <f>VLOOKUP(B135,[2]ITEMS!$B$4:$E$2466,4,FALSE)</f>
        <v>406268</v>
      </c>
      <c r="H135" s="98">
        <f t="shared" si="219"/>
        <v>406268</v>
      </c>
      <c r="I135" s="191">
        <v>399938</v>
      </c>
      <c r="J135" s="227">
        <f t="shared" si="240"/>
        <v>399938</v>
      </c>
      <c r="K135" s="225" t="str">
        <f t="shared" si="241"/>
        <v>VÁLIDA</v>
      </c>
      <c r="L135" s="191">
        <v>401799</v>
      </c>
      <c r="M135" s="227">
        <f t="shared" si="221"/>
        <v>401799</v>
      </c>
      <c r="N135" s="225" t="str">
        <f t="shared" si="242"/>
        <v>VÁLIDA</v>
      </c>
      <c r="O135" s="191">
        <v>406268</v>
      </c>
      <c r="P135" s="227">
        <f t="shared" si="222"/>
        <v>406268</v>
      </c>
      <c r="Q135" s="225" t="str">
        <f t="shared" si="243"/>
        <v>VÁLIDA</v>
      </c>
      <c r="R135" s="191">
        <v>400296</v>
      </c>
      <c r="S135" s="227">
        <f t="shared" si="223"/>
        <v>400296</v>
      </c>
      <c r="T135" s="225" t="str">
        <f t="shared" si="244"/>
        <v>VÁLIDA</v>
      </c>
      <c r="U135" s="191">
        <v>406268</v>
      </c>
      <c r="V135" s="227">
        <f t="shared" si="224"/>
        <v>406268</v>
      </c>
      <c r="W135" s="225" t="str">
        <f t="shared" si="245"/>
        <v>VÁLIDA</v>
      </c>
      <c r="X135" s="191">
        <v>399767</v>
      </c>
      <c r="Y135" s="227">
        <f t="shared" si="225"/>
        <v>399767</v>
      </c>
      <c r="Z135" s="225" t="str">
        <f t="shared" si="246"/>
        <v>VÁLIDA</v>
      </c>
      <c r="AA135" s="191">
        <v>401799</v>
      </c>
      <c r="AB135" s="227">
        <f t="shared" si="226"/>
        <v>401799</v>
      </c>
      <c r="AC135" s="225" t="str">
        <f t="shared" si="247"/>
        <v>VÁLIDA</v>
      </c>
      <c r="AD135" s="191">
        <v>406268</v>
      </c>
      <c r="AE135" s="227">
        <f t="shared" si="227"/>
        <v>406268</v>
      </c>
      <c r="AF135" s="225" t="str">
        <f t="shared" si="248"/>
        <v>VÁLIDA</v>
      </c>
      <c r="AH135" s="227">
        <f t="shared" si="228"/>
        <v>0</v>
      </c>
      <c r="AI135" s="225" t="str">
        <f t="shared" si="249"/>
        <v>VÁLIDA</v>
      </c>
      <c r="AJ135" s="227">
        <v>377829</v>
      </c>
      <c r="AK135" s="227">
        <f t="shared" si="229"/>
        <v>377829</v>
      </c>
      <c r="AL135" s="225" t="str">
        <f t="shared" si="250"/>
        <v>VÁLIDA</v>
      </c>
      <c r="AM135" s="227">
        <v>405252</v>
      </c>
      <c r="AN135" s="227">
        <f t="shared" si="230"/>
        <v>405252</v>
      </c>
      <c r="AO135" s="225" t="str">
        <f t="shared" si="251"/>
        <v>VÁLIDA</v>
      </c>
      <c r="AP135" s="227">
        <v>406268</v>
      </c>
      <c r="AQ135" s="227">
        <f t="shared" si="231"/>
        <v>406268</v>
      </c>
      <c r="AR135" s="225" t="str">
        <f t="shared" si="252"/>
        <v>VÁLIDA</v>
      </c>
      <c r="AS135" s="227">
        <v>397500</v>
      </c>
      <c r="AT135" s="227">
        <f t="shared" si="232"/>
        <v>397500</v>
      </c>
      <c r="AU135" s="225" t="str">
        <f t="shared" si="253"/>
        <v>VÁLIDA</v>
      </c>
      <c r="AV135" s="227">
        <v>539851.5</v>
      </c>
      <c r="AW135" s="227">
        <f t="shared" si="233"/>
        <v>539851.5</v>
      </c>
      <c r="AX135" s="225" t="str">
        <f t="shared" si="254"/>
        <v>NO VÁLIDA</v>
      </c>
      <c r="AY135" s="227">
        <v>406268</v>
      </c>
      <c r="AZ135" s="227">
        <f t="shared" si="234"/>
        <v>406268</v>
      </c>
      <c r="BA135" s="225" t="str">
        <f t="shared" si="255"/>
        <v>VÁLIDA</v>
      </c>
      <c r="BB135" s="227">
        <v>389569.38821832801</v>
      </c>
      <c r="BC135" s="227">
        <f t="shared" si="235"/>
        <v>389569.38821832801</v>
      </c>
      <c r="BD135" s="225" t="str">
        <f t="shared" si="256"/>
        <v>VÁLIDA</v>
      </c>
      <c r="BE135" s="227">
        <v>397353</v>
      </c>
      <c r="BF135" s="227">
        <f t="shared" si="236"/>
        <v>397353</v>
      </c>
      <c r="BG135" s="225" t="str">
        <f t="shared" si="257"/>
        <v>VÁLIDA</v>
      </c>
      <c r="BH135" s="227">
        <v>402205.32</v>
      </c>
      <c r="BI135" s="227">
        <f t="shared" si="237"/>
        <v>402205.32</v>
      </c>
      <c r="BJ135" s="225" t="str">
        <f t="shared" si="258"/>
        <v>VÁLIDA</v>
      </c>
      <c r="BK135" s="227">
        <v>403018</v>
      </c>
      <c r="BL135" s="227">
        <f t="shared" si="238"/>
        <v>403018</v>
      </c>
      <c r="BM135" s="225" t="str">
        <f t="shared" si="259"/>
        <v>VÁLIDA</v>
      </c>
      <c r="BN135" s="227">
        <v>399012</v>
      </c>
      <c r="BO135" s="227">
        <f t="shared" si="239"/>
        <v>399012</v>
      </c>
      <c r="BP135" s="225" t="str">
        <f t="shared" si="260"/>
        <v>VÁLIDA</v>
      </c>
    </row>
    <row r="136" spans="1:247" s="167" customFormat="1" ht="24" x14ac:dyDescent="0.25">
      <c r="B136" s="103">
        <v>6034</v>
      </c>
      <c r="C136" s="94">
        <f>C135+0.01</f>
        <v>6.0399999999999991</v>
      </c>
      <c r="D136" s="95" t="str">
        <f>VLOOKUP(B136,[2]ITEMS!$B$4:$E$2466,2,FALSE)</f>
        <v>SEÑAL VERTICAL GRUPO DE INFORMATIVAS TIPO RECTANGULO (60cm x 75cm). INCLUYE SUMINISTRO E INSTALACION.</v>
      </c>
      <c r="E136" s="96" t="str">
        <f>VLOOKUP(B136,[2]ITEMS!$B$4:$E$2466,3,FALSE)</f>
        <v>UN</v>
      </c>
      <c r="F136" s="97">
        <v>1</v>
      </c>
      <c r="G136" s="98">
        <f>VLOOKUP(B136,[2]ITEMS!$B$4:$E$2466,4,FALSE)</f>
        <v>299168</v>
      </c>
      <c r="H136" s="98">
        <f t="shared" si="219"/>
        <v>299168</v>
      </c>
      <c r="I136" s="191">
        <v>294506</v>
      </c>
      <c r="J136" s="227">
        <f t="shared" si="240"/>
        <v>294506</v>
      </c>
      <c r="K136" s="225" t="str">
        <f t="shared" si="241"/>
        <v>VÁLIDA</v>
      </c>
      <c r="L136" s="191">
        <v>295877</v>
      </c>
      <c r="M136" s="227">
        <f t="shared" si="221"/>
        <v>295877</v>
      </c>
      <c r="N136" s="225" t="str">
        <f t="shared" si="242"/>
        <v>VÁLIDA</v>
      </c>
      <c r="O136" s="191">
        <v>299168</v>
      </c>
      <c r="P136" s="227">
        <f t="shared" si="222"/>
        <v>299168</v>
      </c>
      <c r="Q136" s="225" t="str">
        <f t="shared" si="243"/>
        <v>VÁLIDA</v>
      </c>
      <c r="R136" s="191">
        <v>294770</v>
      </c>
      <c r="S136" s="227">
        <f t="shared" si="223"/>
        <v>294770</v>
      </c>
      <c r="T136" s="225" t="str">
        <f t="shared" si="244"/>
        <v>VÁLIDA</v>
      </c>
      <c r="U136" s="191">
        <v>299168</v>
      </c>
      <c r="V136" s="227">
        <f t="shared" si="224"/>
        <v>299168</v>
      </c>
      <c r="W136" s="225" t="str">
        <f t="shared" si="245"/>
        <v>VÁLIDA</v>
      </c>
      <c r="X136" s="191">
        <v>294381</v>
      </c>
      <c r="Y136" s="227">
        <f t="shared" si="225"/>
        <v>294381</v>
      </c>
      <c r="Z136" s="225" t="str">
        <f t="shared" si="246"/>
        <v>VÁLIDA</v>
      </c>
      <c r="AA136" s="191">
        <v>295877</v>
      </c>
      <c r="AB136" s="227">
        <f t="shared" si="226"/>
        <v>295877</v>
      </c>
      <c r="AC136" s="225" t="str">
        <f t="shared" si="247"/>
        <v>VÁLIDA</v>
      </c>
      <c r="AD136" s="191">
        <v>299168</v>
      </c>
      <c r="AE136" s="227">
        <f t="shared" si="227"/>
        <v>299168</v>
      </c>
      <c r="AF136" s="225" t="str">
        <f t="shared" si="248"/>
        <v>VÁLIDA</v>
      </c>
      <c r="AH136" s="227">
        <f t="shared" si="228"/>
        <v>0</v>
      </c>
      <c r="AI136" s="225" t="str">
        <f t="shared" si="249"/>
        <v>VÁLIDA</v>
      </c>
      <c r="AJ136" s="227">
        <v>278226</v>
      </c>
      <c r="AK136" s="227">
        <f t="shared" si="229"/>
        <v>278226</v>
      </c>
      <c r="AL136" s="225" t="str">
        <f t="shared" si="250"/>
        <v>VÁLIDA</v>
      </c>
      <c r="AM136" s="227">
        <v>298420</v>
      </c>
      <c r="AN136" s="227">
        <f t="shared" si="230"/>
        <v>298420</v>
      </c>
      <c r="AO136" s="225" t="str">
        <f t="shared" si="251"/>
        <v>VÁLIDA</v>
      </c>
      <c r="AP136" s="227">
        <v>299168</v>
      </c>
      <c r="AQ136" s="227">
        <f t="shared" si="231"/>
        <v>299168</v>
      </c>
      <c r="AR136" s="225" t="str">
        <f t="shared" si="252"/>
        <v>VÁLIDA</v>
      </c>
      <c r="AS136" s="227">
        <v>292000</v>
      </c>
      <c r="AT136" s="227">
        <f t="shared" si="232"/>
        <v>292000</v>
      </c>
      <c r="AU136" s="225" t="str">
        <f t="shared" si="253"/>
        <v>VÁLIDA</v>
      </c>
      <c r="AV136" s="227">
        <v>397535.85</v>
      </c>
      <c r="AW136" s="227">
        <f t="shared" si="233"/>
        <v>397535.85</v>
      </c>
      <c r="AX136" s="225" t="str">
        <f t="shared" si="254"/>
        <v>NO VÁLIDA</v>
      </c>
      <c r="AY136" s="227">
        <v>299168</v>
      </c>
      <c r="AZ136" s="227">
        <f t="shared" si="234"/>
        <v>299168</v>
      </c>
      <c r="BA136" s="225" t="str">
        <f t="shared" si="255"/>
        <v>VÁLIDA</v>
      </c>
      <c r="BB136" s="227">
        <v>286871.46104172798</v>
      </c>
      <c r="BC136" s="227">
        <f t="shared" si="235"/>
        <v>286871.46104172798</v>
      </c>
      <c r="BD136" s="225" t="str">
        <f t="shared" si="256"/>
        <v>VÁLIDA</v>
      </c>
      <c r="BE136" s="227">
        <v>292706</v>
      </c>
      <c r="BF136" s="227">
        <f t="shared" si="236"/>
        <v>292706</v>
      </c>
      <c r="BG136" s="225" t="str">
        <f t="shared" si="257"/>
        <v>VÁLIDA</v>
      </c>
      <c r="BH136" s="227">
        <v>296176.32</v>
      </c>
      <c r="BI136" s="227">
        <f t="shared" si="237"/>
        <v>296176.32</v>
      </c>
      <c r="BJ136" s="225" t="str">
        <f t="shared" si="258"/>
        <v>VÁLIDA</v>
      </c>
      <c r="BK136" s="227">
        <v>296775</v>
      </c>
      <c r="BL136" s="227">
        <f t="shared" si="238"/>
        <v>296775</v>
      </c>
      <c r="BM136" s="225" t="str">
        <f t="shared" si="259"/>
        <v>VÁLIDA</v>
      </c>
      <c r="BN136" s="227">
        <v>293824</v>
      </c>
      <c r="BO136" s="227">
        <f t="shared" si="239"/>
        <v>293824</v>
      </c>
      <c r="BP136" s="225" t="str">
        <f t="shared" si="260"/>
        <v>VÁLIDA</v>
      </c>
    </row>
    <row r="137" spans="1:247" s="167" customFormat="1" ht="24" x14ac:dyDescent="0.25">
      <c r="B137" s="103">
        <v>6029</v>
      </c>
      <c r="C137" s="94">
        <f>C136+0.01</f>
        <v>6.0499999999999989</v>
      </c>
      <c r="D137" s="95" t="str">
        <f>VLOOKUP(B137,[2]ITEMS!$B$4:$E$2466,2,FALSE)</f>
        <v>SEÑAL VERTICAL GRUPO DE PREVENTIVAS TIPO CUADRADO (75cm x 75cm). INCLUYE SUMONISTRO E INSTALACION.</v>
      </c>
      <c r="E137" s="96" t="str">
        <f>VLOOKUP(B137,[2]ITEMS!$B$4:$E$2466,3,FALSE)</f>
        <v>UN</v>
      </c>
      <c r="F137" s="97">
        <v>1</v>
      </c>
      <c r="G137" s="98">
        <f>VLOOKUP(B137,[2]ITEMS!$B$4:$E$2466,4,FALSE)</f>
        <v>287268</v>
      </c>
      <c r="H137" s="98">
        <f t="shared" si="219"/>
        <v>287268</v>
      </c>
      <c r="I137" s="191">
        <v>282792</v>
      </c>
      <c r="J137" s="227">
        <f t="shared" si="240"/>
        <v>282792</v>
      </c>
      <c r="K137" s="225" t="str">
        <f t="shared" si="241"/>
        <v>VÁLIDA</v>
      </c>
      <c r="L137" s="191">
        <v>284108</v>
      </c>
      <c r="M137" s="227">
        <f t="shared" si="221"/>
        <v>284108</v>
      </c>
      <c r="N137" s="225" t="str">
        <f t="shared" si="242"/>
        <v>VÁLIDA</v>
      </c>
      <c r="O137" s="191">
        <v>287268</v>
      </c>
      <c r="P137" s="227">
        <f t="shared" si="222"/>
        <v>287268</v>
      </c>
      <c r="Q137" s="225" t="str">
        <f t="shared" si="243"/>
        <v>VÁLIDA</v>
      </c>
      <c r="R137" s="191">
        <v>283045</v>
      </c>
      <c r="S137" s="227">
        <f t="shared" si="223"/>
        <v>283045</v>
      </c>
      <c r="T137" s="225" t="str">
        <f t="shared" si="244"/>
        <v>VÁLIDA</v>
      </c>
      <c r="U137" s="191">
        <v>287268</v>
      </c>
      <c r="V137" s="227">
        <f t="shared" si="224"/>
        <v>287268</v>
      </c>
      <c r="W137" s="225" t="str">
        <f t="shared" si="245"/>
        <v>VÁLIDA</v>
      </c>
      <c r="X137" s="191">
        <v>282671</v>
      </c>
      <c r="Y137" s="227">
        <f t="shared" si="225"/>
        <v>282671</v>
      </c>
      <c r="Z137" s="225" t="str">
        <f t="shared" si="246"/>
        <v>VÁLIDA</v>
      </c>
      <c r="AA137" s="191">
        <v>284108</v>
      </c>
      <c r="AB137" s="227">
        <f t="shared" si="226"/>
        <v>284108</v>
      </c>
      <c r="AC137" s="225" t="str">
        <f t="shared" si="247"/>
        <v>VÁLIDA</v>
      </c>
      <c r="AD137" s="191">
        <v>287268</v>
      </c>
      <c r="AE137" s="227">
        <f t="shared" si="227"/>
        <v>287268</v>
      </c>
      <c r="AF137" s="225" t="str">
        <f t="shared" si="248"/>
        <v>VÁLIDA</v>
      </c>
      <c r="AH137" s="227">
        <f t="shared" si="228"/>
        <v>0</v>
      </c>
      <c r="AI137" s="225" t="str">
        <f t="shared" si="249"/>
        <v>VÁLIDA</v>
      </c>
      <c r="AJ137" s="227">
        <v>267159</v>
      </c>
      <c r="AK137" s="227">
        <f t="shared" si="229"/>
        <v>267159</v>
      </c>
      <c r="AL137" s="225" t="str">
        <f t="shared" si="250"/>
        <v>VÁLIDA</v>
      </c>
      <c r="AM137" s="227">
        <v>286550</v>
      </c>
      <c r="AN137" s="227">
        <f t="shared" si="230"/>
        <v>286550</v>
      </c>
      <c r="AO137" s="225" t="str">
        <f t="shared" si="251"/>
        <v>VÁLIDA</v>
      </c>
      <c r="AP137" s="227">
        <v>287268</v>
      </c>
      <c r="AQ137" s="227">
        <f t="shared" si="231"/>
        <v>287268</v>
      </c>
      <c r="AR137" s="225" t="str">
        <f t="shared" si="252"/>
        <v>VÁLIDA</v>
      </c>
      <c r="AS137" s="227">
        <v>281000</v>
      </c>
      <c r="AT137" s="227">
        <f t="shared" si="232"/>
        <v>281000</v>
      </c>
      <c r="AU137" s="225" t="str">
        <f t="shared" si="253"/>
        <v>VÁLIDA</v>
      </c>
      <c r="AV137" s="227">
        <v>381723.3</v>
      </c>
      <c r="AW137" s="227">
        <f t="shared" si="233"/>
        <v>381723.3</v>
      </c>
      <c r="AX137" s="225" t="str">
        <f t="shared" si="254"/>
        <v>NO VÁLIDA</v>
      </c>
      <c r="AY137" s="227">
        <v>287268</v>
      </c>
      <c r="AZ137" s="227">
        <f t="shared" si="234"/>
        <v>287268</v>
      </c>
      <c r="BA137" s="225" t="str">
        <f t="shared" si="255"/>
        <v>VÁLIDA</v>
      </c>
      <c r="BB137" s="227">
        <v>275460.58024432801</v>
      </c>
      <c r="BC137" s="227">
        <f t="shared" si="235"/>
        <v>275460.58024432801</v>
      </c>
      <c r="BD137" s="225" t="str">
        <f t="shared" si="256"/>
        <v>VÁLIDA</v>
      </c>
      <c r="BE137" s="227">
        <v>281063</v>
      </c>
      <c r="BF137" s="227">
        <f t="shared" si="236"/>
        <v>281063</v>
      </c>
      <c r="BG137" s="225" t="str">
        <f t="shared" si="257"/>
        <v>VÁLIDA</v>
      </c>
      <c r="BH137" s="227">
        <v>284395.32</v>
      </c>
      <c r="BI137" s="227">
        <f t="shared" si="237"/>
        <v>284395.32</v>
      </c>
      <c r="BJ137" s="225" t="str">
        <f t="shared" si="258"/>
        <v>VÁLIDA</v>
      </c>
      <c r="BK137" s="227">
        <v>284970</v>
      </c>
      <c r="BL137" s="227">
        <f t="shared" si="238"/>
        <v>284970</v>
      </c>
      <c r="BM137" s="225" t="str">
        <f t="shared" si="259"/>
        <v>VÁLIDA</v>
      </c>
      <c r="BN137" s="227">
        <v>282137</v>
      </c>
      <c r="BO137" s="227">
        <f t="shared" si="239"/>
        <v>282137</v>
      </c>
      <c r="BP137" s="225" t="str">
        <f t="shared" si="260"/>
        <v>VÁLIDA</v>
      </c>
    </row>
    <row r="138" spans="1:247" s="167" customFormat="1" ht="24" x14ac:dyDescent="0.25">
      <c r="B138" s="103">
        <v>3688</v>
      </c>
      <c r="C138" s="94">
        <f>C137+0.01</f>
        <v>6.0599999999999987</v>
      </c>
      <c r="D138" s="95" t="str">
        <f>VLOOKUP(B138,[2]ITEMS!$B$4:$E$2466,2,FALSE)</f>
        <v>DESMONTE Y REINSTALACION DE SEÑALES VIALES (Incluye Dado de Anclaje)</v>
      </c>
      <c r="E138" s="96" t="str">
        <f>VLOOKUP(B138,[2]ITEMS!$B$4:$E$2466,3,FALSE)</f>
        <v>UN</v>
      </c>
      <c r="F138" s="97">
        <v>1</v>
      </c>
      <c r="G138" s="98">
        <f>VLOOKUP(B138,[2]ITEMS!$B$4:$E$2466,4,FALSE)</f>
        <v>34748</v>
      </c>
      <c r="H138" s="98">
        <f t="shared" si="219"/>
        <v>34748</v>
      </c>
      <c r="I138" s="191">
        <v>34207</v>
      </c>
      <c r="J138" s="227">
        <f t="shared" si="240"/>
        <v>34207</v>
      </c>
      <c r="K138" s="225" t="str">
        <f t="shared" si="241"/>
        <v>VÁLIDA</v>
      </c>
      <c r="L138" s="191">
        <v>34366</v>
      </c>
      <c r="M138" s="227">
        <f t="shared" si="221"/>
        <v>34366</v>
      </c>
      <c r="N138" s="225" t="str">
        <f t="shared" si="242"/>
        <v>VÁLIDA</v>
      </c>
      <c r="O138" s="191">
        <v>34748</v>
      </c>
      <c r="P138" s="227">
        <f t="shared" si="222"/>
        <v>34748</v>
      </c>
      <c r="Q138" s="225" t="str">
        <f t="shared" si="243"/>
        <v>VÁLIDA</v>
      </c>
      <c r="R138" s="191">
        <v>34237</v>
      </c>
      <c r="S138" s="227">
        <f t="shared" si="223"/>
        <v>34237</v>
      </c>
      <c r="T138" s="225" t="str">
        <f t="shared" si="244"/>
        <v>VÁLIDA</v>
      </c>
      <c r="U138" s="191">
        <v>34748</v>
      </c>
      <c r="V138" s="227">
        <f t="shared" si="224"/>
        <v>34748</v>
      </c>
      <c r="W138" s="225" t="str">
        <f t="shared" si="245"/>
        <v>VÁLIDA</v>
      </c>
      <c r="X138" s="191">
        <v>34192</v>
      </c>
      <c r="Y138" s="227">
        <f t="shared" si="225"/>
        <v>34192</v>
      </c>
      <c r="Z138" s="225" t="str">
        <f t="shared" si="246"/>
        <v>VÁLIDA</v>
      </c>
      <c r="AA138" s="191">
        <v>34366</v>
      </c>
      <c r="AB138" s="227">
        <f t="shared" si="226"/>
        <v>34366</v>
      </c>
      <c r="AC138" s="225" t="str">
        <f t="shared" si="247"/>
        <v>VÁLIDA</v>
      </c>
      <c r="AD138" s="191">
        <v>34748</v>
      </c>
      <c r="AE138" s="227">
        <f t="shared" si="227"/>
        <v>34748</v>
      </c>
      <c r="AF138" s="225" t="str">
        <f t="shared" si="248"/>
        <v>VÁLIDA</v>
      </c>
      <c r="AH138" s="227">
        <f t="shared" si="228"/>
        <v>0</v>
      </c>
      <c r="AI138" s="225" t="str">
        <f t="shared" si="249"/>
        <v>VÁLIDA</v>
      </c>
      <c r="AJ138" s="227">
        <v>32316</v>
      </c>
      <c r="AK138" s="227">
        <f t="shared" si="229"/>
        <v>32316</v>
      </c>
      <c r="AL138" s="225" t="str">
        <f t="shared" si="250"/>
        <v>VÁLIDA</v>
      </c>
      <c r="AM138" s="227">
        <v>34661</v>
      </c>
      <c r="AN138" s="227">
        <f t="shared" si="230"/>
        <v>34661</v>
      </c>
      <c r="AO138" s="225" t="str">
        <f t="shared" si="251"/>
        <v>VÁLIDA</v>
      </c>
      <c r="AP138" s="227">
        <v>34748</v>
      </c>
      <c r="AQ138" s="227">
        <f t="shared" si="231"/>
        <v>34748</v>
      </c>
      <c r="AR138" s="225" t="str">
        <f t="shared" si="252"/>
        <v>VÁLIDA</v>
      </c>
      <c r="AS138" s="227">
        <v>33000</v>
      </c>
      <c r="AT138" s="227">
        <f t="shared" si="232"/>
        <v>33000</v>
      </c>
      <c r="AU138" s="225" t="str">
        <f t="shared" si="253"/>
        <v>VÁLIDA</v>
      </c>
      <c r="AV138" s="227">
        <v>46172.7</v>
      </c>
      <c r="AW138" s="227">
        <f t="shared" si="233"/>
        <v>46172.7</v>
      </c>
      <c r="AX138" s="225" t="str">
        <f t="shared" si="254"/>
        <v>NO VÁLIDA</v>
      </c>
      <c r="AY138" s="227">
        <v>34748</v>
      </c>
      <c r="AZ138" s="227">
        <f t="shared" si="234"/>
        <v>34748</v>
      </c>
      <c r="BA138" s="225" t="str">
        <f t="shared" si="255"/>
        <v>VÁLIDA</v>
      </c>
      <c r="BB138" s="227">
        <v>33319.771928408001</v>
      </c>
      <c r="BC138" s="227">
        <f t="shared" si="235"/>
        <v>33319.771928408001</v>
      </c>
      <c r="BD138" s="225" t="str">
        <f t="shared" si="256"/>
        <v>VÁLIDA</v>
      </c>
      <c r="BE138" s="227">
        <v>33997</v>
      </c>
      <c r="BF138" s="227">
        <f t="shared" si="236"/>
        <v>33997</v>
      </c>
      <c r="BG138" s="225" t="str">
        <f t="shared" si="257"/>
        <v>VÁLIDA</v>
      </c>
      <c r="BH138" s="227">
        <v>34400.519999999997</v>
      </c>
      <c r="BI138" s="227">
        <f t="shared" si="237"/>
        <v>34400.519999999997</v>
      </c>
      <c r="BJ138" s="225" t="str">
        <f t="shared" si="258"/>
        <v>VÁLIDA</v>
      </c>
      <c r="BK138" s="227">
        <v>34470</v>
      </c>
      <c r="BL138" s="227">
        <f t="shared" si="238"/>
        <v>34470</v>
      </c>
      <c r="BM138" s="225" t="str">
        <f t="shared" si="259"/>
        <v>VÁLIDA</v>
      </c>
      <c r="BN138" s="227">
        <v>34127</v>
      </c>
      <c r="BO138" s="227">
        <f t="shared" si="239"/>
        <v>34127</v>
      </c>
      <c r="BP138" s="225" t="str">
        <f t="shared" si="260"/>
        <v>VÁLIDA</v>
      </c>
    </row>
    <row r="139" spans="1:247" s="167" customFormat="1" ht="12" x14ac:dyDescent="0.25">
      <c r="B139" s="103">
        <v>4966</v>
      </c>
      <c r="C139" s="94">
        <f>C138+0.01</f>
        <v>6.0699999999999985</v>
      </c>
      <c r="D139" s="95" t="str">
        <f>VLOOKUP(B139,[2]ITEMS!$B$4:$E$2466,2,FALSE)</f>
        <v>DESMONTE SEÑAL VERTICAL.</v>
      </c>
      <c r="E139" s="96" t="str">
        <f>VLOOKUP(B139,[2]ITEMS!$B$4:$E$2466,3,FALSE)</f>
        <v>UN</v>
      </c>
      <c r="F139" s="97">
        <v>1</v>
      </c>
      <c r="G139" s="98">
        <f>VLOOKUP(B139,[2]ITEMS!$B$4:$E$2466,4,FALSE)</f>
        <v>2918</v>
      </c>
      <c r="H139" s="98">
        <f t="shared" si="219"/>
        <v>2918</v>
      </c>
      <c r="I139" s="191">
        <v>2873</v>
      </c>
      <c r="J139" s="227">
        <f t="shared" si="240"/>
        <v>2873</v>
      </c>
      <c r="K139" s="225" t="str">
        <f t="shared" si="241"/>
        <v>VÁLIDA</v>
      </c>
      <c r="L139" s="191">
        <v>2886</v>
      </c>
      <c r="M139" s="227">
        <f t="shared" si="221"/>
        <v>2886</v>
      </c>
      <c r="N139" s="225" t="str">
        <f t="shared" si="242"/>
        <v>VÁLIDA</v>
      </c>
      <c r="O139" s="191">
        <v>2918</v>
      </c>
      <c r="P139" s="227">
        <f t="shared" si="222"/>
        <v>2918</v>
      </c>
      <c r="Q139" s="225" t="str">
        <f t="shared" si="243"/>
        <v>VÁLIDA</v>
      </c>
      <c r="R139" s="191">
        <v>2875</v>
      </c>
      <c r="S139" s="227">
        <f t="shared" si="223"/>
        <v>2875</v>
      </c>
      <c r="T139" s="225" t="str">
        <f t="shared" si="244"/>
        <v>VÁLIDA</v>
      </c>
      <c r="U139" s="191">
        <v>2918</v>
      </c>
      <c r="V139" s="227">
        <f t="shared" si="224"/>
        <v>2918</v>
      </c>
      <c r="W139" s="225" t="str">
        <f t="shared" si="245"/>
        <v>VÁLIDA</v>
      </c>
      <c r="X139" s="191">
        <v>2871</v>
      </c>
      <c r="Y139" s="227">
        <f t="shared" si="225"/>
        <v>2871</v>
      </c>
      <c r="Z139" s="225" t="str">
        <f t="shared" si="246"/>
        <v>VÁLIDA</v>
      </c>
      <c r="AA139" s="191">
        <v>2886</v>
      </c>
      <c r="AB139" s="227">
        <f t="shared" si="226"/>
        <v>2886</v>
      </c>
      <c r="AC139" s="225" t="str">
        <f t="shared" si="247"/>
        <v>VÁLIDA</v>
      </c>
      <c r="AD139" s="191">
        <v>2918</v>
      </c>
      <c r="AE139" s="227">
        <f t="shared" si="227"/>
        <v>2918</v>
      </c>
      <c r="AF139" s="225" t="str">
        <f t="shared" si="248"/>
        <v>VÁLIDA</v>
      </c>
      <c r="AH139" s="227">
        <f t="shared" si="228"/>
        <v>0</v>
      </c>
      <c r="AI139" s="225" t="str">
        <f t="shared" si="249"/>
        <v>VÁLIDA</v>
      </c>
      <c r="AJ139" s="227">
        <v>2714</v>
      </c>
      <c r="AK139" s="227">
        <f t="shared" si="229"/>
        <v>2714</v>
      </c>
      <c r="AL139" s="225" t="str">
        <f t="shared" si="250"/>
        <v>VÁLIDA</v>
      </c>
      <c r="AM139" s="227">
        <v>2911</v>
      </c>
      <c r="AN139" s="227">
        <f t="shared" si="230"/>
        <v>2911</v>
      </c>
      <c r="AO139" s="225" t="str">
        <f t="shared" si="251"/>
        <v>VÁLIDA</v>
      </c>
      <c r="AP139" s="227">
        <v>2918</v>
      </c>
      <c r="AQ139" s="227">
        <f t="shared" si="231"/>
        <v>2918</v>
      </c>
      <c r="AR139" s="225" t="str">
        <f t="shared" si="252"/>
        <v>VÁLIDA</v>
      </c>
      <c r="AS139" s="227">
        <v>2800</v>
      </c>
      <c r="AT139" s="227">
        <f t="shared" si="232"/>
        <v>2800</v>
      </c>
      <c r="AU139" s="225" t="str">
        <f t="shared" si="253"/>
        <v>VÁLIDA</v>
      </c>
      <c r="AV139" s="227">
        <v>3877.2</v>
      </c>
      <c r="AW139" s="227">
        <f t="shared" si="233"/>
        <v>3877.2</v>
      </c>
      <c r="AX139" s="225" t="str">
        <f t="shared" si="254"/>
        <v>NO VÁLIDA</v>
      </c>
      <c r="AY139" s="227">
        <v>2918</v>
      </c>
      <c r="AZ139" s="227">
        <f t="shared" si="234"/>
        <v>2918</v>
      </c>
      <c r="BA139" s="225" t="str">
        <f t="shared" si="255"/>
        <v>VÁLIDA</v>
      </c>
      <c r="BB139" s="227">
        <v>2798.063039228</v>
      </c>
      <c r="BC139" s="227">
        <f t="shared" si="235"/>
        <v>2798.063039228</v>
      </c>
      <c r="BD139" s="225" t="str">
        <f t="shared" si="256"/>
        <v>VÁLIDA</v>
      </c>
      <c r="BE139" s="227">
        <v>2859</v>
      </c>
      <c r="BF139" s="227">
        <f t="shared" si="236"/>
        <v>2859</v>
      </c>
      <c r="BG139" s="225" t="str">
        <f t="shared" si="257"/>
        <v>VÁLIDA</v>
      </c>
      <c r="BH139" s="227">
        <v>2888.82</v>
      </c>
      <c r="BI139" s="227">
        <f t="shared" si="237"/>
        <v>2888.82</v>
      </c>
      <c r="BJ139" s="225" t="str">
        <f t="shared" si="258"/>
        <v>VÁLIDA</v>
      </c>
      <c r="BK139" s="227">
        <v>2895</v>
      </c>
      <c r="BL139" s="227">
        <f t="shared" si="238"/>
        <v>2895</v>
      </c>
      <c r="BM139" s="225" t="str">
        <f t="shared" si="259"/>
        <v>VÁLIDA</v>
      </c>
      <c r="BN139" s="227">
        <v>2865</v>
      </c>
      <c r="BO139" s="227">
        <f t="shared" si="239"/>
        <v>2865</v>
      </c>
      <c r="BP139" s="225" t="str">
        <f t="shared" si="260"/>
        <v>VÁLIDA</v>
      </c>
    </row>
    <row r="140" spans="1:247" s="167" customFormat="1" ht="17.25" customHeight="1" x14ac:dyDescent="0.25">
      <c r="B140" s="234"/>
      <c r="C140" s="152"/>
      <c r="D140" s="153"/>
      <c r="E140" s="152"/>
      <c r="F140" s="154"/>
      <c r="G140" s="155"/>
      <c r="H140" s="156"/>
      <c r="I140" s="157"/>
      <c r="J140" s="235"/>
      <c r="K140" s="68"/>
      <c r="L140" s="157"/>
      <c r="M140" s="235"/>
      <c r="N140" s="68"/>
      <c r="O140" s="157"/>
      <c r="P140" s="235"/>
      <c r="Q140" s="68"/>
      <c r="R140" s="157"/>
      <c r="S140" s="235"/>
      <c r="T140" s="68"/>
      <c r="U140" s="157"/>
      <c r="V140" s="235"/>
      <c r="W140" s="68"/>
      <c r="X140" s="157"/>
      <c r="Y140" s="235"/>
      <c r="Z140" s="68"/>
      <c r="AA140" s="157"/>
      <c r="AB140" s="235"/>
      <c r="AC140" s="68"/>
      <c r="AD140" s="157"/>
      <c r="AE140" s="235"/>
      <c r="AF140" s="68"/>
      <c r="AH140" s="235"/>
      <c r="AI140" s="68"/>
      <c r="AJ140" s="235"/>
      <c r="AK140" s="235"/>
      <c r="AL140" s="68"/>
      <c r="AM140" s="235"/>
      <c r="AN140" s="235"/>
      <c r="AO140" s="68"/>
      <c r="AP140" s="235"/>
      <c r="AQ140" s="235"/>
      <c r="AR140" s="68"/>
      <c r="AS140" s="235"/>
      <c r="AT140" s="235"/>
      <c r="AU140" s="68"/>
      <c r="AV140" s="235"/>
      <c r="AW140" s="235"/>
      <c r="AX140" s="68"/>
      <c r="AY140" s="235"/>
      <c r="AZ140" s="235"/>
      <c r="BA140" s="68"/>
      <c r="BB140" s="235"/>
      <c r="BC140" s="235"/>
      <c r="BD140" s="68"/>
      <c r="BE140" s="235"/>
      <c r="BF140" s="235"/>
      <c r="BG140" s="68"/>
      <c r="BH140" s="235"/>
      <c r="BI140" s="235"/>
      <c r="BJ140" s="68"/>
      <c r="BK140" s="235"/>
      <c r="BL140" s="235"/>
      <c r="BM140" s="68"/>
      <c r="BN140" s="235"/>
      <c r="BO140" s="235"/>
      <c r="BP140" s="68"/>
    </row>
    <row r="141" spans="1:247" s="167" customFormat="1" ht="18" customHeight="1" x14ac:dyDescent="0.2">
      <c r="A141" s="229"/>
      <c r="B141" s="234"/>
      <c r="C141" s="158"/>
      <c r="D141" s="153" t="s">
        <v>165</v>
      </c>
      <c r="E141" s="159"/>
      <c r="F141" s="160"/>
      <c r="G141" s="161"/>
      <c r="H141" s="162">
        <f>+H14+H33+H40+H58+H130</f>
        <v>1426144891.3499999</v>
      </c>
      <c r="I141" s="236"/>
      <c r="J141" s="162">
        <f>+J14+J33+J40+J58+J130</f>
        <v>1403911001.5</v>
      </c>
      <c r="K141" s="225" t="str">
        <f>IF(J141&lt;=$H141,"VÁLIDA","NO VÁLIDA")</f>
        <v>VÁLIDA</v>
      </c>
      <c r="L141" s="236"/>
      <c r="M141" s="162">
        <f>+M14+M33+M40+M58+M130</f>
        <v>1410457437.5</v>
      </c>
      <c r="N141" s="225" t="str">
        <f>IF(M141&lt;=$H141,"VÁLIDA","NO VÁLIDA")</f>
        <v>VÁLIDA</v>
      </c>
      <c r="O141" s="236"/>
      <c r="P141" s="162">
        <f>+P14+P33+P40+P58+P130</f>
        <v>1359064891.3499999</v>
      </c>
      <c r="Q141" s="225" t="str">
        <f>IF(P141&lt;=$H141,"VÁLIDA","NO VÁLIDA")</f>
        <v>VÁLIDA</v>
      </c>
      <c r="R141" s="236"/>
      <c r="S141" s="162">
        <f>+S14+S33+S40+S58+S130</f>
        <v>1405177171.55</v>
      </c>
      <c r="T141" s="225" t="str">
        <f>IF(S141&lt;=$H141,"VÁLIDA","NO VÁLIDA")</f>
        <v>VÁLIDA</v>
      </c>
      <c r="U141" s="236"/>
      <c r="V141" s="162">
        <f>+V14+V33+V40+V58+V130</f>
        <v>1426144891.3499999</v>
      </c>
      <c r="W141" s="225" t="str">
        <f>IF(V141&lt;=$H141,"VÁLIDA","NO VÁLIDA")</f>
        <v>VÁLIDA</v>
      </c>
      <c r="X141" s="236"/>
      <c r="Y141" s="162">
        <f>+Y14+Y33+Y40+Y58+Y130</f>
        <v>1403312953.3</v>
      </c>
      <c r="Z141" s="225" t="str">
        <f>IF(Y141&lt;=$H141,"VÁLIDA","NO VÁLIDA")</f>
        <v>VÁLIDA</v>
      </c>
      <c r="AA141" s="236"/>
      <c r="AB141" s="162">
        <f>+AB14+AB33+AB40+AB58+AB130</f>
        <v>1412910647.5</v>
      </c>
      <c r="AC141" s="225" t="str">
        <f>IF(AB141&lt;=$H141,"VÁLIDA","NO VÁLIDA")</f>
        <v>VÁLIDA</v>
      </c>
      <c r="AD141" s="236"/>
      <c r="AE141" s="162">
        <f>+AE14+AE33+AE40+AE58+AE130</f>
        <v>1415206491.95</v>
      </c>
      <c r="AF141" s="225" t="str">
        <f>IF(AE141&lt;=$H141,"VÁLIDA","NO VÁLIDA")</f>
        <v>VÁLIDA</v>
      </c>
      <c r="AG141" s="229"/>
      <c r="AH141" s="162">
        <f>+AH14+AH33+AH40+AH58+AH130</f>
        <v>0</v>
      </c>
      <c r="AI141" s="225" t="str">
        <f>IF(AH141&lt;=$H141,"VÁLIDA","NO VÁLIDA")</f>
        <v>VÁLIDA</v>
      </c>
      <c r="AJ141" s="162"/>
      <c r="AK141" s="162">
        <f>+AK14+AK33+AK40+AK58+AK130</f>
        <v>1326320417.2</v>
      </c>
      <c r="AL141" s="225" t="str">
        <f>IF(AK141&lt;=$H141,"VÁLIDA","NO VÁLIDA")</f>
        <v>VÁLIDA</v>
      </c>
      <c r="AM141" s="162"/>
      <c r="AN141" s="162">
        <f>+AN14+AN33+AN40+AN58+AN130</f>
        <v>1422589372</v>
      </c>
      <c r="AO141" s="225" t="str">
        <f>IF(AN141&lt;=$H141,"VÁLIDA","NO VÁLIDA")</f>
        <v>VÁLIDA</v>
      </c>
      <c r="AP141" s="162"/>
      <c r="AQ141" s="162">
        <f>+AQ14+AQ33+AQ40+AQ58+AQ130</f>
        <v>1426144891.3499999</v>
      </c>
      <c r="AR141" s="225" t="str">
        <f>IF(AQ141&lt;=$H141,"VÁLIDA","NO VÁLIDA")</f>
        <v>VÁLIDA</v>
      </c>
      <c r="AS141" s="162"/>
      <c r="AT141" s="162">
        <f>+AT14+AT33+AT40+AT58+AT130</f>
        <v>1396719500</v>
      </c>
      <c r="AU141" s="225" t="str">
        <f>IF(AT141&lt;=$H141,"VÁLIDA","NO VÁLIDA")</f>
        <v>VÁLIDA</v>
      </c>
      <c r="AV141" s="162"/>
      <c r="AW141" s="162">
        <f>+AW14+AW33+AW40+AW58+AW130</f>
        <v>1895069017.4275</v>
      </c>
      <c r="AX141" s="225" t="str">
        <f>IF(AW141&lt;=$H141,"VÁLIDA","NO VÁLIDA")</f>
        <v>NO VÁLIDA</v>
      </c>
      <c r="AY141" s="162"/>
      <c r="AZ141" s="162">
        <f>+AZ14+AZ33+AZ40+AZ58+AZ130</f>
        <v>1426144891.3499999</v>
      </c>
      <c r="BA141" s="225" t="str">
        <f>IF(AZ141&lt;=$H141,"VÁLIDA","NO VÁLIDA")</f>
        <v>VÁLIDA</v>
      </c>
      <c r="BB141" s="162"/>
      <c r="BC141" s="162">
        <f>+BC14+BC33+BC40+BC58+BC130</f>
        <v>1367526836.5559516</v>
      </c>
      <c r="BD141" s="225" t="str">
        <f>IF(BC141&lt;=$H141,"VÁLIDA","NO VÁLIDA")</f>
        <v>VÁLIDA</v>
      </c>
      <c r="BE141" s="162"/>
      <c r="BF141" s="162">
        <f>+BF14+BF33+BF40+BF58+BF130</f>
        <v>1395333933</v>
      </c>
      <c r="BG141" s="225" t="str">
        <f>IF(BF141&lt;=$H141,"VÁLIDA","NO VÁLIDA")</f>
        <v>VÁLIDA</v>
      </c>
      <c r="BH141" s="162"/>
      <c r="BI141" s="162">
        <f>+BI14+BI33+BI40+BI58+BI130</f>
        <v>1411883442.4365001</v>
      </c>
      <c r="BJ141" s="225" t="str">
        <f>IF(BI141&lt;=$H141,"VÁLIDA","NO VÁLIDA")</f>
        <v>VÁLIDA</v>
      </c>
      <c r="BK141" s="162"/>
      <c r="BL141" s="162">
        <f>+BL14+BL33+BL40+BL58+BL130</f>
        <v>1414736056.8</v>
      </c>
      <c r="BM141" s="225" t="str">
        <f>IF(BL141&lt;=$H141,"VÁLIDA","NO VÁLIDA")</f>
        <v>VÁLIDA</v>
      </c>
      <c r="BN141" s="162"/>
      <c r="BO141" s="162">
        <f>+BO14+BO33+BO40+BO58+BO130</f>
        <v>1400650296.5</v>
      </c>
      <c r="BP141" s="225" t="str">
        <f>IF(BO141&lt;=$H141,"VÁLIDA","NO VÁLIDA")</f>
        <v>VÁLIDA</v>
      </c>
      <c r="BQ141" s="229"/>
      <c r="BR141" s="229"/>
      <c r="BS141" s="229"/>
      <c r="BT141" s="229"/>
      <c r="BU141" s="229"/>
      <c r="BV141" s="229"/>
      <c r="BW141" s="229"/>
      <c r="BX141" s="229"/>
      <c r="BY141" s="229"/>
      <c r="BZ141" s="229"/>
      <c r="CA141" s="229"/>
      <c r="CB141" s="229"/>
      <c r="CC141" s="229"/>
      <c r="CD141" s="229"/>
      <c r="CE141" s="229"/>
      <c r="CF141" s="229"/>
      <c r="CG141" s="229"/>
      <c r="CH141" s="229"/>
      <c r="CI141" s="229"/>
      <c r="CJ141" s="229"/>
      <c r="CK141" s="229"/>
      <c r="CL141" s="229"/>
      <c r="CM141" s="229"/>
      <c r="CN141" s="229"/>
      <c r="CO141" s="229"/>
      <c r="CP141" s="229"/>
      <c r="CQ141" s="229"/>
      <c r="CR141" s="229"/>
      <c r="CS141" s="229"/>
      <c r="CT141" s="229"/>
      <c r="CU141" s="229"/>
      <c r="CV141" s="229"/>
      <c r="CW141" s="229"/>
      <c r="CX141" s="229"/>
      <c r="CY141" s="229"/>
      <c r="CZ141" s="229"/>
      <c r="DA141" s="229"/>
      <c r="DB141" s="229"/>
      <c r="DC141" s="229"/>
      <c r="DD141" s="229"/>
      <c r="DE141" s="229"/>
      <c r="DF141" s="229"/>
      <c r="DG141" s="229"/>
      <c r="DH141" s="229"/>
      <c r="DI141" s="229"/>
      <c r="DJ141" s="229"/>
      <c r="DK141" s="229"/>
      <c r="DL141" s="229"/>
      <c r="DM141" s="229"/>
      <c r="DN141" s="229"/>
      <c r="DO141" s="229"/>
      <c r="DP141" s="229"/>
      <c r="DQ141" s="229"/>
      <c r="DR141" s="229"/>
      <c r="DS141" s="229"/>
      <c r="DT141" s="229"/>
      <c r="DU141" s="229"/>
      <c r="DV141" s="229"/>
      <c r="DW141" s="229"/>
      <c r="DX141" s="229"/>
      <c r="DY141" s="229"/>
      <c r="DZ141" s="229"/>
      <c r="EA141" s="229"/>
      <c r="EB141" s="229"/>
      <c r="EC141" s="229"/>
      <c r="ED141" s="229"/>
      <c r="EE141" s="229"/>
      <c r="EF141" s="229"/>
      <c r="EG141" s="229"/>
      <c r="EH141" s="229"/>
      <c r="EI141" s="229"/>
      <c r="EJ141" s="229"/>
      <c r="EK141" s="229"/>
      <c r="EL141" s="229"/>
      <c r="EM141" s="229"/>
      <c r="EN141" s="229"/>
      <c r="EO141" s="229"/>
      <c r="EP141" s="229"/>
      <c r="EQ141" s="229"/>
      <c r="ER141" s="229"/>
      <c r="ES141" s="229"/>
      <c r="ET141" s="229"/>
      <c r="EU141" s="229"/>
      <c r="EV141" s="229"/>
      <c r="EW141" s="229"/>
      <c r="EX141" s="229"/>
      <c r="EY141" s="229"/>
      <c r="EZ141" s="229"/>
      <c r="FA141" s="229"/>
      <c r="FB141" s="229"/>
      <c r="FC141" s="229"/>
      <c r="FD141" s="229"/>
      <c r="FE141" s="229"/>
      <c r="FF141" s="229"/>
      <c r="FG141" s="229"/>
      <c r="FH141" s="229"/>
      <c r="FI141" s="229"/>
      <c r="FJ141" s="229"/>
      <c r="FK141" s="229"/>
      <c r="FL141" s="229"/>
      <c r="FM141" s="229"/>
      <c r="FN141" s="229"/>
      <c r="FO141" s="229"/>
      <c r="FP141" s="229"/>
      <c r="FQ141" s="229"/>
      <c r="FR141" s="229"/>
      <c r="FS141" s="229"/>
      <c r="FT141" s="229"/>
      <c r="FU141" s="229"/>
      <c r="FV141" s="229"/>
      <c r="FW141" s="229"/>
      <c r="FX141" s="229"/>
      <c r="FY141" s="229"/>
      <c r="FZ141" s="229"/>
      <c r="GA141" s="229"/>
      <c r="GB141" s="229"/>
      <c r="GC141" s="229"/>
      <c r="GD141" s="229"/>
      <c r="GE141" s="229"/>
      <c r="GF141" s="229"/>
      <c r="GG141" s="229"/>
      <c r="GH141" s="229"/>
      <c r="GI141" s="229"/>
      <c r="GJ141" s="229"/>
      <c r="GK141" s="229"/>
      <c r="GL141" s="229"/>
      <c r="GM141" s="229"/>
      <c r="GN141" s="229"/>
      <c r="GO141" s="229"/>
      <c r="GP141" s="229"/>
      <c r="GQ141" s="229"/>
      <c r="GR141" s="229"/>
      <c r="GS141" s="229"/>
      <c r="GT141" s="229"/>
      <c r="GU141" s="229"/>
      <c r="GV141" s="229"/>
      <c r="GW141" s="229"/>
      <c r="GX141" s="229"/>
      <c r="GY141" s="229"/>
      <c r="GZ141" s="229"/>
      <c r="HA141" s="229"/>
      <c r="HB141" s="229"/>
      <c r="HC141" s="229"/>
      <c r="HD141" s="229"/>
      <c r="HE141" s="229"/>
      <c r="HF141" s="229"/>
      <c r="HG141" s="229"/>
      <c r="HH141" s="229"/>
      <c r="HI141" s="229"/>
      <c r="HJ141" s="229"/>
      <c r="HK141" s="229"/>
      <c r="HL141" s="229"/>
      <c r="HM141" s="229"/>
      <c r="HN141" s="229"/>
      <c r="HO141" s="229"/>
      <c r="HP141" s="229"/>
      <c r="HQ141" s="229"/>
      <c r="HR141" s="229"/>
      <c r="HS141" s="229"/>
      <c r="HT141" s="229"/>
      <c r="HU141" s="229"/>
      <c r="HV141" s="229"/>
      <c r="HW141" s="229"/>
      <c r="HX141" s="229"/>
      <c r="HY141" s="229"/>
      <c r="HZ141" s="229"/>
      <c r="IA141" s="229"/>
      <c r="IB141" s="229"/>
      <c r="IC141" s="229"/>
      <c r="ID141" s="229"/>
      <c r="IE141" s="229"/>
      <c r="IF141" s="229"/>
      <c r="IG141" s="229"/>
      <c r="IH141" s="229"/>
      <c r="II141" s="229"/>
      <c r="IJ141" s="229"/>
      <c r="IK141" s="229"/>
      <c r="IL141" s="229"/>
      <c r="IM141" s="229"/>
    </row>
    <row r="142" spans="1:247" s="167" customFormat="1" ht="30" customHeight="1" x14ac:dyDescent="0.2">
      <c r="A142" s="229"/>
      <c r="B142" s="234"/>
      <c r="C142" s="158"/>
      <c r="D142" s="153" t="s">
        <v>166</v>
      </c>
      <c r="E142" s="163"/>
      <c r="F142" s="154"/>
      <c r="G142" s="164"/>
      <c r="H142" s="162">
        <f>+H114+H86+H65</f>
        <v>338383228.35000002</v>
      </c>
      <c r="I142" s="236"/>
      <c r="J142" s="162">
        <f>J114+J86+J65</f>
        <v>333297682</v>
      </c>
      <c r="K142" s="225" t="str">
        <f>IF(J142&lt;=$H142,"VÁLIDA","NO VÁLIDA")</f>
        <v>VÁLIDA</v>
      </c>
      <c r="L142" s="236"/>
      <c r="M142" s="162">
        <f>M114+M86+M65</f>
        <v>334661127</v>
      </c>
      <c r="N142" s="225" t="str">
        <f>IF(M142&lt;=$H142,"VÁLIDA","NO VÁLIDA")</f>
        <v>VÁLIDA</v>
      </c>
      <c r="O142" s="236"/>
      <c r="P142" s="162">
        <f>P114+P86+P65</f>
        <v>337883220.85000002</v>
      </c>
      <c r="Q142" s="225" t="str">
        <f>IF(P142&lt;=$H142,"VÁLIDA","NO VÁLIDA")</f>
        <v>VÁLIDA</v>
      </c>
      <c r="R142" s="236"/>
      <c r="S142" s="162">
        <f>S114+S86+S65</f>
        <v>333408825</v>
      </c>
      <c r="T142" s="225" t="str">
        <f>IF(S142&lt;=$H142,"VÁLIDA","NO VÁLIDA")</f>
        <v>VÁLIDA</v>
      </c>
      <c r="U142" s="236"/>
      <c r="V142" s="162">
        <f>V114+V86+V65</f>
        <v>338383228.35000002</v>
      </c>
      <c r="W142" s="225" t="str">
        <f>IF(V142&lt;=$H142,"VÁLIDA","NO VÁLIDA")</f>
        <v>VÁLIDA</v>
      </c>
      <c r="X142" s="236"/>
      <c r="Y142" s="162">
        <f>Y114+Y86+Y65</f>
        <v>332968545</v>
      </c>
      <c r="Z142" s="225" t="str">
        <f>IF(Y142&lt;=$H142,"VÁLIDA","NO VÁLIDA")</f>
        <v>VÁLIDA</v>
      </c>
      <c r="AA142" s="236"/>
      <c r="AB142" s="162">
        <f>AB114+AB86+AB65</f>
        <v>334661127</v>
      </c>
      <c r="AC142" s="225" t="str">
        <f>IF(AB142&lt;=$H142,"VÁLIDA","NO VÁLIDA")</f>
        <v>VÁLIDA</v>
      </c>
      <c r="AD142" s="236"/>
      <c r="AE142" s="162">
        <f>AE114+AE86+AE65</f>
        <v>333723270.5</v>
      </c>
      <c r="AF142" s="225" t="str">
        <f>IF(AE142&lt;=$H142,"VÁLIDA","NO VÁLIDA")</f>
        <v>VÁLIDA</v>
      </c>
      <c r="AG142" s="229"/>
      <c r="AH142" s="162">
        <f>AH114+AH86+AH65</f>
        <v>0</v>
      </c>
      <c r="AI142" s="225" t="str">
        <f>IF(AH142&lt;=$H142,"VÁLIDA","NO VÁLIDA")</f>
        <v>VÁLIDA</v>
      </c>
      <c r="AJ142" s="162"/>
      <c r="AK142" s="162">
        <f>AK114+AK86+AK65</f>
        <v>314696235</v>
      </c>
      <c r="AL142" s="225" t="str">
        <f>IF(AK142&lt;=$H142,"VÁLIDA","NO VÁLIDA")</f>
        <v>VÁLIDA</v>
      </c>
      <c r="AM142" s="162"/>
      <c r="AN142" s="162">
        <f>AN114+AN86+AN65</f>
        <v>337537202</v>
      </c>
      <c r="AO142" s="225" t="str">
        <f>IF(AN142&lt;=$H142,"VÁLIDA","NO VÁLIDA")</f>
        <v>VÁLIDA</v>
      </c>
      <c r="AP142" s="162"/>
      <c r="AQ142" s="162">
        <f>AQ114+AQ86+AQ65</f>
        <v>338383217</v>
      </c>
      <c r="AR142" s="225" t="str">
        <f>IF(AQ142&lt;=$H142,"VÁLIDA","NO VÁLIDA")</f>
        <v>VÁLIDA</v>
      </c>
      <c r="AS142" s="162"/>
      <c r="AT142" s="162">
        <f>AT114+AT86+AT65</f>
        <v>330998900</v>
      </c>
      <c r="AU142" s="225" t="str">
        <f>IF(AT142&lt;=$H142,"VÁLIDA","NO VÁLIDA")</f>
        <v>VÁLIDA</v>
      </c>
      <c r="AV142" s="162"/>
      <c r="AW142" s="162">
        <f>AW114+AW86+AW65</f>
        <v>449646540.25</v>
      </c>
      <c r="AX142" s="225" t="str">
        <f>IF(AW142&lt;=$H142,"VÁLIDA","NO VÁLIDA")</f>
        <v>NO VÁLIDA</v>
      </c>
      <c r="AY142" s="162"/>
      <c r="AZ142" s="162">
        <f>AZ114+AZ86+AZ65</f>
        <v>338383217</v>
      </c>
      <c r="BA142" s="225" t="str">
        <f>IF(AZ142&lt;=$H142,"VÁLIDA","NO VÁLIDA")</f>
        <v>VÁLIDA</v>
      </c>
      <c r="BB142" s="162"/>
      <c r="BC142" s="162">
        <f>BC114+BC86+BC65</f>
        <v>324474847.27237266</v>
      </c>
      <c r="BD142" s="225" t="str">
        <f>IF(BC142&lt;=$H142,"VÁLIDA","NO VÁLIDA")</f>
        <v>VÁLIDA</v>
      </c>
      <c r="BE142" s="162"/>
      <c r="BF142" s="162">
        <f>BF114+BF86+BF65</f>
        <v>331074000</v>
      </c>
      <c r="BG142" s="225" t="str">
        <f>IF(BF142&lt;=$H142,"VÁLIDA","NO VÁLIDA")</f>
        <v>VÁLIDA</v>
      </c>
      <c r="BH142" s="162"/>
      <c r="BI142" s="162">
        <f>BI114+BI86+BI65</f>
        <v>334999396.06650007</v>
      </c>
      <c r="BJ142" s="225" t="str">
        <f>IF(BI142&lt;=$H142,"VÁLIDA","NO VÁLIDA")</f>
        <v>VÁLIDA</v>
      </c>
      <c r="BK142" s="162"/>
      <c r="BL142" s="162">
        <f>BL114+BL86+BL65</f>
        <v>335676067</v>
      </c>
      <c r="BM142" s="225" t="str">
        <f>IF(BL142&lt;=$H142,"VÁLIDA","NO VÁLIDA")</f>
        <v>VÁLIDA</v>
      </c>
      <c r="BN142" s="162"/>
      <c r="BO142" s="162">
        <f>BO114+BO86+BO65</f>
        <v>332338946</v>
      </c>
      <c r="BP142" s="225" t="str">
        <f>IF(BO142&lt;=$H142,"VÁLIDA","NO VÁLIDA")</f>
        <v>VÁLIDA</v>
      </c>
      <c r="BQ142" s="229"/>
      <c r="BR142" s="229"/>
      <c r="BS142" s="229"/>
      <c r="BT142" s="229"/>
      <c r="BU142" s="229"/>
      <c r="BV142" s="229"/>
      <c r="BW142" s="229"/>
      <c r="BX142" s="229"/>
      <c r="BY142" s="229"/>
      <c r="BZ142" s="229"/>
      <c r="CA142" s="229"/>
      <c r="CB142" s="229"/>
      <c r="CC142" s="229"/>
      <c r="CD142" s="229"/>
      <c r="CE142" s="229"/>
      <c r="CF142" s="229"/>
      <c r="CG142" s="229"/>
      <c r="CH142" s="229"/>
      <c r="CI142" s="229"/>
      <c r="CJ142" s="229"/>
      <c r="CK142" s="229"/>
      <c r="CL142" s="229"/>
      <c r="CM142" s="229"/>
      <c r="CN142" s="229"/>
      <c r="CO142" s="229"/>
      <c r="CP142" s="229"/>
      <c r="CQ142" s="229"/>
      <c r="CR142" s="229"/>
      <c r="CS142" s="229"/>
      <c r="CT142" s="229"/>
      <c r="CU142" s="229"/>
      <c r="CV142" s="229"/>
      <c r="CW142" s="229"/>
      <c r="CX142" s="229"/>
      <c r="CY142" s="229"/>
      <c r="CZ142" s="229"/>
      <c r="DA142" s="229"/>
      <c r="DB142" s="229"/>
      <c r="DC142" s="229"/>
      <c r="DD142" s="229"/>
      <c r="DE142" s="229"/>
      <c r="DF142" s="229"/>
      <c r="DG142" s="229"/>
      <c r="DH142" s="229"/>
      <c r="DI142" s="229"/>
      <c r="DJ142" s="229"/>
      <c r="DK142" s="229"/>
      <c r="DL142" s="229"/>
      <c r="DM142" s="229"/>
      <c r="DN142" s="229"/>
      <c r="DO142" s="229"/>
      <c r="DP142" s="229"/>
      <c r="DQ142" s="229"/>
      <c r="DR142" s="229"/>
      <c r="DS142" s="229"/>
      <c r="DT142" s="229"/>
      <c r="DU142" s="229"/>
      <c r="DV142" s="229"/>
      <c r="DW142" s="229"/>
      <c r="DX142" s="229"/>
      <c r="DY142" s="229"/>
      <c r="DZ142" s="229"/>
      <c r="EA142" s="229"/>
      <c r="EB142" s="229"/>
      <c r="EC142" s="229"/>
      <c r="ED142" s="229"/>
      <c r="EE142" s="229"/>
      <c r="EF142" s="229"/>
      <c r="EG142" s="229"/>
      <c r="EH142" s="229"/>
      <c r="EI142" s="229"/>
      <c r="EJ142" s="229"/>
      <c r="EK142" s="229"/>
      <c r="EL142" s="229"/>
      <c r="EM142" s="229"/>
      <c r="EN142" s="229"/>
      <c r="EO142" s="229"/>
      <c r="EP142" s="229"/>
      <c r="EQ142" s="229"/>
      <c r="ER142" s="229"/>
      <c r="ES142" s="229"/>
      <c r="ET142" s="229"/>
      <c r="EU142" s="229"/>
      <c r="EV142" s="229"/>
      <c r="EW142" s="229"/>
      <c r="EX142" s="229"/>
      <c r="EY142" s="229"/>
      <c r="EZ142" s="229"/>
      <c r="FA142" s="229"/>
      <c r="FB142" s="229"/>
      <c r="FC142" s="229"/>
      <c r="FD142" s="229"/>
      <c r="FE142" s="229"/>
      <c r="FF142" s="229"/>
      <c r="FG142" s="229"/>
      <c r="FH142" s="229"/>
      <c r="FI142" s="229"/>
      <c r="FJ142" s="229"/>
      <c r="FK142" s="229"/>
      <c r="FL142" s="229"/>
      <c r="FM142" s="229"/>
      <c r="FN142" s="229"/>
      <c r="FO142" s="229"/>
      <c r="FP142" s="229"/>
      <c r="FQ142" s="229"/>
      <c r="FR142" s="229"/>
      <c r="FS142" s="229"/>
      <c r="FT142" s="229"/>
      <c r="FU142" s="229"/>
      <c r="FV142" s="229"/>
      <c r="FW142" s="229"/>
      <c r="FX142" s="229"/>
      <c r="FY142" s="229"/>
      <c r="FZ142" s="229"/>
      <c r="GA142" s="229"/>
      <c r="GB142" s="229"/>
      <c r="GC142" s="229"/>
      <c r="GD142" s="229"/>
      <c r="GE142" s="229"/>
      <c r="GF142" s="229"/>
      <c r="GG142" s="229"/>
      <c r="GH142" s="229"/>
      <c r="GI142" s="229"/>
      <c r="GJ142" s="229"/>
      <c r="GK142" s="229"/>
      <c r="GL142" s="229"/>
      <c r="GM142" s="229"/>
      <c r="GN142" s="229"/>
      <c r="GO142" s="229"/>
      <c r="GP142" s="229"/>
      <c r="GQ142" s="229"/>
      <c r="GR142" s="229"/>
      <c r="GS142" s="229"/>
      <c r="GT142" s="229"/>
      <c r="GU142" s="229"/>
      <c r="GV142" s="229"/>
      <c r="GW142" s="229"/>
      <c r="GX142" s="229"/>
      <c r="GY142" s="229"/>
      <c r="GZ142" s="229"/>
      <c r="HA142" s="229"/>
      <c r="HB142" s="229"/>
      <c r="HC142" s="229"/>
      <c r="HD142" s="229"/>
      <c r="HE142" s="229"/>
      <c r="HF142" s="229"/>
      <c r="HG142" s="229"/>
      <c r="HH142" s="229"/>
      <c r="HI142" s="229"/>
      <c r="HJ142" s="229"/>
      <c r="HK142" s="229"/>
      <c r="HL142" s="229"/>
      <c r="HM142" s="229"/>
      <c r="HN142" s="229"/>
      <c r="HO142" s="229"/>
      <c r="HP142" s="229"/>
      <c r="HQ142" s="229"/>
      <c r="HR142" s="229"/>
      <c r="HS142" s="229"/>
      <c r="HT142" s="229"/>
      <c r="HU142" s="229"/>
      <c r="HV142" s="229"/>
      <c r="HW142" s="229"/>
      <c r="HX142" s="229"/>
      <c r="HY142" s="229"/>
      <c r="HZ142" s="229"/>
      <c r="IA142" s="229"/>
      <c r="IB142" s="229"/>
      <c r="IC142" s="229"/>
      <c r="ID142" s="229"/>
      <c r="IE142" s="229"/>
      <c r="IF142" s="229"/>
      <c r="IG142" s="229"/>
      <c r="IH142" s="229"/>
      <c r="II142" s="229"/>
      <c r="IJ142" s="229"/>
      <c r="IK142" s="229"/>
      <c r="IL142" s="229"/>
      <c r="IM142" s="229"/>
    </row>
    <row r="143" spans="1:247" s="167" customFormat="1" ht="30" customHeight="1" x14ac:dyDescent="0.25">
      <c r="B143" s="234"/>
      <c r="C143" s="152"/>
      <c r="D143" s="153" t="s">
        <v>167</v>
      </c>
      <c r="E143" s="152"/>
      <c r="F143" s="237"/>
      <c r="G143" s="155"/>
      <c r="H143" s="162">
        <f>+H141+H142</f>
        <v>1764528119.6999998</v>
      </c>
      <c r="I143" s="156"/>
      <c r="J143" s="162">
        <f>+J141+J142</f>
        <v>1737208683.5</v>
      </c>
      <c r="K143" s="225" t="str">
        <f>IF(J143&lt;=$H143,"VÁLIDA","NO VÁLIDA")</f>
        <v>VÁLIDA</v>
      </c>
      <c r="L143" s="156"/>
      <c r="M143" s="162">
        <f>+M141+M142</f>
        <v>1745118564.5</v>
      </c>
      <c r="N143" s="225" t="str">
        <f>IF(M143&lt;=$H143,"VÁLIDA","NO VÁLIDA")</f>
        <v>VÁLIDA</v>
      </c>
      <c r="O143" s="156"/>
      <c r="P143" s="162">
        <f>+P141+P142</f>
        <v>1696948112.1999998</v>
      </c>
      <c r="Q143" s="225" t="str">
        <f>IF(P143&lt;=$H143,"VÁLIDA","NO VÁLIDA")</f>
        <v>VÁLIDA</v>
      </c>
      <c r="R143" s="156"/>
      <c r="S143" s="162">
        <f>+S141+S142</f>
        <v>1738585996.55</v>
      </c>
      <c r="T143" s="225" t="str">
        <f>IF(S143&lt;=$H143,"VÁLIDA","NO VÁLIDA")</f>
        <v>VÁLIDA</v>
      </c>
      <c r="U143" s="156"/>
      <c r="V143" s="162">
        <f>+V141+V142</f>
        <v>1764528119.6999998</v>
      </c>
      <c r="W143" s="225" t="str">
        <f>IF(V143&lt;=$H143,"VÁLIDA","NO VÁLIDA")</f>
        <v>VÁLIDA</v>
      </c>
      <c r="X143" s="156"/>
      <c r="Y143" s="162">
        <f>+Y141+Y142</f>
        <v>1736281498.3</v>
      </c>
      <c r="Z143" s="225" t="str">
        <f>IF(Y143&lt;=$H143,"VÁLIDA","NO VÁLIDA")</f>
        <v>VÁLIDA</v>
      </c>
      <c r="AA143" s="156"/>
      <c r="AB143" s="162">
        <f>+AB141+AB142</f>
        <v>1747571774.5</v>
      </c>
      <c r="AC143" s="225" t="str">
        <f>IF(AB143&lt;=$H143,"VÁLIDA","NO VÁLIDA")</f>
        <v>VÁLIDA</v>
      </c>
      <c r="AD143" s="156"/>
      <c r="AE143" s="162">
        <f>+AE141+AE142</f>
        <v>1748929762.45</v>
      </c>
      <c r="AF143" s="225" t="str">
        <f>IF(AE143&lt;=$H143,"VÁLIDA","NO VÁLIDA")</f>
        <v>VÁLIDA</v>
      </c>
      <c r="AH143" s="162">
        <f>+AH141+AH142</f>
        <v>0</v>
      </c>
      <c r="AI143" s="225" t="str">
        <f>IF(AH143&lt;=$H143,"VÁLIDA","NO VÁLIDA")</f>
        <v>VÁLIDA</v>
      </c>
      <c r="AJ143" s="162"/>
      <c r="AK143" s="162">
        <f>+AK141+AK142</f>
        <v>1641016652.2</v>
      </c>
      <c r="AL143" s="225" t="str">
        <f>IF(AK143&lt;=$H143,"VÁLIDA","NO VÁLIDA")</f>
        <v>VÁLIDA</v>
      </c>
      <c r="AM143" s="162"/>
      <c r="AN143" s="162">
        <f>+AN141+AN142</f>
        <v>1760126574</v>
      </c>
      <c r="AO143" s="225" t="str">
        <f>IF(AN143&lt;=$H143,"VÁLIDA","NO VÁLIDA")</f>
        <v>VÁLIDA</v>
      </c>
      <c r="AP143" s="162"/>
      <c r="AQ143" s="162">
        <f>+AQ141+AQ142</f>
        <v>1764528108.3499999</v>
      </c>
      <c r="AR143" s="225" t="str">
        <f>IF(AQ143&lt;=$H143,"VÁLIDA","NO VÁLIDA")</f>
        <v>VÁLIDA</v>
      </c>
      <c r="AS143" s="162"/>
      <c r="AT143" s="162">
        <f>+AT141+AT142</f>
        <v>1727718400</v>
      </c>
      <c r="AU143" s="225" t="str">
        <f>IF(AT143&lt;=$H143,"VÁLIDA","NO VÁLIDA")</f>
        <v>VÁLIDA</v>
      </c>
      <c r="AV143" s="162"/>
      <c r="AW143" s="162">
        <f>+AW141+AW142</f>
        <v>2344715557.6774998</v>
      </c>
      <c r="AX143" s="225" t="str">
        <f>IF(AW143&lt;=$H143,"VÁLIDA","NO VÁLIDA")</f>
        <v>NO VÁLIDA</v>
      </c>
      <c r="AY143" s="162"/>
      <c r="AZ143" s="162">
        <f>+AZ141+AZ142</f>
        <v>1764528108.3499999</v>
      </c>
      <c r="BA143" s="225" t="str">
        <f>IF(AZ143&lt;=$H143,"VÁLIDA","NO VÁLIDA")</f>
        <v>VÁLIDA</v>
      </c>
      <c r="BB143" s="162"/>
      <c r="BC143" s="162">
        <f>+BC141+BC142</f>
        <v>1692001683.8283243</v>
      </c>
      <c r="BD143" s="225" t="str">
        <f>IF(BC143&lt;=$H143,"VÁLIDA","NO VÁLIDA")</f>
        <v>VÁLIDA</v>
      </c>
      <c r="BE143" s="162"/>
      <c r="BF143" s="162">
        <f>+BF141+BF142</f>
        <v>1726407933</v>
      </c>
      <c r="BG143" s="225" t="str">
        <f>IF(BF143&lt;=$H143,"VÁLIDA","NO VÁLIDA")</f>
        <v>VÁLIDA</v>
      </c>
      <c r="BH143" s="162"/>
      <c r="BI143" s="162">
        <f>+BI141+BI142</f>
        <v>1746882838.5030003</v>
      </c>
      <c r="BJ143" s="225" t="str">
        <f>IF(BI143&lt;=$H143,"VÁLIDA","NO VÁLIDA")</f>
        <v>VÁLIDA</v>
      </c>
      <c r="BK143" s="162"/>
      <c r="BL143" s="162">
        <f>+BL141+BL142</f>
        <v>1750412123.8</v>
      </c>
      <c r="BM143" s="225" t="str">
        <f>IF(BL143&lt;=$H143,"VÁLIDA","NO VÁLIDA")</f>
        <v>VÁLIDA</v>
      </c>
      <c r="BN143" s="162"/>
      <c r="BO143" s="162">
        <f>+BO141+BO142</f>
        <v>1732989242.5</v>
      </c>
      <c r="BP143" s="225" t="str">
        <f>IF(BO143&lt;=$H143,"VÁLIDA","NO VÁLIDA")</f>
        <v>VÁLIDA</v>
      </c>
    </row>
    <row r="144" spans="1:247" s="167" customFormat="1" ht="12" x14ac:dyDescent="0.25">
      <c r="B144" s="234"/>
      <c r="C144" s="152"/>
      <c r="D144" s="165" t="s">
        <v>168</v>
      </c>
      <c r="E144" s="152"/>
      <c r="F144" s="166">
        <f>+'[2]AIU OBRA'!L76</f>
        <v>0.35799999999999998</v>
      </c>
      <c r="G144" s="155"/>
      <c r="H144" s="162">
        <f>H143*F144</f>
        <v>631701066.85259986</v>
      </c>
      <c r="I144" s="166">
        <v>0.35709999999999997</v>
      </c>
      <c r="J144" s="162">
        <f>J143*I144</f>
        <v>620357220.87784994</v>
      </c>
      <c r="K144" s="189"/>
      <c r="L144" s="166">
        <v>0.35709999999999997</v>
      </c>
      <c r="M144" s="162">
        <f>M143*L144</f>
        <v>623181839.38294995</v>
      </c>
      <c r="N144" s="189"/>
      <c r="O144" s="166">
        <v>0.37709999999999999</v>
      </c>
      <c r="P144" s="162">
        <f>P143*O144</f>
        <v>639919133.1106199</v>
      </c>
      <c r="Q144" s="189"/>
      <c r="R144" s="166">
        <v>0.35709999999999997</v>
      </c>
      <c r="S144" s="162">
        <f>S143*R144</f>
        <v>620849059.36800492</v>
      </c>
      <c r="T144" s="189"/>
      <c r="U144" s="166">
        <v>0.35709999999999997</v>
      </c>
      <c r="V144" s="162">
        <f>V143*U144</f>
        <v>630112991.5448699</v>
      </c>
      <c r="W144" s="189"/>
      <c r="X144" s="199">
        <v>0.31029383975323099</v>
      </c>
      <c r="Y144" s="162">
        <f>Y143*X144</f>
        <v>538757453</v>
      </c>
      <c r="Z144" s="189"/>
      <c r="AA144" s="200">
        <v>0.35709999999999997</v>
      </c>
      <c r="AB144" s="162">
        <f>AB143*AA144</f>
        <v>624057880.67394996</v>
      </c>
      <c r="AC144" s="189"/>
      <c r="AD144" s="200">
        <v>0.35709999999999997</v>
      </c>
      <c r="AE144" s="162">
        <f>AE143*AD144</f>
        <v>624542818.17089498</v>
      </c>
      <c r="AF144" s="189"/>
      <c r="AH144" s="162">
        <f>AH143*AG144</f>
        <v>0</v>
      </c>
      <c r="AI144" s="189"/>
      <c r="AJ144" s="166">
        <v>0.35709999999999997</v>
      </c>
      <c r="AK144" s="162">
        <f>AK143*AJ144</f>
        <v>586007046.50062001</v>
      </c>
      <c r="AL144" s="189"/>
      <c r="AM144" s="166">
        <v>0.35709999999999997</v>
      </c>
      <c r="AN144" s="166">
        <f>AN143*AM144</f>
        <v>628541199.57539999</v>
      </c>
      <c r="AO144" s="189"/>
      <c r="AP144" s="166">
        <v>0.35709999999999997</v>
      </c>
      <c r="AQ144" s="162">
        <f>AQ143*AP144</f>
        <v>630112987.49178493</v>
      </c>
      <c r="AR144" s="189"/>
      <c r="AS144" s="166">
        <v>0.35709999999999997</v>
      </c>
      <c r="AT144" s="162">
        <f>AT143*AS144</f>
        <v>616968240.63999999</v>
      </c>
      <c r="AU144" s="189"/>
      <c r="AV144" s="166">
        <f>(25+5+5)%</f>
        <v>0.35</v>
      </c>
      <c r="AW144" s="162">
        <f>AW143*AV144</f>
        <v>820650445.18712485</v>
      </c>
      <c r="AX144" s="189"/>
      <c r="AY144" s="166">
        <v>0.35709999999999997</v>
      </c>
      <c r="AZ144" s="162">
        <f>AZ143*AY144</f>
        <v>630112987.49178493</v>
      </c>
      <c r="BA144" s="189"/>
      <c r="BB144" s="166">
        <v>0.35709999999999997</v>
      </c>
      <c r="BC144" s="162">
        <f>BC143*BB144</f>
        <v>604213801.29509461</v>
      </c>
      <c r="BD144" s="189"/>
      <c r="BE144" s="166">
        <v>0.35709999999999997</v>
      </c>
      <c r="BF144" s="162">
        <f>BF143*BE144</f>
        <v>616500272.8743</v>
      </c>
      <c r="BG144" s="189"/>
      <c r="BH144" s="166">
        <v>0.35709999999999997</v>
      </c>
      <c r="BI144" s="162">
        <f>BI143*BH144</f>
        <v>623811861.62942135</v>
      </c>
      <c r="BJ144" s="189"/>
      <c r="BK144" s="166">
        <v>0.35709999999999997</v>
      </c>
      <c r="BL144" s="162">
        <f>BL143*BK144</f>
        <v>625072169.40897989</v>
      </c>
      <c r="BM144" s="189"/>
      <c r="BN144" s="166">
        <v>0.35709999999999997</v>
      </c>
      <c r="BO144" s="162">
        <f>BO143*BN144</f>
        <v>618850458.49675</v>
      </c>
      <c r="BP144" s="189"/>
    </row>
    <row r="145" spans="2:68" s="167" customFormat="1" ht="12" x14ac:dyDescent="0.25">
      <c r="B145" s="238"/>
      <c r="D145" s="165"/>
      <c r="F145" s="237"/>
      <c r="G145" s="239"/>
      <c r="H145" s="240"/>
      <c r="I145" s="233"/>
      <c r="J145" s="240"/>
      <c r="K145" s="66"/>
      <c r="L145" s="233"/>
      <c r="M145" s="240"/>
      <c r="N145" s="66"/>
      <c r="O145" s="233"/>
      <c r="P145" s="240"/>
      <c r="Q145" s="66"/>
      <c r="R145" s="233"/>
      <c r="S145" s="240"/>
      <c r="T145" s="66"/>
      <c r="U145" s="233"/>
      <c r="V145" s="240"/>
      <c r="W145" s="66"/>
      <c r="X145" s="233"/>
      <c r="Y145" s="240"/>
      <c r="Z145" s="66"/>
      <c r="AA145" s="156"/>
      <c r="AB145" s="240"/>
      <c r="AC145" s="66"/>
      <c r="AD145" s="156"/>
      <c r="AE145" s="240"/>
      <c r="AF145" s="66"/>
      <c r="AH145" s="240"/>
      <c r="AI145" s="66"/>
      <c r="AJ145" s="240"/>
      <c r="AK145" s="240"/>
      <c r="AL145" s="66"/>
      <c r="AM145" s="240"/>
      <c r="AN145" s="240"/>
      <c r="AO145" s="66"/>
      <c r="AP145" s="240"/>
      <c r="AQ145" s="240"/>
      <c r="AR145" s="66"/>
      <c r="AS145" s="240"/>
      <c r="AT145" s="240"/>
      <c r="AU145" s="66"/>
      <c r="AV145" s="240"/>
      <c r="AW145" s="240"/>
      <c r="AX145" s="66"/>
      <c r="AY145" s="240"/>
      <c r="AZ145" s="240"/>
      <c r="BA145" s="66"/>
      <c r="BB145" s="240"/>
      <c r="BC145" s="240"/>
      <c r="BD145" s="66"/>
      <c r="BE145" s="240"/>
      <c r="BF145" s="240"/>
      <c r="BG145" s="66"/>
      <c r="BH145" s="240"/>
      <c r="BI145" s="240"/>
      <c r="BJ145" s="66"/>
      <c r="BK145" s="240"/>
      <c r="BL145" s="240"/>
      <c r="BM145" s="66"/>
      <c r="BN145" s="240"/>
      <c r="BO145" s="240"/>
      <c r="BP145" s="66"/>
    </row>
    <row r="146" spans="2:68" s="167" customFormat="1" ht="12" x14ac:dyDescent="0.25">
      <c r="B146" s="238"/>
      <c r="D146" s="165" t="s">
        <v>169</v>
      </c>
      <c r="F146" s="237"/>
      <c r="G146" s="239"/>
      <c r="H146" s="162">
        <f>H143+H144</f>
        <v>2396229186.5525999</v>
      </c>
      <c r="I146" s="236"/>
      <c r="J146" s="162">
        <f>J143+J144</f>
        <v>2357565904.3778501</v>
      </c>
      <c r="K146" s="225" t="str">
        <f>IF(J146&lt;=$H146,"VÁLIDA","NO VÁLIDA")</f>
        <v>VÁLIDA</v>
      </c>
      <c r="L146" s="236"/>
      <c r="M146" s="162">
        <f>M143+M144</f>
        <v>2368300403.8829498</v>
      </c>
      <c r="N146" s="225" t="str">
        <f>IF(M146&lt;=$H146,"VÁLIDA","NO VÁLIDA")</f>
        <v>VÁLIDA</v>
      </c>
      <c r="O146" s="236"/>
      <c r="P146" s="162">
        <f>P143+P144</f>
        <v>2336867245.3106198</v>
      </c>
      <c r="Q146" s="225" t="str">
        <f>IF(P146&lt;=$H146,"VÁLIDA","NO VÁLIDA")</f>
        <v>VÁLIDA</v>
      </c>
      <c r="R146" s="236"/>
      <c r="S146" s="162">
        <f>S143+S144</f>
        <v>2359435055.918005</v>
      </c>
      <c r="T146" s="225" t="str">
        <f>IF(S146&lt;=$H146,"VÁLIDA","NO VÁLIDA")</f>
        <v>VÁLIDA</v>
      </c>
      <c r="U146" s="236"/>
      <c r="V146" s="162">
        <f>V143+V144</f>
        <v>2394641111.2448697</v>
      </c>
      <c r="W146" s="225" t="str">
        <f>IF(V146&lt;=$H146,"VÁLIDA","NO VÁLIDA")</f>
        <v>VÁLIDA</v>
      </c>
      <c r="X146" s="236"/>
      <c r="Y146" s="162">
        <f>Y143+Y144</f>
        <v>2275038951.3000002</v>
      </c>
      <c r="Z146" s="225" t="str">
        <f>IF(Y146&lt;=$H146,"VÁLIDA","NO VÁLIDA")</f>
        <v>VÁLIDA</v>
      </c>
      <c r="AA146" s="236"/>
      <c r="AB146" s="162">
        <f>AB143+AB144</f>
        <v>2371629655.1739502</v>
      </c>
      <c r="AC146" s="225" t="str">
        <f>IF(AB146&lt;=$H146,"VÁLIDA","NO VÁLIDA")</f>
        <v>VÁLIDA</v>
      </c>
      <c r="AD146" s="236"/>
      <c r="AE146" s="162">
        <f>AE143+AE144</f>
        <v>2373472580.6208949</v>
      </c>
      <c r="AF146" s="225" t="str">
        <f>IF(AE146&lt;=$H146,"VÁLIDA","NO VÁLIDA")</f>
        <v>VÁLIDA</v>
      </c>
      <c r="AH146" s="162">
        <f>AH143+AH144</f>
        <v>0</v>
      </c>
      <c r="AI146" s="225" t="str">
        <f>IF(AH146&lt;=$H146,"VÁLIDA","NO VÁLIDA")</f>
        <v>VÁLIDA</v>
      </c>
      <c r="AJ146" s="162"/>
      <c r="AK146" s="162">
        <f>AK143+AK144</f>
        <v>2227023698.7006202</v>
      </c>
      <c r="AL146" s="225" t="str">
        <f>IF(AK146&lt;=$H146,"VÁLIDA","NO VÁLIDA")</f>
        <v>VÁLIDA</v>
      </c>
      <c r="AM146" s="162"/>
      <c r="AN146" s="162">
        <f>AN143+AN144</f>
        <v>2388667773.5753999</v>
      </c>
      <c r="AO146" s="225" t="str">
        <f>IF(AN146&lt;=$H146,"VÁLIDA","NO VÁLIDA")</f>
        <v>VÁLIDA</v>
      </c>
      <c r="AP146" s="162"/>
      <c r="AQ146" s="162">
        <f>AQ143+AQ144</f>
        <v>2394641095.841785</v>
      </c>
      <c r="AR146" s="225" t="str">
        <f>IF(AQ146&lt;=$H146,"VÁLIDA","NO VÁLIDA")</f>
        <v>VÁLIDA</v>
      </c>
      <c r="AS146" s="162"/>
      <c r="AT146" s="162">
        <f>AT143+AT144</f>
        <v>2344686640.6399999</v>
      </c>
      <c r="AU146" s="225" t="str">
        <f>IF(AT146&lt;=$H146,"VÁLIDA","NO VÁLIDA")</f>
        <v>VÁLIDA</v>
      </c>
      <c r="AV146" s="162"/>
      <c r="AW146" s="162">
        <f>AW143+AW144</f>
        <v>3165366002.8646245</v>
      </c>
      <c r="AX146" s="225" t="str">
        <f>IF(AW146&lt;=$H146,"VÁLIDA","NO VÁLIDA")</f>
        <v>NO VÁLIDA</v>
      </c>
      <c r="AY146" s="162"/>
      <c r="AZ146" s="162">
        <f>AZ143+AZ144</f>
        <v>2394641095.841785</v>
      </c>
      <c r="BA146" s="225" t="str">
        <f>IF(AZ146&lt;=$H146,"VÁLIDA","NO VÁLIDA")</f>
        <v>VÁLIDA</v>
      </c>
      <c r="BB146" s="162"/>
      <c r="BC146" s="162">
        <f>BC143+BC144</f>
        <v>2296215485.1234188</v>
      </c>
      <c r="BD146" s="225" t="str">
        <f>IF(BC146&lt;=$H146,"VÁLIDA","NO VÁLIDA")</f>
        <v>VÁLIDA</v>
      </c>
      <c r="BE146" s="162"/>
      <c r="BF146" s="162">
        <f>BF143+BF144</f>
        <v>2342908205.8743</v>
      </c>
      <c r="BG146" s="225" t="str">
        <f>IF(BF146&lt;=$H146,"VÁLIDA","NO VÁLIDA")</f>
        <v>VÁLIDA</v>
      </c>
      <c r="BH146" s="162"/>
      <c r="BI146" s="162">
        <f>BI143+BI144</f>
        <v>2370694700.1324215</v>
      </c>
      <c r="BJ146" s="225" t="str">
        <f>IF(BI146&lt;=$H146,"VÁLIDA","NO VÁLIDA")</f>
        <v>VÁLIDA</v>
      </c>
      <c r="BK146" s="162"/>
      <c r="BL146" s="162">
        <f>BL143+BL144</f>
        <v>2375484293.2089796</v>
      </c>
      <c r="BM146" s="225" t="str">
        <f>IF(BL146&lt;=$H146,"VÁLIDA","NO VÁLIDA")</f>
        <v>VÁLIDA</v>
      </c>
      <c r="BN146" s="162"/>
      <c r="BO146" s="162">
        <f>BO143+BO144</f>
        <v>2351839700.9967499</v>
      </c>
      <c r="BP146" s="225" t="str">
        <f>IF(BO146&lt;=$H146,"VÁLIDA","NO VÁLIDA")</f>
        <v>VÁLIDA</v>
      </c>
    </row>
    <row r="147" spans="2:68" s="167" customFormat="1" ht="12" x14ac:dyDescent="0.25">
      <c r="B147" s="238"/>
      <c r="D147" s="165"/>
      <c r="F147" s="237"/>
      <c r="G147" s="239"/>
      <c r="H147" s="241"/>
      <c r="I147" s="236"/>
      <c r="J147" s="241"/>
      <c r="K147" s="66"/>
      <c r="L147" s="236"/>
      <c r="M147" s="241"/>
      <c r="N147" s="66"/>
      <c r="O147" s="236"/>
      <c r="P147" s="241"/>
      <c r="Q147" s="66"/>
      <c r="R147" s="236"/>
      <c r="S147" s="241"/>
      <c r="T147" s="66"/>
      <c r="U147" s="236"/>
      <c r="V147" s="241"/>
      <c r="W147" s="66"/>
      <c r="X147" s="236"/>
      <c r="Y147" s="241"/>
      <c r="Z147" s="66"/>
      <c r="AA147" s="236"/>
      <c r="AB147" s="241"/>
      <c r="AC147" s="66"/>
      <c r="AD147" s="236"/>
      <c r="AE147" s="241"/>
      <c r="AF147" s="66"/>
      <c r="AH147" s="241"/>
      <c r="AI147" s="66"/>
      <c r="AJ147" s="241"/>
      <c r="AK147" s="241"/>
      <c r="AL147" s="66"/>
      <c r="AM147" s="241"/>
      <c r="AN147" s="241"/>
      <c r="AO147" s="66"/>
      <c r="AP147" s="241"/>
      <c r="AQ147" s="241"/>
      <c r="AR147" s="66"/>
      <c r="AS147" s="241"/>
      <c r="AT147" s="241"/>
      <c r="AU147" s="66"/>
      <c r="AV147" s="241"/>
      <c r="AW147" s="241"/>
      <c r="AX147" s="66"/>
      <c r="AY147" s="241"/>
      <c r="AZ147" s="241"/>
      <c r="BA147" s="66"/>
      <c r="BB147" s="241"/>
      <c r="BC147" s="241"/>
      <c r="BD147" s="66"/>
      <c r="BE147" s="241"/>
      <c r="BF147" s="241"/>
      <c r="BG147" s="66"/>
      <c r="BH147" s="241"/>
      <c r="BI147" s="241"/>
      <c r="BJ147" s="66"/>
      <c r="BK147" s="241"/>
      <c r="BL147" s="241"/>
      <c r="BM147" s="66"/>
      <c r="BN147" s="241"/>
      <c r="BO147" s="241"/>
      <c r="BP147" s="66"/>
    </row>
    <row r="148" spans="2:68" s="167" customFormat="1" ht="12" x14ac:dyDescent="0.25">
      <c r="B148" s="238"/>
      <c r="D148" s="165" t="s">
        <v>170</v>
      </c>
      <c r="F148" s="242"/>
      <c r="G148" s="239"/>
      <c r="H148" s="162">
        <f>[2]AMBIENTAL!N109</f>
        <v>46783870.354137547</v>
      </c>
      <c r="I148" s="236"/>
      <c r="J148" s="162">
        <f>$H$148</f>
        <v>46783870.354137547</v>
      </c>
      <c r="K148" s="225" t="s">
        <v>180</v>
      </c>
      <c r="L148" s="236"/>
      <c r="M148" s="162">
        <f>$H$148</f>
        <v>46783870.354137547</v>
      </c>
      <c r="N148" s="225" t="s">
        <v>180</v>
      </c>
      <c r="O148" s="236"/>
      <c r="P148" s="162">
        <f>$H$148</f>
        <v>46783870.354137547</v>
      </c>
      <c r="Q148" s="225" t="str">
        <f>IF(P148&lt;=$H148,"VÁLIDA","NO VÁLIDA")</f>
        <v>VÁLIDA</v>
      </c>
      <c r="R148" s="236"/>
      <c r="S148" s="162">
        <v>46783870.354137547</v>
      </c>
      <c r="T148" s="225" t="str">
        <f>IF(S148&lt;=$H148,"VÁLIDA","NO VÁLIDA")</f>
        <v>VÁLIDA</v>
      </c>
      <c r="U148" s="236"/>
      <c r="V148" s="162">
        <f>$H$148</f>
        <v>46783870.354137547</v>
      </c>
      <c r="W148" s="225" t="str">
        <f>IF(V148&lt;=$H148,"VÁLIDA","NO VÁLIDA")</f>
        <v>VÁLIDA</v>
      </c>
      <c r="X148" s="236"/>
      <c r="Y148" s="162">
        <f>$H$148</f>
        <v>46783870.354137547</v>
      </c>
      <c r="Z148" s="225" t="str">
        <f>IF(Y148&lt;=$H148,"VÁLIDA","NO VÁLIDA")</f>
        <v>VÁLIDA</v>
      </c>
      <c r="AA148" s="236"/>
      <c r="AB148" s="162">
        <f>$H$148</f>
        <v>46783870.354137547</v>
      </c>
      <c r="AC148" s="225" t="str">
        <f>IF(AB148&lt;=$H148,"VÁLIDA","NO VÁLIDA")</f>
        <v>VÁLIDA</v>
      </c>
      <c r="AD148" s="236"/>
      <c r="AE148" s="162">
        <f>$H$148</f>
        <v>46783870.354137547</v>
      </c>
      <c r="AF148" s="225" t="s">
        <v>180</v>
      </c>
      <c r="AH148" s="162">
        <f>$H$148</f>
        <v>46783870.354137547</v>
      </c>
      <c r="AI148" s="225" t="s">
        <v>180</v>
      </c>
      <c r="AJ148" s="162"/>
      <c r="AK148" s="162">
        <f>$H$148</f>
        <v>46783870.354137547</v>
      </c>
      <c r="AL148" s="225" t="str">
        <f>IF(AK148&lt;=$H148,"VÁLIDA","NO VÁLIDA")</f>
        <v>VÁLIDA</v>
      </c>
      <c r="AM148" s="162"/>
      <c r="AN148" s="162">
        <f>$H$148</f>
        <v>46783870.354137547</v>
      </c>
      <c r="AO148" s="225" t="s">
        <v>180</v>
      </c>
      <c r="AQ148" s="162">
        <f>$H$148</f>
        <v>46783870.354137547</v>
      </c>
      <c r="AR148" s="225" t="s">
        <v>180</v>
      </c>
      <c r="AT148" s="162">
        <f>$H$148</f>
        <v>46783870.354137547</v>
      </c>
      <c r="AU148" s="225" t="str">
        <f>IF(AT148&lt;=$H148,"VÁLIDA","NO VÁLIDA")</f>
        <v>VÁLIDA</v>
      </c>
      <c r="AW148" s="162">
        <f>$H$148</f>
        <v>46783870.354137547</v>
      </c>
      <c r="AX148" s="225" t="s">
        <v>180</v>
      </c>
      <c r="AZ148" s="162">
        <f>$H$148</f>
        <v>46783870.354137547</v>
      </c>
      <c r="BA148" s="225" t="str">
        <f>IF(AZ148&lt;=$H148,"VÁLIDA","NO VÁLIDA")</f>
        <v>VÁLIDA</v>
      </c>
      <c r="BC148" s="162">
        <f>$H$148</f>
        <v>46783870.354137547</v>
      </c>
      <c r="BD148" s="225" t="str">
        <f>IF(BC148&lt;=$H148,"VÁLIDA","NO VÁLIDA")</f>
        <v>VÁLIDA</v>
      </c>
      <c r="BF148" s="162">
        <v>46643743.350000001</v>
      </c>
      <c r="BG148" s="225" t="str">
        <f>IF(BF148&lt;=$H148,"VÁLIDA","NO VÁLIDA")</f>
        <v>VÁLIDA</v>
      </c>
      <c r="BI148" s="162">
        <f>$H$148</f>
        <v>46783870.354137547</v>
      </c>
      <c r="BJ148" s="225" t="str">
        <f>IF(BI148&lt;=$H148,"VÁLIDA","NO VÁLIDA")</f>
        <v>VÁLIDA</v>
      </c>
      <c r="BL148" s="162">
        <v>46783869</v>
      </c>
      <c r="BM148" s="225" t="str">
        <f>IF(BL148&lt;=$H148,"VÁLIDA","NO VÁLIDA")</f>
        <v>VÁLIDA</v>
      </c>
      <c r="BO148" s="162">
        <v>46617326</v>
      </c>
      <c r="BP148" s="225" t="str">
        <f>IF(BO148&lt;=$H148,"VÁLIDA","NO VÁLIDA")</f>
        <v>VÁLIDA</v>
      </c>
    </row>
    <row r="149" spans="2:68" s="167" customFormat="1" ht="12" x14ac:dyDescent="0.25">
      <c r="B149" s="238"/>
      <c r="D149" s="165" t="s">
        <v>171</v>
      </c>
      <c r="F149" s="242"/>
      <c r="G149" s="239"/>
      <c r="H149" s="162">
        <f>[2]PGS!L51</f>
        <v>94816456</v>
      </c>
      <c r="I149" s="236"/>
      <c r="J149" s="162">
        <f>$H$149</f>
        <v>94816456</v>
      </c>
      <c r="K149" s="225" t="s">
        <v>180</v>
      </c>
      <c r="L149" s="236"/>
      <c r="M149" s="162">
        <v>80360317</v>
      </c>
      <c r="N149" s="225" t="s">
        <v>180</v>
      </c>
      <c r="O149" s="236"/>
      <c r="P149" s="162">
        <v>69552496</v>
      </c>
      <c r="Q149" s="225" t="str">
        <f>IF(P149&lt;=$H149,"VÁLIDA","NO VÁLIDA")</f>
        <v>VÁLIDA</v>
      </c>
      <c r="R149" s="236"/>
      <c r="S149" s="162">
        <v>80360317</v>
      </c>
      <c r="T149" s="225" t="str">
        <f>IF(S149&lt;=$H149,"VÁLIDA","NO VÁLIDA")</f>
        <v>VÁLIDA</v>
      </c>
      <c r="U149" s="236"/>
      <c r="V149" s="162">
        <v>80360317</v>
      </c>
      <c r="W149" s="225" t="str">
        <f>IF(V149&lt;=$H149,"VÁLIDA","NO VÁLIDA")</f>
        <v>VÁLIDA</v>
      </c>
      <c r="X149" s="236"/>
      <c r="Y149" s="162">
        <v>80360317</v>
      </c>
      <c r="Z149" s="225" t="str">
        <f>IF(Y149&lt;=$H149,"VÁLIDA","NO VÁLIDA")</f>
        <v>VÁLIDA</v>
      </c>
      <c r="AA149" s="236"/>
      <c r="AB149" s="162">
        <v>60165975</v>
      </c>
      <c r="AC149" s="225" t="str">
        <f>IF(AB149&lt;=$H149,"VÁLIDA","NO VÁLIDA")</f>
        <v>VÁLIDA</v>
      </c>
      <c r="AD149" s="236"/>
      <c r="AE149" s="162">
        <v>80360317</v>
      </c>
      <c r="AF149" s="225" t="s">
        <v>180</v>
      </c>
      <c r="AH149" s="162">
        <v>69552496</v>
      </c>
      <c r="AI149" s="225" t="s">
        <v>180</v>
      </c>
      <c r="AJ149" s="162"/>
      <c r="AK149" s="162">
        <v>80360317</v>
      </c>
      <c r="AL149" s="225" t="str">
        <f>IF(AK149&lt;=$H149,"VÁLIDA","NO VÁLIDA")</f>
        <v>VÁLIDA</v>
      </c>
      <c r="AM149" s="162"/>
      <c r="AN149" s="162">
        <v>80360317</v>
      </c>
      <c r="AO149" s="225" t="s">
        <v>180</v>
      </c>
      <c r="AQ149" s="162">
        <v>80360317</v>
      </c>
      <c r="AR149" s="225" t="s">
        <v>180</v>
      </c>
      <c r="AT149" s="162">
        <v>80360317</v>
      </c>
      <c r="AU149" s="225" t="str">
        <f>IF(AT149&lt;=$H149,"VÁLIDA","NO VÁLIDA")</f>
        <v>VÁLIDA</v>
      </c>
      <c r="AW149" s="162">
        <v>80360317</v>
      </c>
      <c r="AX149" s="225" t="s">
        <v>180</v>
      </c>
      <c r="AZ149" s="162">
        <v>80360317</v>
      </c>
      <c r="BA149" s="225" t="str">
        <f>IF(AZ149&lt;=$H149,"VÁLIDA","NO VÁLIDA")</f>
        <v>VÁLIDA</v>
      </c>
      <c r="BC149" s="162">
        <v>80360317</v>
      </c>
      <c r="BD149" s="225" t="str">
        <f>IF(BC149&lt;=$H149,"VÁLIDA","NO VÁLIDA")</f>
        <v>VÁLIDA</v>
      </c>
      <c r="BF149" s="162">
        <v>80360317</v>
      </c>
      <c r="BG149" s="225" t="str">
        <f>IF(BF149&lt;=$H149,"VÁLIDA","NO VÁLIDA")</f>
        <v>VÁLIDA</v>
      </c>
      <c r="BI149" s="162">
        <v>80360317</v>
      </c>
      <c r="BJ149" s="225" t="str">
        <f>IF(BI149&lt;=$H149,"VÁLIDA","NO VÁLIDA")</f>
        <v>VÁLIDA</v>
      </c>
      <c r="BL149" s="162">
        <v>80360317</v>
      </c>
      <c r="BM149" s="225" t="str">
        <f>IF(BL149&lt;=$H149,"VÁLIDA","NO VÁLIDA")</f>
        <v>VÁLIDA</v>
      </c>
      <c r="BO149" s="162">
        <v>80313815</v>
      </c>
      <c r="BP149" s="225" t="str">
        <f>IF(BO149&lt;=$H149,"VÁLIDA","NO VÁLIDA")</f>
        <v>VÁLIDA</v>
      </c>
    </row>
    <row r="150" spans="2:68" s="167" customFormat="1" ht="12" x14ac:dyDescent="0.25">
      <c r="B150" s="238"/>
      <c r="D150" s="165" t="s">
        <v>172</v>
      </c>
      <c r="F150" s="242"/>
      <c r="G150" s="239"/>
      <c r="H150" s="162">
        <f>[2]PMT!S36</f>
        <v>36782034</v>
      </c>
      <c r="I150" s="233"/>
      <c r="J150" s="162">
        <f>$H$150</f>
        <v>36782034</v>
      </c>
      <c r="K150" s="225" t="s">
        <v>180</v>
      </c>
      <c r="L150" s="233"/>
      <c r="M150" s="162">
        <v>36772928</v>
      </c>
      <c r="N150" s="225" t="s">
        <v>180</v>
      </c>
      <c r="O150" s="233"/>
      <c r="P150" s="162">
        <v>36773193</v>
      </c>
      <c r="Q150" s="225" t="str">
        <f>IF(P150&lt;=$H150,"VÁLIDA","NO VÁLIDA")</f>
        <v>VÁLIDA</v>
      </c>
      <c r="R150" s="233"/>
      <c r="S150" s="162">
        <v>36772928</v>
      </c>
      <c r="T150" s="225" t="str">
        <f>IF(S150&lt;=$H150,"VÁLIDA","NO VÁLIDA")</f>
        <v>VÁLIDA</v>
      </c>
      <c r="U150" s="233"/>
      <c r="V150" s="162">
        <v>36772928</v>
      </c>
      <c r="W150" s="225" t="str">
        <f>IF(V150&lt;=$H150,"VÁLIDA","NO VÁLIDA")</f>
        <v>VÁLIDA</v>
      </c>
      <c r="X150" s="233"/>
      <c r="Y150" s="162">
        <v>36772928</v>
      </c>
      <c r="Z150" s="225" t="str">
        <f>IF(Y150&lt;=$H150,"VÁLIDA","NO VÁLIDA")</f>
        <v>VÁLIDA</v>
      </c>
      <c r="AA150" s="233"/>
      <c r="AB150" s="162">
        <v>36772928</v>
      </c>
      <c r="AC150" s="225" t="str">
        <f>IF(AB150&lt;=$H150,"VÁLIDA","NO VÁLIDA")</f>
        <v>VÁLIDA</v>
      </c>
      <c r="AD150" s="233"/>
      <c r="AE150" s="162">
        <v>36772928</v>
      </c>
      <c r="AF150" s="225" t="s">
        <v>180</v>
      </c>
      <c r="AH150" s="162">
        <v>36773193</v>
      </c>
      <c r="AI150" s="225" t="s">
        <v>180</v>
      </c>
      <c r="AJ150" s="162"/>
      <c r="AK150" s="162">
        <v>36772928</v>
      </c>
      <c r="AL150" s="225" t="str">
        <f>IF(AK150&lt;=$H150,"VÁLIDA","NO VÁLIDA")</f>
        <v>VÁLIDA</v>
      </c>
      <c r="AN150" s="162">
        <v>36772928</v>
      </c>
      <c r="AO150" s="225" t="s">
        <v>180</v>
      </c>
      <c r="AQ150" s="162">
        <v>36772928</v>
      </c>
      <c r="AR150" s="225" t="s">
        <v>180</v>
      </c>
      <c r="AT150" s="162">
        <v>36772928</v>
      </c>
      <c r="AU150" s="225" t="str">
        <f>IF(AT150&lt;=$H150,"VÁLIDA","NO VÁLIDA")</f>
        <v>VÁLIDA</v>
      </c>
      <c r="AW150" s="162">
        <v>36772928</v>
      </c>
      <c r="AX150" s="225" t="s">
        <v>180</v>
      </c>
      <c r="AZ150" s="162">
        <v>36772928</v>
      </c>
      <c r="BA150" s="225" t="str">
        <f>IF(AZ150&lt;=$H150,"VÁLIDA","NO VÁLIDA")</f>
        <v>VÁLIDA</v>
      </c>
      <c r="BC150" s="162">
        <v>36772928</v>
      </c>
      <c r="BD150" s="225" t="str">
        <f>IF(BC150&lt;=$H150,"VÁLIDA","NO VÁLIDA")</f>
        <v>VÁLIDA</v>
      </c>
      <c r="BF150" s="162">
        <v>36772928</v>
      </c>
      <c r="BG150" s="225" t="str">
        <f>IF(BF150&lt;=$H150,"VÁLIDA","NO VÁLIDA")</f>
        <v>VÁLIDA</v>
      </c>
      <c r="BI150" s="162">
        <v>36772928</v>
      </c>
      <c r="BJ150" s="225" t="str">
        <f>IF(BI150&lt;=$H150,"VÁLIDA","NO VÁLIDA")</f>
        <v>VÁLIDA</v>
      </c>
      <c r="BL150" s="162">
        <v>36772928</v>
      </c>
      <c r="BM150" s="225" t="str">
        <f>IF(BL150&lt;=$H150,"VÁLIDA","NO VÁLIDA")</f>
        <v>VÁLIDA</v>
      </c>
      <c r="BO150" s="162">
        <v>36512938</v>
      </c>
      <c r="BP150" s="225" t="str">
        <f>IF(BO150&lt;=$H150,"VÁLIDA","NO VÁLIDA")</f>
        <v>VÁLIDA</v>
      </c>
    </row>
    <row r="151" spans="2:68" s="167" customFormat="1" ht="12" x14ac:dyDescent="0.25">
      <c r="B151" s="238"/>
      <c r="D151" s="165"/>
      <c r="F151" s="237"/>
      <c r="G151" s="239"/>
      <c r="H151" s="162"/>
      <c r="I151" s="233"/>
      <c r="J151" s="162"/>
      <c r="K151" s="168"/>
      <c r="L151" s="233"/>
      <c r="M151" s="162"/>
      <c r="N151" s="168"/>
      <c r="O151" s="233"/>
      <c r="P151" s="162"/>
      <c r="Q151" s="168"/>
      <c r="R151" s="233"/>
      <c r="S151" s="162"/>
      <c r="T151" s="168"/>
      <c r="U151" s="233"/>
      <c r="V151" s="162"/>
      <c r="W151" s="168"/>
      <c r="X151" s="233"/>
      <c r="Y151" s="162"/>
      <c r="Z151" s="168"/>
      <c r="AA151" s="233"/>
      <c r="AB151" s="162"/>
      <c r="AC151" s="168"/>
      <c r="AD151" s="233"/>
      <c r="AE151" s="162"/>
      <c r="AF151" s="168"/>
      <c r="AH151" s="162"/>
      <c r="AI151" s="168"/>
      <c r="AJ151" s="162"/>
      <c r="AK151" s="162"/>
      <c r="AL151" s="168"/>
      <c r="AN151" s="162"/>
      <c r="AO151" s="168"/>
      <c r="AQ151" s="162"/>
      <c r="AR151" s="168"/>
      <c r="AT151" s="162"/>
      <c r="AU151" s="168"/>
      <c r="AW151" s="162"/>
      <c r="AX151" s="168"/>
      <c r="AZ151" s="162"/>
      <c r="BA151" s="168"/>
      <c r="BC151" s="162"/>
      <c r="BD151" s="168"/>
      <c r="BF151" s="162"/>
      <c r="BG151" s="168"/>
      <c r="BI151" s="162"/>
      <c r="BJ151" s="168"/>
      <c r="BL151" s="162"/>
      <c r="BM151" s="168"/>
      <c r="BO151" s="162"/>
      <c r="BP151" s="168"/>
    </row>
    <row r="152" spans="2:68" s="167" customFormat="1" ht="12" x14ac:dyDescent="0.25">
      <c r="B152" s="238"/>
      <c r="D152" s="165" t="s">
        <v>173</v>
      </c>
      <c r="F152" s="237"/>
      <c r="G152" s="239"/>
      <c r="H152" s="162">
        <f>H146+H148+H149+H150</f>
        <v>2574611546.9067373</v>
      </c>
      <c r="I152" s="236"/>
      <c r="J152" s="162">
        <f>J146+J148+J149+J150</f>
        <v>2535948264.7319875</v>
      </c>
      <c r="K152" s="66"/>
      <c r="L152" s="236"/>
      <c r="M152" s="162">
        <f>M146+M148+M149+M150</f>
        <v>2532217519.2370872</v>
      </c>
      <c r="N152" s="66"/>
      <c r="O152" s="236"/>
      <c r="P152" s="162">
        <f>P146+P148+P149+P150</f>
        <v>2489976804.6647573</v>
      </c>
      <c r="Q152" s="66"/>
      <c r="R152" s="236"/>
      <c r="S152" s="162">
        <f>S146+S148+S149+S150</f>
        <v>2523352171.2721424</v>
      </c>
      <c r="T152" s="66"/>
      <c r="U152" s="236"/>
      <c r="V152" s="162">
        <f>V146+V148+V149+V150</f>
        <v>2558558226.5990071</v>
      </c>
      <c r="W152" s="66"/>
      <c r="X152" s="236"/>
      <c r="Y152" s="162">
        <f>Y146+Y148+Y149+Y150</f>
        <v>2438956066.6541376</v>
      </c>
      <c r="Z152" s="66"/>
      <c r="AA152" s="236"/>
      <c r="AB152" s="162">
        <f>AB146+AB148+AB149+AB150</f>
        <v>2515352428.5280876</v>
      </c>
      <c r="AC152" s="66"/>
      <c r="AD152" s="236"/>
      <c r="AE152" s="162">
        <f>AE146+AE148+AE149+AE150</f>
        <v>2537389695.9750323</v>
      </c>
      <c r="AF152" s="66"/>
      <c r="AH152" s="162">
        <f>AH146+AH148+AH149+AH150</f>
        <v>153109559.35413754</v>
      </c>
      <c r="AI152" s="66"/>
      <c r="AJ152" s="162"/>
      <c r="AK152" s="162">
        <f>AK146+AK148+AK149+AK150</f>
        <v>2390940814.0547576</v>
      </c>
      <c r="AL152" s="66"/>
      <c r="AN152" s="162">
        <f>AN146+AN148+AN149+AN150</f>
        <v>2552584888.9295373</v>
      </c>
      <c r="AO152" s="66"/>
      <c r="AQ152" s="162">
        <f>AQ146+AQ148+AQ149+AQ150</f>
        <v>2558558211.1959224</v>
      </c>
      <c r="AR152" s="66"/>
      <c r="AT152" s="162">
        <f>AT146+AT148+AT149+AT150</f>
        <v>2508603755.9941373</v>
      </c>
      <c r="AU152" s="66"/>
      <c r="AW152" s="162">
        <f>AW146+AW148+AW149+AW150</f>
        <v>3329283118.2187619</v>
      </c>
      <c r="AX152" s="66"/>
      <c r="AZ152" s="162">
        <f>AZ146+AZ148+AZ149+AZ150</f>
        <v>2558558211.1959224</v>
      </c>
      <c r="BA152" s="66"/>
      <c r="BC152" s="162">
        <f>BC146+BC148+BC149+BC150</f>
        <v>2460132600.4775562</v>
      </c>
      <c r="BD152" s="66"/>
      <c r="BF152" s="162">
        <f>BF146+BF148+BF149+BF150</f>
        <v>2506685194.2242999</v>
      </c>
      <c r="BG152" s="66"/>
      <c r="BI152" s="162">
        <f>BI146+BI148+BI149+BI150</f>
        <v>2534611815.4865589</v>
      </c>
      <c r="BJ152" s="66"/>
      <c r="BL152" s="162">
        <f>BL146+BL148+BL149+BL150</f>
        <v>2539401407.2089796</v>
      </c>
      <c r="BM152" s="66"/>
      <c r="BO152" s="162">
        <f>BO146+BO148+BO149+BO150</f>
        <v>2515283779.9967499</v>
      </c>
      <c r="BP152" s="66"/>
    </row>
    <row r="153" spans="2:68" s="167" customFormat="1" ht="12" x14ac:dyDescent="0.25">
      <c r="B153" s="238"/>
      <c r="D153" s="165"/>
      <c r="F153" s="237"/>
      <c r="G153" s="239"/>
      <c r="H153" s="162"/>
      <c r="I153" s="233"/>
      <c r="J153" s="162"/>
      <c r="K153" s="66"/>
      <c r="L153" s="233"/>
      <c r="M153" s="162"/>
      <c r="N153" s="66"/>
      <c r="O153" s="233"/>
      <c r="P153" s="162"/>
      <c r="Q153" s="66"/>
      <c r="R153" s="233"/>
      <c r="S153" s="162"/>
      <c r="T153" s="66"/>
      <c r="U153" s="233"/>
      <c r="V153" s="162"/>
      <c r="W153" s="66"/>
      <c r="X153" s="233"/>
      <c r="Y153" s="162"/>
      <c r="Z153" s="66"/>
      <c r="AA153" s="233"/>
      <c r="AB153" s="162"/>
      <c r="AC153" s="66"/>
      <c r="AD153" s="233"/>
      <c r="AE153" s="162"/>
      <c r="AF153" s="66"/>
      <c r="AH153" s="162"/>
      <c r="AI153" s="66"/>
      <c r="AJ153" s="162"/>
      <c r="AK153" s="162"/>
      <c r="AL153" s="66"/>
      <c r="AN153" s="162"/>
      <c r="AO153" s="66"/>
      <c r="AQ153" s="162"/>
      <c r="AR153" s="66"/>
      <c r="AT153" s="162"/>
      <c r="AU153" s="66"/>
      <c r="AW153" s="162"/>
      <c r="AX153" s="66"/>
      <c r="AZ153" s="162"/>
      <c r="BA153" s="66"/>
      <c r="BC153" s="162"/>
      <c r="BD153" s="66"/>
      <c r="BF153" s="162"/>
      <c r="BG153" s="66"/>
      <c r="BI153" s="162"/>
      <c r="BJ153" s="66"/>
      <c r="BL153" s="162"/>
      <c r="BM153" s="66"/>
      <c r="BO153" s="162"/>
      <c r="BP153" s="66"/>
    </row>
    <row r="154" spans="2:68" s="167" customFormat="1" ht="24" x14ac:dyDescent="0.25">
      <c r="B154" s="238"/>
      <c r="D154" s="169" t="s">
        <v>174</v>
      </c>
      <c r="F154" s="237"/>
      <c r="G154" s="239"/>
      <c r="H154" s="162">
        <f>'[2]ENSAYOS-OBRA'!G33</f>
        <v>32702817</v>
      </c>
      <c r="I154" s="233"/>
      <c r="J154" s="162">
        <f>$H$154</f>
        <v>32702817</v>
      </c>
      <c r="K154" s="225" t="s">
        <v>180</v>
      </c>
      <c r="L154" s="233"/>
      <c r="M154" s="162">
        <f>$H$154</f>
        <v>32702817</v>
      </c>
      <c r="N154" s="225" t="s">
        <v>180</v>
      </c>
      <c r="O154" s="233"/>
      <c r="P154" s="162">
        <v>29430317</v>
      </c>
      <c r="Q154" s="225" t="str">
        <f>IF(P154&lt;=$H154,"VÁLIDA","NO VÁLIDA")</f>
        <v>VÁLIDA</v>
      </c>
      <c r="R154" s="233"/>
      <c r="S154" s="162">
        <v>32702817</v>
      </c>
      <c r="T154" s="225" t="str">
        <f>IF(S154&lt;=$H154,"VÁLIDA","NO VÁLIDA")</f>
        <v>VÁLIDA</v>
      </c>
      <c r="U154" s="233"/>
      <c r="V154" s="162">
        <v>32702816.850000001</v>
      </c>
      <c r="W154" s="225" t="str">
        <f>IF(V154&lt;=$H154,"VÁLIDA","NO VÁLIDA")</f>
        <v>VÁLIDA</v>
      </c>
      <c r="X154" s="233"/>
      <c r="Y154" s="162">
        <v>32702817</v>
      </c>
      <c r="Z154" s="225" t="str">
        <f>IF(Y154&lt;=$H154,"VÁLIDA","NO VÁLIDA")</f>
        <v>VÁLIDA</v>
      </c>
      <c r="AA154" s="233"/>
      <c r="AB154" s="162">
        <v>32702817</v>
      </c>
      <c r="AC154" s="225" t="str">
        <f>IF(AB154&lt;=$H154,"VÁLIDA","NO VÁLIDA")</f>
        <v>VÁLIDA</v>
      </c>
      <c r="AD154" s="233"/>
      <c r="AE154" s="162">
        <v>32702817</v>
      </c>
      <c r="AF154" s="225" t="s">
        <v>180</v>
      </c>
      <c r="AH154" s="162">
        <v>29430317</v>
      </c>
      <c r="AI154" s="225" t="s">
        <v>180</v>
      </c>
      <c r="AJ154" s="162"/>
      <c r="AK154" s="162">
        <v>32702817</v>
      </c>
      <c r="AL154" s="225" t="str">
        <f>IF(AK154&lt;=$H154,"VÁLIDA","NO VÁLIDA")</f>
        <v>VÁLIDA</v>
      </c>
      <c r="AN154" s="162">
        <v>32702817</v>
      </c>
      <c r="AO154" s="225" t="s">
        <v>180</v>
      </c>
      <c r="AQ154" s="162">
        <v>32702817</v>
      </c>
      <c r="AR154" s="225" t="s">
        <v>180</v>
      </c>
      <c r="AT154" s="162">
        <v>32342374</v>
      </c>
      <c r="AU154" s="225" t="str">
        <f>IF(AT154&lt;=$H154,"VÁLIDA","NO VÁLIDA")</f>
        <v>VÁLIDA</v>
      </c>
      <c r="AW154" s="162">
        <v>32702817</v>
      </c>
      <c r="AX154" s="225" t="s">
        <v>180</v>
      </c>
      <c r="AZ154" s="162">
        <v>32702817</v>
      </c>
      <c r="BA154" s="225" t="str">
        <f>IF(AZ154&lt;=$H154,"VÁLIDA","NO VÁLIDA")</f>
        <v>VÁLIDA</v>
      </c>
      <c r="BC154" s="162">
        <v>32702817</v>
      </c>
      <c r="BD154" s="225" t="str">
        <f>IF(BC154&lt;=$H154,"VÁLIDA","NO VÁLIDA")</f>
        <v>VÁLIDA</v>
      </c>
      <c r="BF154" s="162">
        <v>32702817</v>
      </c>
      <c r="BG154" s="225" t="str">
        <f>IF(BF154&lt;=$H154,"VÁLIDA","NO VÁLIDA")</f>
        <v>VÁLIDA</v>
      </c>
      <c r="BI154" s="162">
        <v>32702817</v>
      </c>
      <c r="BJ154" s="225" t="str">
        <f>IF(BI154&lt;=$H154,"VÁLIDA","NO VÁLIDA")</f>
        <v>VÁLIDA</v>
      </c>
      <c r="BL154" s="162">
        <v>32702817</v>
      </c>
      <c r="BM154" s="225" t="str">
        <f>IF(BL154&lt;=$H154,"VÁLIDA","NO VÁLIDA")</f>
        <v>VÁLIDA</v>
      </c>
      <c r="BO154" s="162">
        <v>32393543</v>
      </c>
      <c r="BP154" s="225" t="str">
        <f>IF(BO154&lt;=$H154,"VÁLIDA","NO VÁLIDA")</f>
        <v>VÁLIDA</v>
      </c>
    </row>
    <row r="155" spans="2:68" s="167" customFormat="1" ht="12" x14ac:dyDescent="0.25">
      <c r="B155" s="238"/>
      <c r="D155" s="170"/>
      <c r="F155" s="237"/>
      <c r="G155" s="239"/>
      <c r="H155" s="162"/>
      <c r="I155" s="233"/>
      <c r="J155" s="162"/>
      <c r="K155" s="66"/>
      <c r="L155" s="233"/>
      <c r="M155" s="162"/>
      <c r="N155" s="66"/>
      <c r="O155" s="233"/>
      <c r="P155" s="162"/>
      <c r="Q155" s="66"/>
      <c r="R155" s="233"/>
      <c r="S155" s="162"/>
      <c r="T155" s="66"/>
      <c r="U155" s="233"/>
      <c r="V155" s="162"/>
      <c r="W155" s="66"/>
      <c r="X155" s="233"/>
      <c r="Y155" s="162"/>
      <c r="Z155" s="66"/>
      <c r="AA155" s="233"/>
      <c r="AB155" s="162"/>
      <c r="AC155" s="66"/>
      <c r="AD155" s="233"/>
      <c r="AE155" s="162"/>
      <c r="AF155" s="66"/>
      <c r="AH155" s="162"/>
      <c r="AI155" s="66"/>
      <c r="AJ155" s="162"/>
      <c r="AK155" s="162"/>
      <c r="AL155" s="66"/>
      <c r="AN155" s="162"/>
      <c r="AO155" s="66"/>
      <c r="AQ155" s="162"/>
      <c r="AR155" s="66"/>
      <c r="AT155" s="162"/>
      <c r="AU155" s="66"/>
      <c r="AW155" s="162"/>
      <c r="AX155" s="66"/>
      <c r="AZ155" s="162"/>
      <c r="BA155" s="66"/>
      <c r="BC155" s="162"/>
      <c r="BD155" s="66"/>
      <c r="BF155" s="162"/>
      <c r="BG155" s="66"/>
      <c r="BI155" s="162"/>
      <c r="BJ155" s="66"/>
      <c r="BL155" s="162"/>
      <c r="BM155" s="66"/>
      <c r="BO155" s="162"/>
      <c r="BP155" s="66"/>
    </row>
    <row r="156" spans="2:68" s="167" customFormat="1" ht="12" x14ac:dyDescent="0.25">
      <c r="B156" s="238"/>
      <c r="D156" s="169" t="s">
        <v>175</v>
      </c>
      <c r="F156" s="237"/>
      <c r="G156" s="239"/>
      <c r="H156" s="162">
        <f>SUM(H152:H154)</f>
        <v>2607314363.9067373</v>
      </c>
      <c r="I156" s="233"/>
      <c r="J156" s="162">
        <f>SUM(J152:J154)</f>
        <v>2568651081.7319875</v>
      </c>
      <c r="K156" s="225" t="str">
        <f>IF(J156&lt;=$H156,"VÁLIDA","NO VÁLIDA")</f>
        <v>VÁLIDA</v>
      </c>
      <c r="L156" s="233"/>
      <c r="M156" s="162">
        <f>SUM(M152:M154)</f>
        <v>2564920336.2370872</v>
      </c>
      <c r="N156" s="225" t="str">
        <f>IF(M156&lt;=$H156,"VÁLIDA","NO VÁLIDA")</f>
        <v>VÁLIDA</v>
      </c>
      <c r="O156" s="233"/>
      <c r="P156" s="162">
        <f>SUM(P152:P154)</f>
        <v>2519407121.6647573</v>
      </c>
      <c r="Q156" s="225" t="str">
        <f>IF(P156&lt;=$H156,"VÁLIDA","NO VÁLIDA")</f>
        <v>VÁLIDA</v>
      </c>
      <c r="R156" s="233"/>
      <c r="S156" s="162">
        <f>SUM(S152:S154)</f>
        <v>2556054988.2721424</v>
      </c>
      <c r="T156" s="225" t="str">
        <f>IF(S156&lt;=$H156,"VÁLIDA","NO VÁLIDA")</f>
        <v>VÁLIDA</v>
      </c>
      <c r="U156" s="233"/>
      <c r="V156" s="162">
        <f>SUM(V152:V154)</f>
        <v>2591261043.449007</v>
      </c>
      <c r="W156" s="225" t="str">
        <f>IF(V156&lt;=$H156,"VÁLIDA","NO VÁLIDA")</f>
        <v>VÁLIDA</v>
      </c>
      <c r="X156" s="233"/>
      <c r="Y156" s="162">
        <f>SUM(Y152:Y154)</f>
        <v>2471658883.6541376</v>
      </c>
      <c r="Z156" s="225" t="str">
        <f>IF(Y156&lt;=$H156,"VÁLIDA","NO VÁLIDA")</f>
        <v>VÁLIDA</v>
      </c>
      <c r="AA156" s="233"/>
      <c r="AB156" s="162">
        <f>SUM(AB152:AB154)</f>
        <v>2548055245.5280876</v>
      </c>
      <c r="AC156" s="225" t="str">
        <f>IF(AB156&lt;=$H156,"VÁLIDA","NO VÁLIDA")</f>
        <v>VÁLIDA</v>
      </c>
      <c r="AD156" s="233"/>
      <c r="AE156" s="162">
        <f>SUM(AE152:AE154)</f>
        <v>2570092512.9750323</v>
      </c>
      <c r="AF156" s="225" t="str">
        <f>IF(AE156&lt;=$H156,"VÁLIDA","NO VÁLIDA")</f>
        <v>VÁLIDA</v>
      </c>
      <c r="AH156" s="162">
        <f>SUM(AH152:AH154)+111111111111111</f>
        <v>111111293650987.36</v>
      </c>
      <c r="AI156" s="225" t="str">
        <f>IF(AH156&lt;=$H156,"VÁLIDA","NO VÁLIDA")</f>
        <v>NO VÁLIDA</v>
      </c>
      <c r="AJ156" s="162"/>
      <c r="AK156" s="162">
        <f>SUM(AK152:AK154)</f>
        <v>2423643631.0547576</v>
      </c>
      <c r="AL156" s="225" t="str">
        <f>IF(AK156&lt;=$H156,"VÁLIDA","NO VÁLIDA")</f>
        <v>VÁLIDA</v>
      </c>
      <c r="AN156" s="162">
        <f>SUM(AN152:AN154)</f>
        <v>2585287705.9295373</v>
      </c>
      <c r="AO156" s="225" t="str">
        <f>IF(AN156&lt;=$H156,"VÁLIDA","NO VÁLIDA")</f>
        <v>VÁLIDA</v>
      </c>
      <c r="AQ156" s="162">
        <f>SUM(AQ152:AQ154)</f>
        <v>2591261028.1959224</v>
      </c>
      <c r="AR156" s="225" t="str">
        <f>IF(AQ156&lt;=$H156,"VÁLIDA","NO VÁLIDA")</f>
        <v>VÁLIDA</v>
      </c>
      <c r="AT156" s="162">
        <f>SUM(AT152:AT154)</f>
        <v>2540946129.9941373</v>
      </c>
      <c r="AU156" s="225" t="str">
        <f>IF(AT156&lt;=$H156,"VÁLIDA","NO VÁLIDA")</f>
        <v>VÁLIDA</v>
      </c>
      <c r="AW156" s="162">
        <f>SUM(AW152:AW154)</f>
        <v>3361985935.2187619</v>
      </c>
      <c r="AX156" s="225" t="str">
        <f>IF(AW156&lt;=$H156,"VÁLIDA","NO VÁLIDA")</f>
        <v>NO VÁLIDA</v>
      </c>
      <c r="AZ156" s="162">
        <f>SUM(AZ152:AZ154)</f>
        <v>2591261028.1959224</v>
      </c>
      <c r="BA156" s="225" t="str">
        <f>IF(AZ156&lt;=$H156,"VÁLIDA","NO VÁLIDA")</f>
        <v>VÁLIDA</v>
      </c>
      <c r="BC156" s="162">
        <f>SUM(BC152:BC154)</f>
        <v>2492835417.4775562</v>
      </c>
      <c r="BD156" s="225" t="str">
        <f>IF(BC156&lt;=$H156,"VÁLIDA","NO VÁLIDA")</f>
        <v>VÁLIDA</v>
      </c>
      <c r="BF156" s="162">
        <f>SUM(BF152:BF154)</f>
        <v>2539388011.2242999</v>
      </c>
      <c r="BG156" s="225" t="str">
        <f>IF(BF156&lt;=$H156,"VÁLIDA","NO VÁLIDA")</f>
        <v>VÁLIDA</v>
      </c>
      <c r="BI156" s="162">
        <f>SUM(BI152:BI154)</f>
        <v>2567314632.4865589</v>
      </c>
      <c r="BJ156" s="225" t="str">
        <f>IF(BI156&lt;=$H156,"VÁLIDA","NO VÁLIDA")</f>
        <v>VÁLIDA</v>
      </c>
      <c r="BL156" s="162">
        <f>SUM(BL152:BL154)</f>
        <v>2572104224.2089796</v>
      </c>
      <c r="BM156" s="225" t="str">
        <f>IF(BL156&lt;=$H156,"VÁLIDA","NO VÁLIDA")</f>
        <v>VÁLIDA</v>
      </c>
      <c r="BO156" s="162">
        <f>SUM(BO152:BO154)</f>
        <v>2547677322.9967499</v>
      </c>
      <c r="BP156" s="225" t="str">
        <f>IF(BO156&lt;=$H156,"VÁLIDA","NO VÁLIDA")</f>
        <v>VÁLIDA</v>
      </c>
    </row>
    <row r="157" spans="2:68" s="167" customFormat="1" ht="12" x14ac:dyDescent="0.25">
      <c r="B157" s="238"/>
      <c r="D157" s="243"/>
      <c r="F157" s="237"/>
      <c r="G157" s="239"/>
      <c r="H157" s="233">
        <f>'[2]DATOS ENTRADA'!D29</f>
        <v>0</v>
      </c>
      <c r="I157" s="233"/>
      <c r="J157" s="233"/>
      <c r="K157" s="225" t="str">
        <f>IF(COUNTIF(K14:K156,"NO VÁLIDA")&gt;0,"NO VÁLIDA","VÁLIDA")</f>
        <v>NO VÁLIDA</v>
      </c>
      <c r="L157" s="233"/>
      <c r="M157" s="233"/>
      <c r="N157" s="225" t="str">
        <f>IF(COUNTIF(N14:N156,"NO VÁLIDA")&gt;0,"NO VÁLIDA","VÁLIDA")</f>
        <v>NO VÁLIDA</v>
      </c>
      <c r="O157" s="233"/>
      <c r="P157" s="233"/>
      <c r="Q157" s="225" t="str">
        <f>IF(COUNTIF(Q14:Q156,"NO VÁLIDA")&gt;0,"NO VÁLIDA","VÁLIDA")</f>
        <v>VÁLIDA</v>
      </c>
      <c r="R157" s="233"/>
      <c r="S157" s="233"/>
      <c r="T157" s="225" t="str">
        <f>IF(COUNTIF(T14:T156,"NO VÁLIDA")&gt;0,"NO VÁLIDA","VÁLIDA")</f>
        <v>VÁLIDA</v>
      </c>
      <c r="U157" s="233"/>
      <c r="V157" s="233"/>
      <c r="W157" s="225" t="str">
        <f>IF(COUNTIF(W14:W156,"NO VÁLIDA")&gt;0,"NO VÁLIDA","VÁLIDA")</f>
        <v>VÁLIDA</v>
      </c>
      <c r="X157" s="233"/>
      <c r="Y157" s="233"/>
      <c r="Z157" s="225" t="str">
        <f>IF(COUNTIF(Z14:Z156,"NO VÁLIDA")&gt;0,"NO VÁLIDA","VÁLIDA")</f>
        <v>VÁLIDA</v>
      </c>
      <c r="AA157" s="233"/>
      <c r="AB157" s="233"/>
      <c r="AC157" s="225" t="str">
        <f>IF(COUNTIF(AC14:AC156,"NO VÁLIDA")&gt;0,"NO VÁLIDA","VÁLIDA")</f>
        <v>VÁLIDA</v>
      </c>
      <c r="AD157" s="233"/>
      <c r="AE157" s="233"/>
      <c r="AF157" s="225" t="str">
        <f>IF(COUNTIF(AF14:AF156,"NO VÁLIDA")&gt;0,"NO VÁLIDA","VÁLIDA")</f>
        <v>NO VÁLIDA</v>
      </c>
      <c r="AI157" s="225" t="str">
        <f>IF(COUNTIF(AI14:AI156,"NO VÁLIDA")&gt;0,"NO VÁLIDA","VÁLIDA")</f>
        <v>NO VÁLIDA</v>
      </c>
      <c r="AL157" s="225" t="str">
        <f>IF(COUNTIF(AL14:AL156,"NO VÁLIDA")&gt;0,"NO VÁLIDA","VÁLIDA")</f>
        <v>VÁLIDA</v>
      </c>
      <c r="AO157" s="225" t="str">
        <f>IF(COUNTIF(AO14:AO156,"NO VÁLIDA")&gt;0,"NO VÁLIDA","VÁLIDA")</f>
        <v>NO VÁLIDA</v>
      </c>
      <c r="AR157" s="225" t="str">
        <f>IF(COUNTIF(AR14:AR156,"NO VÁLIDA")&gt;0,"NO VÁLIDA","VÁLIDA")</f>
        <v>NO VÁLIDA</v>
      </c>
      <c r="AU157" s="225" t="str">
        <f>IF(COUNTIF(AU14:AU156,"NO VÁLIDA")&gt;0,"NO VÁLIDA","VÁLIDA")</f>
        <v>NO VÁLIDA</v>
      </c>
      <c r="AX157" s="225" t="str">
        <f>IF(COUNTIF(AX14:AX156,"NO VÁLIDA")&gt;0,"NO VÁLIDA","VÁLIDA")</f>
        <v>NO VÁLIDA</v>
      </c>
      <c r="BA157" s="225" t="str">
        <f>IF(COUNTIF(BA14:BA156,"NO VÁLIDA")&gt;0,"NO VÁLIDA","VÁLIDA")</f>
        <v>VÁLIDA</v>
      </c>
      <c r="BD157" s="225" t="str">
        <f>IF(COUNTIF(BD14:BD156,"NO VÁLIDA")&gt;0,"NO VÁLIDA","VÁLIDA")</f>
        <v>VÁLIDA</v>
      </c>
      <c r="BG157" s="225" t="str">
        <f>IF(COUNTIF(BG14:BG156,"NO VÁLIDA")&gt;0,"NO VÁLIDA","VÁLIDA")</f>
        <v>VÁLIDA</v>
      </c>
      <c r="BJ157" s="225" t="str">
        <f>IF(COUNTIF(BJ14:BJ156,"NO VÁLIDA")&gt;0,"NO VÁLIDA","VÁLIDA")</f>
        <v>VÁLIDA</v>
      </c>
      <c r="BM157" s="225" t="str">
        <f>IF(COUNTIF(BM14:BM156,"NO VÁLIDA")&gt;0,"NO VÁLIDA","VÁLIDA")</f>
        <v>VÁLIDA</v>
      </c>
      <c r="BP157" s="225" t="str">
        <f>IF(COUNTIF(BP14:BP156,"NO VÁLIDA")&gt;0,"NO VÁLIDA","VÁLIDA")</f>
        <v>VÁLIDA</v>
      </c>
    </row>
    <row r="158" spans="2:68" x14ac:dyDescent="0.25">
      <c r="J158" s="65"/>
      <c r="M158" s="65"/>
      <c r="P158" s="65"/>
      <c r="S158" s="65"/>
      <c r="V158" s="65"/>
      <c r="Y158" s="65"/>
      <c r="AB158" s="65"/>
      <c r="AE158" s="65"/>
      <c r="AH158" s="65"/>
      <c r="AK158" s="65"/>
      <c r="AN158" s="65"/>
      <c r="AQ158" s="65"/>
      <c r="AT158" s="65"/>
      <c r="AW158" s="65"/>
      <c r="AZ158" s="65"/>
      <c r="BC158" s="65"/>
      <c r="BF158" s="65"/>
      <c r="BI158" s="65"/>
      <c r="BL158" s="65"/>
      <c r="BO158" s="65"/>
    </row>
    <row r="159" spans="2:68" x14ac:dyDescent="0.25">
      <c r="H159" s="171"/>
      <c r="J159" s="171"/>
      <c r="K159" s="223"/>
      <c r="M159" s="171"/>
      <c r="N159" s="223"/>
      <c r="P159" s="171"/>
      <c r="Q159" s="223"/>
      <c r="S159" s="171"/>
      <c r="T159" s="223"/>
      <c r="V159" s="171"/>
      <c r="W159" s="223"/>
      <c r="Y159" s="171"/>
      <c r="Z159" s="223"/>
      <c r="AB159" s="171"/>
      <c r="AC159" s="223"/>
      <c r="AE159" s="171"/>
      <c r="AF159" s="223"/>
      <c r="AH159" s="171"/>
      <c r="AI159" s="223"/>
      <c r="AK159" s="171"/>
      <c r="AL159" s="223"/>
      <c r="AN159" s="171"/>
      <c r="AO159" s="223"/>
      <c r="AQ159" s="171"/>
      <c r="AR159" s="223"/>
      <c r="AT159" s="171"/>
      <c r="AU159" s="223"/>
      <c r="AW159" s="171"/>
      <c r="AX159" s="223"/>
      <c r="AZ159" s="171"/>
      <c r="BA159" s="223"/>
      <c r="BC159" s="171"/>
      <c r="BD159" s="223"/>
      <c r="BF159" s="171"/>
      <c r="BG159" s="223"/>
      <c r="BI159" s="171"/>
      <c r="BJ159" s="223"/>
      <c r="BL159" s="171"/>
      <c r="BM159" s="223"/>
      <c r="BO159" s="171"/>
      <c r="BP159" s="223"/>
    </row>
    <row r="160" spans="2:68" x14ac:dyDescent="0.25">
      <c r="C160" s="70"/>
      <c r="D160" s="172"/>
      <c r="J160" s="65"/>
      <c r="K160" s="173"/>
      <c r="M160" s="65"/>
      <c r="N160" s="173"/>
      <c r="P160" s="65"/>
      <c r="Q160" s="173"/>
      <c r="S160" s="65"/>
      <c r="T160" s="173"/>
      <c r="V160" s="65"/>
      <c r="W160" s="173"/>
      <c r="Y160" s="65"/>
      <c r="Z160" s="173"/>
      <c r="AB160" s="65"/>
      <c r="AC160" s="173"/>
      <c r="AE160" s="65"/>
      <c r="AF160" s="173"/>
      <c r="AI160" s="173"/>
      <c r="AL160" s="173"/>
      <c r="AO160" s="173"/>
      <c r="AR160" s="173"/>
      <c r="AU160" s="173"/>
      <c r="AX160" s="173"/>
      <c r="BA160" s="173"/>
      <c r="BD160" s="173"/>
      <c r="BG160" s="173"/>
      <c r="BJ160" s="173"/>
      <c r="BM160" s="173"/>
      <c r="BP160" s="173"/>
    </row>
    <row r="161" spans="1:31" ht="14.25" x14ac:dyDescent="0.25">
      <c r="A161" s="167"/>
      <c r="B161" s="174"/>
      <c r="C161" s="70"/>
      <c r="D161" s="175"/>
      <c r="E161" s="176"/>
      <c r="F161" s="177"/>
      <c r="G161" s="178"/>
      <c r="H161" s="179"/>
      <c r="J161" s="179"/>
      <c r="M161" s="179"/>
      <c r="P161" s="179"/>
      <c r="S161" s="179"/>
      <c r="V161" s="179"/>
      <c r="Y161" s="179"/>
      <c r="AB161" s="179"/>
      <c r="AE161" s="179"/>
    </row>
    <row r="162" spans="1:31" ht="14.25" x14ac:dyDescent="0.25">
      <c r="A162" s="167"/>
      <c r="B162" s="174"/>
      <c r="C162" s="70"/>
      <c r="D162" s="175"/>
      <c r="E162" s="176"/>
      <c r="F162" s="275" t="e">
        <f>VLOOKUP(A163,'[2]DATOS ENTRADA'!#REF!,2,FALSE)</f>
        <v>#REF!</v>
      </c>
      <c r="G162" s="275"/>
      <c r="H162" s="275"/>
    </row>
    <row r="163" spans="1:31" ht="14.25" x14ac:dyDescent="0.25">
      <c r="A163" s="167">
        <v>12</v>
      </c>
      <c r="B163" s="174"/>
      <c r="C163" s="70"/>
      <c r="D163" s="175"/>
      <c r="E163" s="176"/>
      <c r="F163" s="286" t="e">
        <f>VLOOKUP(A163,'[2]DATOS ENTRADA'!#REF!,4,FALSE)</f>
        <v>#REF!</v>
      </c>
      <c r="G163" s="286"/>
      <c r="H163" s="286"/>
    </row>
    <row r="164" spans="1:31" ht="14.25" x14ac:dyDescent="0.25">
      <c r="A164" s="167"/>
      <c r="B164" s="174"/>
      <c r="C164" s="70"/>
      <c r="D164" s="175"/>
      <c r="E164" s="176"/>
      <c r="F164" s="180"/>
      <c r="G164" s="181"/>
      <c r="H164" s="182"/>
    </row>
    <row r="165" spans="1:31" ht="14.25" x14ac:dyDescent="0.25">
      <c r="A165" s="167"/>
      <c r="B165" s="174"/>
      <c r="C165" s="70"/>
      <c r="D165" s="175"/>
      <c r="E165" s="176"/>
      <c r="F165" s="180"/>
      <c r="G165" s="181"/>
      <c r="H165" s="182"/>
    </row>
    <row r="166" spans="1:31" ht="14.25" x14ac:dyDescent="0.25">
      <c r="A166" s="167"/>
      <c r="B166" s="174"/>
      <c r="C166" s="70"/>
      <c r="D166" s="175"/>
      <c r="E166" s="176"/>
      <c r="F166" s="180"/>
      <c r="G166" s="181"/>
      <c r="H166" s="182"/>
    </row>
    <row r="167" spans="1:31" ht="14.25" x14ac:dyDescent="0.25">
      <c r="A167" s="167"/>
      <c r="B167" s="174"/>
      <c r="C167" s="70"/>
      <c r="D167" s="183"/>
      <c r="E167" s="176"/>
      <c r="F167" s="180"/>
      <c r="G167" s="181"/>
      <c r="H167" s="182"/>
    </row>
    <row r="168" spans="1:31" ht="14.25" x14ac:dyDescent="0.25">
      <c r="A168" s="167"/>
      <c r="B168" s="174"/>
      <c r="C168" s="70"/>
      <c r="D168" s="183"/>
      <c r="E168" s="176"/>
      <c r="F168" s="180"/>
      <c r="G168" s="181"/>
      <c r="H168" s="182"/>
    </row>
    <row r="169" spans="1:31" ht="14.25" x14ac:dyDescent="0.25">
      <c r="A169" s="167"/>
      <c r="B169" s="174"/>
      <c r="C169" s="70"/>
      <c r="D169" s="175"/>
      <c r="E169" s="176"/>
      <c r="F169" s="180"/>
      <c r="G169" s="181"/>
      <c r="H169" s="182"/>
    </row>
    <row r="170" spans="1:31" ht="14.25" customHeight="1" x14ac:dyDescent="0.25">
      <c r="A170" s="167">
        <v>1</v>
      </c>
      <c r="B170" s="184"/>
      <c r="C170" s="185"/>
      <c r="D170" s="186" t="e">
        <f>VLOOKUP(A170,'[2]DATOS ENTRADA'!#REF!,2,FALSE)</f>
        <v>#REF!</v>
      </c>
      <c r="E170" s="176"/>
      <c r="F170" s="275" t="e">
        <f>VLOOKUP(A171,'[2]DATOS ENTRADA'!#REF!,2,FALSE)</f>
        <v>#REF!</v>
      </c>
      <c r="G170" s="275"/>
      <c r="H170" s="275"/>
    </row>
    <row r="171" spans="1:31" ht="14.25" customHeight="1" x14ac:dyDescent="0.25">
      <c r="A171" s="167">
        <v>11</v>
      </c>
      <c r="B171" s="184"/>
      <c r="C171" s="185"/>
      <c r="D171" s="187" t="e">
        <f>VLOOKUP(A170,'[2]DATOS ENTRADA'!#REF!,4,FALSE)</f>
        <v>#REF!</v>
      </c>
      <c r="E171" s="176"/>
      <c r="F171" s="276" t="e">
        <f>VLOOKUP(A171,'[2]DATOS ENTRADA'!#REF!,4,FALSE)</f>
        <v>#REF!</v>
      </c>
      <c r="G171" s="276"/>
      <c r="H171" s="276"/>
    </row>
  </sheetData>
  <mergeCells count="70">
    <mergeCell ref="BK11:BM11"/>
    <mergeCell ref="BN11:BP11"/>
    <mergeCell ref="M10:N10"/>
    <mergeCell ref="P10:Q10"/>
    <mergeCell ref="S10:T10"/>
    <mergeCell ref="AS11:AU11"/>
    <mergeCell ref="AV11:AX11"/>
    <mergeCell ref="AY11:BA11"/>
    <mergeCell ref="BB11:BD11"/>
    <mergeCell ref="BE11:BG11"/>
    <mergeCell ref="BH11:BJ11"/>
    <mergeCell ref="AA11:AC11"/>
    <mergeCell ref="AD11:AF11"/>
    <mergeCell ref="AE10:AF10"/>
    <mergeCell ref="V10:W10"/>
    <mergeCell ref="Y10:Z10"/>
    <mergeCell ref="AG11:AI11"/>
    <mergeCell ref="AJ11:AL11"/>
    <mergeCell ref="AM11:AO11"/>
    <mergeCell ref="AB10:AC10"/>
    <mergeCell ref="AP11:AR11"/>
    <mergeCell ref="X11:Z11"/>
    <mergeCell ref="L12:N12"/>
    <mergeCell ref="O12:Q12"/>
    <mergeCell ref="BE12:BG12"/>
    <mergeCell ref="BH12:BJ12"/>
    <mergeCell ref="U12:W12"/>
    <mergeCell ref="X12:Z12"/>
    <mergeCell ref="AA12:AC12"/>
    <mergeCell ref="AD12:AF12"/>
    <mergeCell ref="AG12:AI12"/>
    <mergeCell ref="AJ12:AL12"/>
    <mergeCell ref="R12:T12"/>
    <mergeCell ref="L11:N11"/>
    <mergeCell ref="O11:Q11"/>
    <mergeCell ref="R11:T11"/>
    <mergeCell ref="U11:W11"/>
    <mergeCell ref="BK12:BM12"/>
    <mergeCell ref="BN12:BP12"/>
    <mergeCell ref="AM12:AO12"/>
    <mergeCell ref="AP12:AR12"/>
    <mergeCell ref="AS12:AU12"/>
    <mergeCell ref="AV12:AX12"/>
    <mergeCell ref="AY12:BA12"/>
    <mergeCell ref="BB12:BD12"/>
    <mergeCell ref="F170:H170"/>
    <mergeCell ref="F171:H171"/>
    <mergeCell ref="J10:K10"/>
    <mergeCell ref="B11:H11"/>
    <mergeCell ref="D15:H15"/>
    <mergeCell ref="B129:H129"/>
    <mergeCell ref="F162:H162"/>
    <mergeCell ref="F163:H163"/>
    <mergeCell ref="I12:K12"/>
    <mergeCell ref="I11:K11"/>
    <mergeCell ref="B6:H6"/>
    <mergeCell ref="B7:H7"/>
    <mergeCell ref="B8:H8"/>
    <mergeCell ref="B9:H9"/>
    <mergeCell ref="B10:C10"/>
    <mergeCell ref="D10:H10"/>
    <mergeCell ref="B2:G2"/>
    <mergeCell ref="H2:H5"/>
    <mergeCell ref="B3:G3"/>
    <mergeCell ref="B4:C4"/>
    <mergeCell ref="D4:E4"/>
    <mergeCell ref="F4:G4"/>
    <mergeCell ref="B5:C5"/>
    <mergeCell ref="D5:E5"/>
    <mergeCell ref="F5:G5"/>
  </mergeCells>
  <conditionalFormatting sqref="K156:K157">
    <cfRule type="containsText" dxfId="664" priority="611" operator="containsText" text="RECHAZADA">
      <formula>NOT(ISERROR(SEARCH("RECHAZADA",K156)))</formula>
    </cfRule>
  </conditionalFormatting>
  <conditionalFormatting sqref="K156:K157">
    <cfRule type="containsText" dxfId="663" priority="610" operator="containsText" text="RECHAZADA">
      <formula>NOT(ISERROR(SEARCH("RECHAZADA",K156)))</formula>
    </cfRule>
  </conditionalFormatting>
  <conditionalFormatting sqref="K156:K157">
    <cfRule type="containsText" dxfId="662" priority="609" operator="containsText" text="RECHAZADA">
      <formula>NOT(ISERROR(SEARCH("RECHAZADA",K156)))</formula>
    </cfRule>
  </conditionalFormatting>
  <conditionalFormatting sqref="K156:K157">
    <cfRule type="cellIs" dxfId="661" priority="608" operator="equal">
      <formula>"NO VÁLIDA"</formula>
    </cfRule>
  </conditionalFormatting>
  <conditionalFormatting sqref="K146">
    <cfRule type="containsText" dxfId="660" priority="607" operator="containsText" text="RECHAZADA">
      <formula>NOT(ISERROR(SEARCH("RECHAZADA",K146)))</formula>
    </cfRule>
  </conditionalFormatting>
  <conditionalFormatting sqref="K146">
    <cfRule type="containsText" dxfId="659" priority="606" operator="containsText" text="RECHAZADA">
      <formula>NOT(ISERROR(SEARCH("RECHAZADA",K146)))</formula>
    </cfRule>
  </conditionalFormatting>
  <conditionalFormatting sqref="K146">
    <cfRule type="containsText" dxfId="658" priority="605" operator="containsText" text="RECHAZADA">
      <formula>NOT(ISERROR(SEARCH("RECHAZADA",K146)))</formula>
    </cfRule>
  </conditionalFormatting>
  <conditionalFormatting sqref="K146">
    <cfRule type="cellIs" dxfId="657" priority="604" operator="equal">
      <formula>"NO VÁLIDA"</formula>
    </cfRule>
  </conditionalFormatting>
  <conditionalFormatting sqref="K141:K143">
    <cfRule type="containsText" dxfId="656" priority="603" operator="containsText" text="RECHAZADA">
      <formula>NOT(ISERROR(SEARCH("RECHAZADA",K141)))</formula>
    </cfRule>
  </conditionalFormatting>
  <conditionalFormatting sqref="K141:K143">
    <cfRule type="containsText" dxfId="655" priority="602" operator="containsText" text="RECHAZADA">
      <formula>NOT(ISERROR(SEARCH("RECHAZADA",K141)))</formula>
    </cfRule>
  </conditionalFormatting>
  <conditionalFormatting sqref="K141:K143">
    <cfRule type="containsText" dxfId="654" priority="601" operator="containsText" text="RECHAZADA">
      <formula>NOT(ISERROR(SEARCH("RECHAZADA",K141)))</formula>
    </cfRule>
  </conditionalFormatting>
  <conditionalFormatting sqref="K141:K143">
    <cfRule type="cellIs" dxfId="653" priority="600" operator="equal">
      <formula>"NO VÁLIDA"</formula>
    </cfRule>
  </conditionalFormatting>
  <conditionalFormatting sqref="K14:K139">
    <cfRule type="containsText" dxfId="652" priority="599" operator="containsText" text="RECHAZADA">
      <formula>NOT(ISERROR(SEARCH("RECHAZADA",K14)))</formula>
    </cfRule>
  </conditionalFormatting>
  <conditionalFormatting sqref="K14:K139">
    <cfRule type="containsText" dxfId="651" priority="598" operator="containsText" text="RECHAZADA">
      <formula>NOT(ISERROR(SEARCH("RECHAZADA",K14)))</formula>
    </cfRule>
  </conditionalFormatting>
  <conditionalFormatting sqref="K14:K139">
    <cfRule type="containsText" dxfId="650" priority="597" operator="containsText" text="RECHAZADA">
      <formula>NOT(ISERROR(SEARCH("RECHAZADA",K14)))</formula>
    </cfRule>
  </conditionalFormatting>
  <conditionalFormatting sqref="K14:K139">
    <cfRule type="cellIs" dxfId="649" priority="596" operator="equal">
      <formula>"NO VÁLIDA"</formula>
    </cfRule>
  </conditionalFormatting>
  <conditionalFormatting sqref="N146">
    <cfRule type="containsText" dxfId="648" priority="582" operator="containsText" text="RECHAZADA">
      <formula>NOT(ISERROR(SEARCH("RECHAZADA",N146)))</formula>
    </cfRule>
  </conditionalFormatting>
  <conditionalFormatting sqref="N146">
    <cfRule type="containsText" dxfId="647" priority="581" operator="containsText" text="RECHAZADA">
      <formula>NOT(ISERROR(SEARCH("RECHAZADA",N146)))</formula>
    </cfRule>
  </conditionalFormatting>
  <conditionalFormatting sqref="N146">
    <cfRule type="containsText" dxfId="646" priority="580" operator="containsText" text="RECHAZADA">
      <formula>NOT(ISERROR(SEARCH("RECHAZADA",N146)))</formula>
    </cfRule>
  </conditionalFormatting>
  <conditionalFormatting sqref="N146">
    <cfRule type="cellIs" dxfId="645" priority="579" operator="equal">
      <formula>"NO VÁLIDA"</formula>
    </cfRule>
  </conditionalFormatting>
  <conditionalFormatting sqref="N141:N143">
    <cfRule type="containsText" dxfId="644" priority="578" operator="containsText" text="RECHAZADA">
      <formula>NOT(ISERROR(SEARCH("RECHAZADA",N141)))</formula>
    </cfRule>
  </conditionalFormatting>
  <conditionalFormatting sqref="N141:N143">
    <cfRule type="containsText" dxfId="643" priority="577" operator="containsText" text="RECHAZADA">
      <formula>NOT(ISERROR(SEARCH("RECHAZADA",N141)))</formula>
    </cfRule>
  </conditionalFormatting>
  <conditionalFormatting sqref="N141:N143">
    <cfRule type="containsText" dxfId="642" priority="576" operator="containsText" text="RECHAZADA">
      <formula>NOT(ISERROR(SEARCH("RECHAZADA",N141)))</formula>
    </cfRule>
  </conditionalFormatting>
  <conditionalFormatting sqref="N141:N143">
    <cfRule type="cellIs" dxfId="641" priority="575" operator="equal">
      <formula>"NO VÁLIDA"</formula>
    </cfRule>
  </conditionalFormatting>
  <conditionalFormatting sqref="N14:N139">
    <cfRule type="containsText" dxfId="640" priority="574" operator="containsText" text="RECHAZADA">
      <formula>NOT(ISERROR(SEARCH("RECHAZADA",N14)))</formula>
    </cfRule>
  </conditionalFormatting>
  <conditionalFormatting sqref="N14:N139">
    <cfRule type="containsText" dxfId="639" priority="573" operator="containsText" text="RECHAZADA">
      <formula>NOT(ISERROR(SEARCH("RECHAZADA",N14)))</formula>
    </cfRule>
  </conditionalFormatting>
  <conditionalFormatting sqref="N14:N139">
    <cfRule type="containsText" dxfId="638" priority="572" operator="containsText" text="RECHAZADA">
      <formula>NOT(ISERROR(SEARCH("RECHAZADA",N14)))</formula>
    </cfRule>
  </conditionalFormatting>
  <conditionalFormatting sqref="N14:N139">
    <cfRule type="cellIs" dxfId="637" priority="571" operator="equal">
      <formula>"NO VÁLIDA"</formula>
    </cfRule>
  </conditionalFormatting>
  <conditionalFormatting sqref="Q148:Q150">
    <cfRule type="containsText" dxfId="636" priority="570" operator="containsText" text="RECHAZADA">
      <formula>NOT(ISERROR(SEARCH("RECHAZADA",Q148)))</formula>
    </cfRule>
  </conditionalFormatting>
  <conditionalFormatting sqref="Q148:Q150">
    <cfRule type="containsText" dxfId="635" priority="569" operator="containsText" text="RECHAZADA">
      <formula>NOT(ISERROR(SEARCH("RECHAZADA",Q148)))</formula>
    </cfRule>
  </conditionalFormatting>
  <conditionalFormatting sqref="Q148:Q150">
    <cfRule type="containsText" dxfId="634" priority="568" operator="containsText" text="RECHAZADA">
      <formula>NOT(ISERROR(SEARCH("RECHAZADA",Q148)))</formula>
    </cfRule>
  </conditionalFormatting>
  <conditionalFormatting sqref="Q148">
    <cfRule type="cellIs" dxfId="633" priority="567" operator="equal">
      <formula>"NO VÁLIDA"</formula>
    </cfRule>
  </conditionalFormatting>
  <conditionalFormatting sqref="Q149:Q150">
    <cfRule type="cellIs" dxfId="632" priority="566" operator="equal">
      <formula>"NO VÁLIDA"</formula>
    </cfRule>
  </conditionalFormatting>
  <conditionalFormatting sqref="Q154">
    <cfRule type="containsText" dxfId="631" priority="565" operator="containsText" text="RECHAZADA">
      <formula>NOT(ISERROR(SEARCH("RECHAZADA",Q154)))</formula>
    </cfRule>
  </conditionalFormatting>
  <conditionalFormatting sqref="Q154">
    <cfRule type="containsText" dxfId="630" priority="564" operator="containsText" text="RECHAZADA">
      <formula>NOT(ISERROR(SEARCH("RECHAZADA",Q154)))</formula>
    </cfRule>
  </conditionalFormatting>
  <conditionalFormatting sqref="Q154">
    <cfRule type="containsText" dxfId="629" priority="563" operator="containsText" text="RECHAZADA">
      <formula>NOT(ISERROR(SEARCH("RECHAZADA",Q154)))</formula>
    </cfRule>
  </conditionalFormatting>
  <conditionalFormatting sqref="Q154">
    <cfRule type="cellIs" dxfId="628" priority="562" operator="equal">
      <formula>"NO VÁLIDA"</formula>
    </cfRule>
  </conditionalFormatting>
  <conditionalFormatting sqref="Q156:Q157">
    <cfRule type="containsText" dxfId="627" priority="561" operator="containsText" text="RECHAZADA">
      <formula>NOT(ISERROR(SEARCH("RECHAZADA",Q156)))</formula>
    </cfRule>
  </conditionalFormatting>
  <conditionalFormatting sqref="Q156:Q157">
    <cfRule type="containsText" dxfId="626" priority="560" operator="containsText" text="RECHAZADA">
      <formula>NOT(ISERROR(SEARCH("RECHAZADA",Q156)))</formula>
    </cfRule>
  </conditionalFormatting>
  <conditionalFormatting sqref="Q156:Q157">
    <cfRule type="containsText" dxfId="625" priority="559" operator="containsText" text="RECHAZADA">
      <formula>NOT(ISERROR(SEARCH("RECHAZADA",Q156)))</formula>
    </cfRule>
  </conditionalFormatting>
  <conditionalFormatting sqref="Q156:Q157">
    <cfRule type="cellIs" dxfId="624" priority="558" operator="equal">
      <formula>"NO VÁLIDA"</formula>
    </cfRule>
  </conditionalFormatting>
  <conditionalFormatting sqref="Q146">
    <cfRule type="containsText" dxfId="623" priority="557" operator="containsText" text="RECHAZADA">
      <formula>NOT(ISERROR(SEARCH("RECHAZADA",Q146)))</formula>
    </cfRule>
  </conditionalFormatting>
  <conditionalFormatting sqref="Q146">
    <cfRule type="containsText" dxfId="622" priority="556" operator="containsText" text="RECHAZADA">
      <formula>NOT(ISERROR(SEARCH("RECHAZADA",Q146)))</formula>
    </cfRule>
  </conditionalFormatting>
  <conditionalFormatting sqref="Q146">
    <cfRule type="containsText" dxfId="621" priority="555" operator="containsText" text="RECHAZADA">
      <formula>NOT(ISERROR(SEARCH("RECHAZADA",Q146)))</formula>
    </cfRule>
  </conditionalFormatting>
  <conditionalFormatting sqref="Q146">
    <cfRule type="cellIs" dxfId="620" priority="554" operator="equal">
      <formula>"NO VÁLIDA"</formula>
    </cfRule>
  </conditionalFormatting>
  <conditionalFormatting sqref="Q141:Q143">
    <cfRule type="containsText" dxfId="619" priority="553" operator="containsText" text="RECHAZADA">
      <formula>NOT(ISERROR(SEARCH("RECHAZADA",Q141)))</formula>
    </cfRule>
  </conditionalFormatting>
  <conditionalFormatting sqref="Q141:Q143">
    <cfRule type="containsText" dxfId="618" priority="552" operator="containsText" text="RECHAZADA">
      <formula>NOT(ISERROR(SEARCH("RECHAZADA",Q141)))</formula>
    </cfRule>
  </conditionalFormatting>
  <conditionalFormatting sqref="Q141:Q143">
    <cfRule type="containsText" dxfId="617" priority="551" operator="containsText" text="RECHAZADA">
      <formula>NOT(ISERROR(SEARCH("RECHAZADA",Q141)))</formula>
    </cfRule>
  </conditionalFormatting>
  <conditionalFormatting sqref="Q141:Q143">
    <cfRule type="cellIs" dxfId="616" priority="550" operator="equal">
      <formula>"NO VÁLIDA"</formula>
    </cfRule>
  </conditionalFormatting>
  <conditionalFormatting sqref="Q14:Q139">
    <cfRule type="containsText" dxfId="615" priority="549" operator="containsText" text="RECHAZADA">
      <formula>NOT(ISERROR(SEARCH("RECHAZADA",Q14)))</formula>
    </cfRule>
  </conditionalFormatting>
  <conditionalFormatting sqref="Q14:Q139">
    <cfRule type="containsText" dxfId="614" priority="548" operator="containsText" text="RECHAZADA">
      <formula>NOT(ISERROR(SEARCH("RECHAZADA",Q14)))</formula>
    </cfRule>
  </conditionalFormatting>
  <conditionalFormatting sqref="Q14:Q139">
    <cfRule type="containsText" dxfId="613" priority="547" operator="containsText" text="RECHAZADA">
      <formula>NOT(ISERROR(SEARCH("RECHAZADA",Q14)))</formula>
    </cfRule>
  </conditionalFormatting>
  <conditionalFormatting sqref="Q14:Q139">
    <cfRule type="cellIs" dxfId="612" priority="546" operator="equal">
      <formula>"NO VÁLIDA"</formula>
    </cfRule>
  </conditionalFormatting>
  <conditionalFormatting sqref="T148:T150">
    <cfRule type="containsText" dxfId="611" priority="545" operator="containsText" text="RECHAZADA">
      <formula>NOT(ISERROR(SEARCH("RECHAZADA",T148)))</formula>
    </cfRule>
  </conditionalFormatting>
  <conditionalFormatting sqref="T148:T150">
    <cfRule type="containsText" dxfId="610" priority="544" operator="containsText" text="RECHAZADA">
      <formula>NOT(ISERROR(SEARCH("RECHAZADA",T148)))</formula>
    </cfRule>
  </conditionalFormatting>
  <conditionalFormatting sqref="T148:T150">
    <cfRule type="containsText" dxfId="609" priority="543" operator="containsText" text="RECHAZADA">
      <formula>NOT(ISERROR(SEARCH("RECHAZADA",T148)))</formula>
    </cfRule>
  </conditionalFormatting>
  <conditionalFormatting sqref="T148">
    <cfRule type="cellIs" dxfId="608" priority="542" operator="equal">
      <formula>"NO VÁLIDA"</formula>
    </cfRule>
  </conditionalFormatting>
  <conditionalFormatting sqref="T149:T150">
    <cfRule type="cellIs" dxfId="607" priority="541" operator="equal">
      <formula>"NO VÁLIDA"</formula>
    </cfRule>
  </conditionalFormatting>
  <conditionalFormatting sqref="T154">
    <cfRule type="containsText" dxfId="606" priority="540" operator="containsText" text="RECHAZADA">
      <formula>NOT(ISERROR(SEARCH("RECHAZADA",T154)))</formula>
    </cfRule>
  </conditionalFormatting>
  <conditionalFormatting sqref="T154">
    <cfRule type="containsText" dxfId="605" priority="539" operator="containsText" text="RECHAZADA">
      <formula>NOT(ISERROR(SEARCH("RECHAZADA",T154)))</formula>
    </cfRule>
  </conditionalFormatting>
  <conditionalFormatting sqref="T154">
    <cfRule type="containsText" dxfId="604" priority="538" operator="containsText" text="RECHAZADA">
      <formula>NOT(ISERROR(SEARCH("RECHAZADA",T154)))</formula>
    </cfRule>
  </conditionalFormatting>
  <conditionalFormatting sqref="T154">
    <cfRule type="cellIs" dxfId="603" priority="537" operator="equal">
      <formula>"NO VÁLIDA"</formula>
    </cfRule>
  </conditionalFormatting>
  <conditionalFormatting sqref="T156:T157">
    <cfRule type="containsText" dxfId="602" priority="536" operator="containsText" text="RECHAZADA">
      <formula>NOT(ISERROR(SEARCH("RECHAZADA",T156)))</formula>
    </cfRule>
  </conditionalFormatting>
  <conditionalFormatting sqref="T156:T157">
    <cfRule type="containsText" dxfId="601" priority="535" operator="containsText" text="RECHAZADA">
      <formula>NOT(ISERROR(SEARCH("RECHAZADA",T156)))</formula>
    </cfRule>
  </conditionalFormatting>
  <conditionalFormatting sqref="T156:T157">
    <cfRule type="containsText" dxfId="600" priority="534" operator="containsText" text="RECHAZADA">
      <formula>NOT(ISERROR(SEARCH("RECHAZADA",T156)))</formula>
    </cfRule>
  </conditionalFormatting>
  <conditionalFormatting sqref="T156:T157">
    <cfRule type="cellIs" dxfId="599" priority="533" operator="equal">
      <formula>"NO VÁLIDA"</formula>
    </cfRule>
  </conditionalFormatting>
  <conditionalFormatting sqref="T146">
    <cfRule type="containsText" dxfId="598" priority="532" operator="containsText" text="RECHAZADA">
      <formula>NOT(ISERROR(SEARCH("RECHAZADA",T146)))</formula>
    </cfRule>
  </conditionalFormatting>
  <conditionalFormatting sqref="T146">
    <cfRule type="containsText" dxfId="597" priority="531" operator="containsText" text="RECHAZADA">
      <formula>NOT(ISERROR(SEARCH("RECHAZADA",T146)))</formula>
    </cfRule>
  </conditionalFormatting>
  <conditionalFormatting sqref="T146">
    <cfRule type="containsText" dxfId="596" priority="530" operator="containsText" text="RECHAZADA">
      <formula>NOT(ISERROR(SEARCH("RECHAZADA",T146)))</formula>
    </cfRule>
  </conditionalFormatting>
  <conditionalFormatting sqref="T146">
    <cfRule type="cellIs" dxfId="595" priority="529" operator="equal">
      <formula>"NO VÁLIDA"</formula>
    </cfRule>
  </conditionalFormatting>
  <conditionalFormatting sqref="T141:T143">
    <cfRule type="containsText" dxfId="594" priority="528" operator="containsText" text="RECHAZADA">
      <formula>NOT(ISERROR(SEARCH("RECHAZADA",T141)))</formula>
    </cfRule>
  </conditionalFormatting>
  <conditionalFormatting sqref="T141:T143">
    <cfRule type="containsText" dxfId="593" priority="527" operator="containsText" text="RECHAZADA">
      <formula>NOT(ISERROR(SEARCH("RECHAZADA",T141)))</formula>
    </cfRule>
  </conditionalFormatting>
  <conditionalFormatting sqref="T141:T143">
    <cfRule type="containsText" dxfId="592" priority="526" operator="containsText" text="RECHAZADA">
      <formula>NOT(ISERROR(SEARCH("RECHAZADA",T141)))</formula>
    </cfRule>
  </conditionalFormatting>
  <conditionalFormatting sqref="T141:T143">
    <cfRule type="cellIs" dxfId="591" priority="525" operator="equal">
      <formula>"NO VÁLIDA"</formula>
    </cfRule>
  </conditionalFormatting>
  <conditionalFormatting sqref="T14:T139">
    <cfRule type="containsText" dxfId="590" priority="524" operator="containsText" text="RECHAZADA">
      <formula>NOT(ISERROR(SEARCH("RECHAZADA",T14)))</formula>
    </cfRule>
  </conditionalFormatting>
  <conditionalFormatting sqref="T14:T139">
    <cfRule type="containsText" dxfId="589" priority="523" operator="containsText" text="RECHAZADA">
      <formula>NOT(ISERROR(SEARCH("RECHAZADA",T14)))</formula>
    </cfRule>
  </conditionalFormatting>
  <conditionalFormatting sqref="T14:T139">
    <cfRule type="containsText" dxfId="588" priority="522" operator="containsText" text="RECHAZADA">
      <formula>NOT(ISERROR(SEARCH("RECHAZADA",T14)))</formula>
    </cfRule>
  </conditionalFormatting>
  <conditionalFormatting sqref="T14:T139">
    <cfRule type="cellIs" dxfId="587" priority="521" operator="equal">
      <formula>"NO VÁLIDA"</formula>
    </cfRule>
  </conditionalFormatting>
  <conditionalFormatting sqref="W148:W150">
    <cfRule type="containsText" dxfId="586" priority="520" operator="containsText" text="RECHAZADA">
      <formula>NOT(ISERROR(SEARCH("RECHAZADA",W148)))</formula>
    </cfRule>
  </conditionalFormatting>
  <conditionalFormatting sqref="W148:W150">
    <cfRule type="containsText" dxfId="585" priority="519" operator="containsText" text="RECHAZADA">
      <formula>NOT(ISERROR(SEARCH("RECHAZADA",W148)))</formula>
    </cfRule>
  </conditionalFormatting>
  <conditionalFormatting sqref="W148:W150">
    <cfRule type="containsText" dxfId="584" priority="518" operator="containsText" text="RECHAZADA">
      <formula>NOT(ISERROR(SEARCH("RECHAZADA",W148)))</formula>
    </cfRule>
  </conditionalFormatting>
  <conditionalFormatting sqref="W148">
    <cfRule type="cellIs" dxfId="583" priority="517" operator="equal">
      <formula>"NO VÁLIDA"</formula>
    </cfRule>
  </conditionalFormatting>
  <conditionalFormatting sqref="W149:W150">
    <cfRule type="cellIs" dxfId="582" priority="516" operator="equal">
      <formula>"NO VÁLIDA"</formula>
    </cfRule>
  </conditionalFormatting>
  <conditionalFormatting sqref="W154">
    <cfRule type="containsText" dxfId="581" priority="515" operator="containsText" text="RECHAZADA">
      <formula>NOT(ISERROR(SEARCH("RECHAZADA",W154)))</formula>
    </cfRule>
  </conditionalFormatting>
  <conditionalFormatting sqref="W154">
    <cfRule type="containsText" dxfId="580" priority="514" operator="containsText" text="RECHAZADA">
      <formula>NOT(ISERROR(SEARCH("RECHAZADA",W154)))</formula>
    </cfRule>
  </conditionalFormatting>
  <conditionalFormatting sqref="W154">
    <cfRule type="containsText" dxfId="579" priority="513" operator="containsText" text="RECHAZADA">
      <formula>NOT(ISERROR(SEARCH("RECHAZADA",W154)))</formula>
    </cfRule>
  </conditionalFormatting>
  <conditionalFormatting sqref="W154">
    <cfRule type="cellIs" dxfId="578" priority="512" operator="equal">
      <formula>"NO VÁLIDA"</formula>
    </cfRule>
  </conditionalFormatting>
  <conditionalFormatting sqref="W156:W157">
    <cfRule type="containsText" dxfId="577" priority="511" operator="containsText" text="RECHAZADA">
      <formula>NOT(ISERROR(SEARCH("RECHAZADA",W156)))</formula>
    </cfRule>
  </conditionalFormatting>
  <conditionalFormatting sqref="W156:W157">
    <cfRule type="containsText" dxfId="576" priority="510" operator="containsText" text="RECHAZADA">
      <formula>NOT(ISERROR(SEARCH("RECHAZADA",W156)))</formula>
    </cfRule>
  </conditionalFormatting>
  <conditionalFormatting sqref="W156:W157">
    <cfRule type="containsText" dxfId="575" priority="509" operator="containsText" text="RECHAZADA">
      <formula>NOT(ISERROR(SEARCH("RECHAZADA",W156)))</formula>
    </cfRule>
  </conditionalFormatting>
  <conditionalFormatting sqref="W156:W157">
    <cfRule type="cellIs" dxfId="574" priority="508" operator="equal">
      <formula>"NO VÁLIDA"</formula>
    </cfRule>
  </conditionalFormatting>
  <conditionalFormatting sqref="W146">
    <cfRule type="containsText" dxfId="573" priority="507" operator="containsText" text="RECHAZADA">
      <formula>NOT(ISERROR(SEARCH("RECHAZADA",W146)))</formula>
    </cfRule>
  </conditionalFormatting>
  <conditionalFormatting sqref="W146">
    <cfRule type="containsText" dxfId="572" priority="506" operator="containsText" text="RECHAZADA">
      <formula>NOT(ISERROR(SEARCH("RECHAZADA",W146)))</formula>
    </cfRule>
  </conditionalFormatting>
  <conditionalFormatting sqref="W146">
    <cfRule type="containsText" dxfId="571" priority="505" operator="containsText" text="RECHAZADA">
      <formula>NOT(ISERROR(SEARCH("RECHAZADA",W146)))</formula>
    </cfRule>
  </conditionalFormatting>
  <conditionalFormatting sqref="W146">
    <cfRule type="cellIs" dxfId="570" priority="504" operator="equal">
      <formula>"NO VÁLIDA"</formula>
    </cfRule>
  </conditionalFormatting>
  <conditionalFormatting sqref="W141:W143">
    <cfRule type="containsText" dxfId="569" priority="503" operator="containsText" text="RECHAZADA">
      <formula>NOT(ISERROR(SEARCH("RECHAZADA",W141)))</formula>
    </cfRule>
  </conditionalFormatting>
  <conditionalFormatting sqref="W141:W143">
    <cfRule type="containsText" dxfId="568" priority="502" operator="containsText" text="RECHAZADA">
      <formula>NOT(ISERROR(SEARCH("RECHAZADA",W141)))</formula>
    </cfRule>
  </conditionalFormatting>
  <conditionalFormatting sqref="W141:W143">
    <cfRule type="containsText" dxfId="567" priority="501" operator="containsText" text="RECHAZADA">
      <formula>NOT(ISERROR(SEARCH("RECHAZADA",W141)))</formula>
    </cfRule>
  </conditionalFormatting>
  <conditionalFormatting sqref="W141:W143">
    <cfRule type="cellIs" dxfId="566" priority="500" operator="equal">
      <formula>"NO VÁLIDA"</formula>
    </cfRule>
  </conditionalFormatting>
  <conditionalFormatting sqref="W14:W139">
    <cfRule type="containsText" dxfId="565" priority="499" operator="containsText" text="RECHAZADA">
      <formula>NOT(ISERROR(SEARCH("RECHAZADA",W14)))</formula>
    </cfRule>
  </conditionalFormatting>
  <conditionalFormatting sqref="W14:W139">
    <cfRule type="containsText" dxfId="564" priority="498" operator="containsText" text="RECHAZADA">
      <formula>NOT(ISERROR(SEARCH("RECHAZADA",W14)))</formula>
    </cfRule>
  </conditionalFormatting>
  <conditionalFormatting sqref="W14:W139">
    <cfRule type="containsText" dxfId="563" priority="497" operator="containsText" text="RECHAZADA">
      <formula>NOT(ISERROR(SEARCH("RECHAZADA",W14)))</formula>
    </cfRule>
  </conditionalFormatting>
  <conditionalFormatting sqref="W14:W139">
    <cfRule type="cellIs" dxfId="562" priority="496" operator="equal">
      <formula>"NO VÁLIDA"</formula>
    </cfRule>
  </conditionalFormatting>
  <conditionalFormatting sqref="Z148:Z150">
    <cfRule type="containsText" dxfId="561" priority="495" operator="containsText" text="RECHAZADA">
      <formula>NOT(ISERROR(SEARCH("RECHAZADA",Z148)))</formula>
    </cfRule>
  </conditionalFormatting>
  <conditionalFormatting sqref="Z148:Z150">
    <cfRule type="containsText" dxfId="560" priority="494" operator="containsText" text="RECHAZADA">
      <formula>NOT(ISERROR(SEARCH("RECHAZADA",Z148)))</formula>
    </cfRule>
  </conditionalFormatting>
  <conditionalFormatting sqref="Z148:Z150">
    <cfRule type="containsText" dxfId="559" priority="493" operator="containsText" text="RECHAZADA">
      <formula>NOT(ISERROR(SEARCH("RECHAZADA",Z148)))</formula>
    </cfRule>
  </conditionalFormatting>
  <conditionalFormatting sqref="Z148">
    <cfRule type="cellIs" dxfId="558" priority="492" operator="equal">
      <formula>"NO VÁLIDA"</formula>
    </cfRule>
  </conditionalFormatting>
  <conditionalFormatting sqref="Z149:Z150">
    <cfRule type="cellIs" dxfId="557" priority="491" operator="equal">
      <formula>"NO VÁLIDA"</formula>
    </cfRule>
  </conditionalFormatting>
  <conditionalFormatting sqref="Z154">
    <cfRule type="containsText" dxfId="556" priority="490" operator="containsText" text="RECHAZADA">
      <formula>NOT(ISERROR(SEARCH("RECHAZADA",Z154)))</formula>
    </cfRule>
  </conditionalFormatting>
  <conditionalFormatting sqref="Z154">
    <cfRule type="containsText" dxfId="555" priority="489" operator="containsText" text="RECHAZADA">
      <formula>NOT(ISERROR(SEARCH("RECHAZADA",Z154)))</formula>
    </cfRule>
  </conditionalFormatting>
  <conditionalFormatting sqref="Z154">
    <cfRule type="containsText" dxfId="554" priority="488" operator="containsText" text="RECHAZADA">
      <formula>NOT(ISERROR(SEARCH("RECHAZADA",Z154)))</formula>
    </cfRule>
  </conditionalFormatting>
  <conditionalFormatting sqref="Z154">
    <cfRule type="cellIs" dxfId="553" priority="487" operator="equal">
      <formula>"NO VÁLIDA"</formula>
    </cfRule>
  </conditionalFormatting>
  <conditionalFormatting sqref="Z156:Z157">
    <cfRule type="containsText" dxfId="552" priority="486" operator="containsText" text="RECHAZADA">
      <formula>NOT(ISERROR(SEARCH("RECHAZADA",Z156)))</formula>
    </cfRule>
  </conditionalFormatting>
  <conditionalFormatting sqref="Z156:Z157">
    <cfRule type="containsText" dxfId="551" priority="485" operator="containsText" text="RECHAZADA">
      <formula>NOT(ISERROR(SEARCH("RECHAZADA",Z156)))</formula>
    </cfRule>
  </conditionalFormatting>
  <conditionalFormatting sqref="Z156:Z157">
    <cfRule type="containsText" dxfId="550" priority="484" operator="containsText" text="RECHAZADA">
      <formula>NOT(ISERROR(SEARCH("RECHAZADA",Z156)))</formula>
    </cfRule>
  </conditionalFormatting>
  <conditionalFormatting sqref="Z156:Z157">
    <cfRule type="cellIs" dxfId="549" priority="483" operator="equal">
      <formula>"NO VÁLIDA"</formula>
    </cfRule>
  </conditionalFormatting>
  <conditionalFormatting sqref="Z146">
    <cfRule type="containsText" dxfId="548" priority="482" operator="containsText" text="RECHAZADA">
      <formula>NOT(ISERROR(SEARCH("RECHAZADA",Z146)))</formula>
    </cfRule>
  </conditionalFormatting>
  <conditionalFormatting sqref="Z146">
    <cfRule type="containsText" dxfId="547" priority="481" operator="containsText" text="RECHAZADA">
      <formula>NOT(ISERROR(SEARCH("RECHAZADA",Z146)))</formula>
    </cfRule>
  </conditionalFormatting>
  <conditionalFormatting sqref="Z146">
    <cfRule type="containsText" dxfId="546" priority="480" operator="containsText" text="RECHAZADA">
      <formula>NOT(ISERROR(SEARCH("RECHAZADA",Z146)))</formula>
    </cfRule>
  </conditionalFormatting>
  <conditionalFormatting sqref="Z146">
    <cfRule type="cellIs" dxfId="545" priority="479" operator="equal">
      <formula>"NO VÁLIDA"</formula>
    </cfRule>
  </conditionalFormatting>
  <conditionalFormatting sqref="Z141:Z143">
    <cfRule type="containsText" dxfId="544" priority="478" operator="containsText" text="RECHAZADA">
      <formula>NOT(ISERROR(SEARCH("RECHAZADA",Z141)))</formula>
    </cfRule>
  </conditionalFormatting>
  <conditionalFormatting sqref="Z141:Z143">
    <cfRule type="containsText" dxfId="543" priority="477" operator="containsText" text="RECHAZADA">
      <formula>NOT(ISERROR(SEARCH("RECHAZADA",Z141)))</formula>
    </cfRule>
  </conditionalFormatting>
  <conditionalFormatting sqref="Z141:Z143">
    <cfRule type="containsText" dxfId="542" priority="476" operator="containsText" text="RECHAZADA">
      <formula>NOT(ISERROR(SEARCH("RECHAZADA",Z141)))</formula>
    </cfRule>
  </conditionalFormatting>
  <conditionalFormatting sqref="Z141:Z143">
    <cfRule type="cellIs" dxfId="541" priority="475" operator="equal">
      <formula>"NO VÁLIDA"</formula>
    </cfRule>
  </conditionalFormatting>
  <conditionalFormatting sqref="Z14:Z139">
    <cfRule type="containsText" dxfId="540" priority="474" operator="containsText" text="RECHAZADA">
      <formula>NOT(ISERROR(SEARCH("RECHAZADA",Z14)))</formula>
    </cfRule>
  </conditionalFormatting>
  <conditionalFormatting sqref="Z14:Z139">
    <cfRule type="containsText" dxfId="539" priority="473" operator="containsText" text="RECHAZADA">
      <formula>NOT(ISERROR(SEARCH("RECHAZADA",Z14)))</formula>
    </cfRule>
  </conditionalFormatting>
  <conditionalFormatting sqref="Z14:Z139">
    <cfRule type="containsText" dxfId="538" priority="472" operator="containsText" text="RECHAZADA">
      <formula>NOT(ISERROR(SEARCH("RECHAZADA",Z14)))</formula>
    </cfRule>
  </conditionalFormatting>
  <conditionalFormatting sqref="Z14:Z139">
    <cfRule type="cellIs" dxfId="537" priority="471" operator="equal">
      <formula>"NO VÁLIDA"</formula>
    </cfRule>
  </conditionalFormatting>
  <conditionalFormatting sqref="AC148:AC150">
    <cfRule type="containsText" dxfId="536" priority="470" operator="containsText" text="RECHAZADA">
      <formula>NOT(ISERROR(SEARCH("RECHAZADA",AC148)))</formula>
    </cfRule>
  </conditionalFormatting>
  <conditionalFormatting sqref="AC148:AC150">
    <cfRule type="containsText" dxfId="535" priority="469" operator="containsText" text="RECHAZADA">
      <formula>NOT(ISERROR(SEARCH("RECHAZADA",AC148)))</formula>
    </cfRule>
  </conditionalFormatting>
  <conditionalFormatting sqref="AC148:AC150">
    <cfRule type="containsText" dxfId="534" priority="468" operator="containsText" text="RECHAZADA">
      <formula>NOT(ISERROR(SEARCH("RECHAZADA",AC148)))</formula>
    </cfRule>
  </conditionalFormatting>
  <conditionalFormatting sqref="AC148">
    <cfRule type="cellIs" dxfId="533" priority="467" operator="equal">
      <formula>"NO VÁLIDA"</formula>
    </cfRule>
  </conditionalFormatting>
  <conditionalFormatting sqref="AC149:AC150">
    <cfRule type="cellIs" dxfId="532" priority="466" operator="equal">
      <formula>"NO VÁLIDA"</formula>
    </cfRule>
  </conditionalFormatting>
  <conditionalFormatting sqref="AC154">
    <cfRule type="containsText" dxfId="531" priority="465" operator="containsText" text="RECHAZADA">
      <formula>NOT(ISERROR(SEARCH("RECHAZADA",AC154)))</formula>
    </cfRule>
  </conditionalFormatting>
  <conditionalFormatting sqref="AC154">
    <cfRule type="containsText" dxfId="530" priority="464" operator="containsText" text="RECHAZADA">
      <formula>NOT(ISERROR(SEARCH("RECHAZADA",AC154)))</formula>
    </cfRule>
  </conditionalFormatting>
  <conditionalFormatting sqref="AC154">
    <cfRule type="containsText" dxfId="529" priority="463" operator="containsText" text="RECHAZADA">
      <formula>NOT(ISERROR(SEARCH("RECHAZADA",AC154)))</formula>
    </cfRule>
  </conditionalFormatting>
  <conditionalFormatting sqref="AC154">
    <cfRule type="cellIs" dxfId="528" priority="462" operator="equal">
      <formula>"NO VÁLIDA"</formula>
    </cfRule>
  </conditionalFormatting>
  <conditionalFormatting sqref="AC156:AC157">
    <cfRule type="containsText" dxfId="527" priority="461" operator="containsText" text="RECHAZADA">
      <formula>NOT(ISERROR(SEARCH("RECHAZADA",AC156)))</formula>
    </cfRule>
  </conditionalFormatting>
  <conditionalFormatting sqref="AC156:AC157">
    <cfRule type="containsText" dxfId="526" priority="460" operator="containsText" text="RECHAZADA">
      <formula>NOT(ISERROR(SEARCH("RECHAZADA",AC156)))</formula>
    </cfRule>
  </conditionalFormatting>
  <conditionalFormatting sqref="AC156:AC157">
    <cfRule type="containsText" dxfId="525" priority="459" operator="containsText" text="RECHAZADA">
      <formula>NOT(ISERROR(SEARCH("RECHAZADA",AC156)))</formula>
    </cfRule>
  </conditionalFormatting>
  <conditionalFormatting sqref="AC156:AC157">
    <cfRule type="cellIs" dxfId="524" priority="458" operator="equal">
      <formula>"NO VÁLIDA"</formula>
    </cfRule>
  </conditionalFormatting>
  <conditionalFormatting sqref="AC146">
    <cfRule type="containsText" dxfId="523" priority="457" operator="containsText" text="RECHAZADA">
      <formula>NOT(ISERROR(SEARCH("RECHAZADA",AC146)))</formula>
    </cfRule>
  </conditionalFormatting>
  <conditionalFormatting sqref="AC146">
    <cfRule type="containsText" dxfId="522" priority="456" operator="containsText" text="RECHAZADA">
      <formula>NOT(ISERROR(SEARCH("RECHAZADA",AC146)))</formula>
    </cfRule>
  </conditionalFormatting>
  <conditionalFormatting sqref="AC146">
    <cfRule type="containsText" dxfId="521" priority="455" operator="containsText" text="RECHAZADA">
      <formula>NOT(ISERROR(SEARCH("RECHAZADA",AC146)))</formula>
    </cfRule>
  </conditionalFormatting>
  <conditionalFormatting sqref="AC146">
    <cfRule type="cellIs" dxfId="520" priority="454" operator="equal">
      <formula>"NO VÁLIDA"</formula>
    </cfRule>
  </conditionalFormatting>
  <conditionalFormatting sqref="AC141:AC143">
    <cfRule type="containsText" dxfId="519" priority="453" operator="containsText" text="RECHAZADA">
      <formula>NOT(ISERROR(SEARCH("RECHAZADA",AC141)))</formula>
    </cfRule>
  </conditionalFormatting>
  <conditionalFormatting sqref="AC141:AC143">
    <cfRule type="containsText" dxfId="518" priority="452" operator="containsText" text="RECHAZADA">
      <formula>NOT(ISERROR(SEARCH("RECHAZADA",AC141)))</formula>
    </cfRule>
  </conditionalFormatting>
  <conditionalFormatting sqref="AC141:AC143">
    <cfRule type="containsText" dxfId="517" priority="451" operator="containsText" text="RECHAZADA">
      <formula>NOT(ISERROR(SEARCH("RECHAZADA",AC141)))</formula>
    </cfRule>
  </conditionalFormatting>
  <conditionalFormatting sqref="AC141:AC143">
    <cfRule type="cellIs" dxfId="516" priority="450" operator="equal">
      <formula>"NO VÁLIDA"</formula>
    </cfRule>
  </conditionalFormatting>
  <conditionalFormatting sqref="AC14:AC139">
    <cfRule type="containsText" dxfId="515" priority="449" operator="containsText" text="RECHAZADA">
      <formula>NOT(ISERROR(SEARCH("RECHAZADA",AC14)))</formula>
    </cfRule>
  </conditionalFormatting>
  <conditionalFormatting sqref="AC14:AC139">
    <cfRule type="containsText" dxfId="514" priority="448" operator="containsText" text="RECHAZADA">
      <formula>NOT(ISERROR(SEARCH("RECHAZADA",AC14)))</formula>
    </cfRule>
  </conditionalFormatting>
  <conditionalFormatting sqref="AC14:AC139">
    <cfRule type="containsText" dxfId="513" priority="447" operator="containsText" text="RECHAZADA">
      <formula>NOT(ISERROR(SEARCH("RECHAZADA",AC14)))</formula>
    </cfRule>
  </conditionalFormatting>
  <conditionalFormatting sqref="AC14:AC139">
    <cfRule type="cellIs" dxfId="512" priority="446" operator="equal">
      <formula>"NO VÁLIDA"</formula>
    </cfRule>
  </conditionalFormatting>
  <conditionalFormatting sqref="AF156:AF157">
    <cfRule type="containsText" dxfId="511" priority="436" operator="containsText" text="RECHAZADA">
      <formula>NOT(ISERROR(SEARCH("RECHAZADA",AF156)))</formula>
    </cfRule>
  </conditionalFormatting>
  <conditionalFormatting sqref="AF156:AF157">
    <cfRule type="containsText" dxfId="510" priority="435" operator="containsText" text="RECHAZADA">
      <formula>NOT(ISERROR(SEARCH("RECHAZADA",AF156)))</formula>
    </cfRule>
  </conditionalFormatting>
  <conditionalFormatting sqref="AF156:AF157">
    <cfRule type="containsText" dxfId="509" priority="434" operator="containsText" text="RECHAZADA">
      <formula>NOT(ISERROR(SEARCH("RECHAZADA",AF156)))</formula>
    </cfRule>
  </conditionalFormatting>
  <conditionalFormatting sqref="AF156:AF157">
    <cfRule type="cellIs" dxfId="508" priority="433" operator="equal">
      <formula>"NO VÁLIDA"</formula>
    </cfRule>
  </conditionalFormatting>
  <conditionalFormatting sqref="AF146">
    <cfRule type="containsText" dxfId="507" priority="432" operator="containsText" text="RECHAZADA">
      <formula>NOT(ISERROR(SEARCH("RECHAZADA",AF146)))</formula>
    </cfRule>
  </conditionalFormatting>
  <conditionalFormatting sqref="AF146">
    <cfRule type="containsText" dxfId="506" priority="431" operator="containsText" text="RECHAZADA">
      <formula>NOT(ISERROR(SEARCH("RECHAZADA",AF146)))</formula>
    </cfRule>
  </conditionalFormatting>
  <conditionalFormatting sqref="AF146">
    <cfRule type="containsText" dxfId="505" priority="430" operator="containsText" text="RECHAZADA">
      <formula>NOT(ISERROR(SEARCH("RECHAZADA",AF146)))</formula>
    </cfRule>
  </conditionalFormatting>
  <conditionalFormatting sqref="AF146">
    <cfRule type="cellIs" dxfId="504" priority="429" operator="equal">
      <formula>"NO VÁLIDA"</formula>
    </cfRule>
  </conditionalFormatting>
  <conditionalFormatting sqref="AF141:AF143">
    <cfRule type="containsText" dxfId="503" priority="428" operator="containsText" text="RECHAZADA">
      <formula>NOT(ISERROR(SEARCH("RECHAZADA",AF141)))</formula>
    </cfRule>
  </conditionalFormatting>
  <conditionalFormatting sqref="AF141:AF143">
    <cfRule type="containsText" dxfId="502" priority="427" operator="containsText" text="RECHAZADA">
      <formula>NOT(ISERROR(SEARCH("RECHAZADA",AF141)))</formula>
    </cfRule>
  </conditionalFormatting>
  <conditionalFormatting sqref="AF141:AF143">
    <cfRule type="containsText" dxfId="501" priority="426" operator="containsText" text="RECHAZADA">
      <formula>NOT(ISERROR(SEARCH("RECHAZADA",AF141)))</formula>
    </cfRule>
  </conditionalFormatting>
  <conditionalFormatting sqref="AF141:AF143">
    <cfRule type="cellIs" dxfId="500" priority="425" operator="equal">
      <formula>"NO VÁLIDA"</formula>
    </cfRule>
  </conditionalFormatting>
  <conditionalFormatting sqref="AF14:AF139">
    <cfRule type="containsText" dxfId="499" priority="424" operator="containsText" text="RECHAZADA">
      <formula>NOT(ISERROR(SEARCH("RECHAZADA",AF14)))</formula>
    </cfRule>
  </conditionalFormatting>
  <conditionalFormatting sqref="AF14:AF139">
    <cfRule type="containsText" dxfId="498" priority="423" operator="containsText" text="RECHAZADA">
      <formula>NOT(ISERROR(SEARCH("RECHAZADA",AF14)))</formula>
    </cfRule>
  </conditionalFormatting>
  <conditionalFormatting sqref="AF14:AF139">
    <cfRule type="containsText" dxfId="497" priority="422" operator="containsText" text="RECHAZADA">
      <formula>NOT(ISERROR(SEARCH("RECHAZADA",AF14)))</formula>
    </cfRule>
  </conditionalFormatting>
  <conditionalFormatting sqref="AF14:AF139">
    <cfRule type="cellIs" dxfId="496" priority="421" operator="equal">
      <formula>"NO VÁLIDA"</formula>
    </cfRule>
  </conditionalFormatting>
  <conditionalFormatting sqref="AI146">
    <cfRule type="containsText" dxfId="495" priority="407" operator="containsText" text="RECHAZADA">
      <formula>NOT(ISERROR(SEARCH("RECHAZADA",AI146)))</formula>
    </cfRule>
  </conditionalFormatting>
  <conditionalFormatting sqref="AI146">
    <cfRule type="containsText" dxfId="494" priority="406" operator="containsText" text="RECHAZADA">
      <formula>NOT(ISERROR(SEARCH("RECHAZADA",AI146)))</formula>
    </cfRule>
  </conditionalFormatting>
  <conditionalFormatting sqref="AI146">
    <cfRule type="containsText" dxfId="493" priority="405" operator="containsText" text="RECHAZADA">
      <formula>NOT(ISERROR(SEARCH("RECHAZADA",AI146)))</formula>
    </cfRule>
  </conditionalFormatting>
  <conditionalFormatting sqref="AI146">
    <cfRule type="cellIs" dxfId="492" priority="404" operator="equal">
      <formula>"NO VÁLIDA"</formula>
    </cfRule>
  </conditionalFormatting>
  <conditionalFormatting sqref="AI141:AI143">
    <cfRule type="containsText" dxfId="491" priority="403" operator="containsText" text="RECHAZADA">
      <formula>NOT(ISERROR(SEARCH("RECHAZADA",AI141)))</formula>
    </cfRule>
  </conditionalFormatting>
  <conditionalFormatting sqref="AI141:AI143">
    <cfRule type="containsText" dxfId="490" priority="402" operator="containsText" text="RECHAZADA">
      <formula>NOT(ISERROR(SEARCH("RECHAZADA",AI141)))</formula>
    </cfRule>
  </conditionalFormatting>
  <conditionalFormatting sqref="AI141:AI143">
    <cfRule type="containsText" dxfId="489" priority="401" operator="containsText" text="RECHAZADA">
      <formula>NOT(ISERROR(SEARCH("RECHAZADA",AI141)))</formula>
    </cfRule>
  </conditionalFormatting>
  <conditionalFormatting sqref="AI141:AI143">
    <cfRule type="cellIs" dxfId="488" priority="400" operator="equal">
      <formula>"NO VÁLIDA"</formula>
    </cfRule>
  </conditionalFormatting>
  <conditionalFormatting sqref="AI14:AI139">
    <cfRule type="containsText" dxfId="487" priority="399" operator="containsText" text="RECHAZADA">
      <formula>NOT(ISERROR(SEARCH("RECHAZADA",AI14)))</formula>
    </cfRule>
  </conditionalFormatting>
  <conditionalFormatting sqref="AI14:AI139">
    <cfRule type="containsText" dxfId="486" priority="398" operator="containsText" text="RECHAZADA">
      <formula>NOT(ISERROR(SEARCH("RECHAZADA",AI14)))</formula>
    </cfRule>
  </conditionalFormatting>
  <conditionalFormatting sqref="AI14:AI139">
    <cfRule type="containsText" dxfId="485" priority="397" operator="containsText" text="RECHAZADA">
      <formula>NOT(ISERROR(SEARCH("RECHAZADA",AI14)))</formula>
    </cfRule>
  </conditionalFormatting>
  <conditionalFormatting sqref="AI14:AI139">
    <cfRule type="cellIs" dxfId="484" priority="396" operator="equal">
      <formula>"NO VÁLIDA"</formula>
    </cfRule>
  </conditionalFormatting>
  <conditionalFormatting sqref="AL148:AL150">
    <cfRule type="containsText" dxfId="483" priority="395" operator="containsText" text="RECHAZADA">
      <formula>NOT(ISERROR(SEARCH("RECHAZADA",AL148)))</formula>
    </cfRule>
  </conditionalFormatting>
  <conditionalFormatting sqref="AL148:AL150">
    <cfRule type="containsText" dxfId="482" priority="394" operator="containsText" text="RECHAZADA">
      <formula>NOT(ISERROR(SEARCH("RECHAZADA",AL148)))</formula>
    </cfRule>
  </conditionalFormatting>
  <conditionalFormatting sqref="AL148:AL150">
    <cfRule type="containsText" dxfId="481" priority="393" operator="containsText" text="RECHAZADA">
      <formula>NOT(ISERROR(SEARCH("RECHAZADA",AL148)))</formula>
    </cfRule>
  </conditionalFormatting>
  <conditionalFormatting sqref="AL148">
    <cfRule type="cellIs" dxfId="480" priority="392" operator="equal">
      <formula>"NO VÁLIDA"</formula>
    </cfRule>
  </conditionalFormatting>
  <conditionalFormatting sqref="AL149:AL150">
    <cfRule type="cellIs" dxfId="479" priority="391" operator="equal">
      <formula>"NO VÁLIDA"</formula>
    </cfRule>
  </conditionalFormatting>
  <conditionalFormatting sqref="AL154">
    <cfRule type="containsText" dxfId="478" priority="390" operator="containsText" text="RECHAZADA">
      <formula>NOT(ISERROR(SEARCH("RECHAZADA",AL154)))</formula>
    </cfRule>
  </conditionalFormatting>
  <conditionalFormatting sqref="AL154">
    <cfRule type="containsText" dxfId="477" priority="389" operator="containsText" text="RECHAZADA">
      <formula>NOT(ISERROR(SEARCH("RECHAZADA",AL154)))</formula>
    </cfRule>
  </conditionalFormatting>
  <conditionalFormatting sqref="AL154">
    <cfRule type="containsText" dxfId="476" priority="388" operator="containsText" text="RECHAZADA">
      <formula>NOT(ISERROR(SEARCH("RECHAZADA",AL154)))</formula>
    </cfRule>
  </conditionalFormatting>
  <conditionalFormatting sqref="AL154">
    <cfRule type="cellIs" dxfId="475" priority="387" operator="equal">
      <formula>"NO VÁLIDA"</formula>
    </cfRule>
  </conditionalFormatting>
  <conditionalFormatting sqref="AL156:AL157">
    <cfRule type="containsText" dxfId="474" priority="386" operator="containsText" text="RECHAZADA">
      <formula>NOT(ISERROR(SEARCH("RECHAZADA",AL156)))</formula>
    </cfRule>
  </conditionalFormatting>
  <conditionalFormatting sqref="AL156:AL157">
    <cfRule type="containsText" dxfId="473" priority="385" operator="containsText" text="RECHAZADA">
      <formula>NOT(ISERROR(SEARCH("RECHAZADA",AL156)))</formula>
    </cfRule>
  </conditionalFormatting>
  <conditionalFormatting sqref="AL156:AL157">
    <cfRule type="containsText" dxfId="472" priority="384" operator="containsText" text="RECHAZADA">
      <formula>NOT(ISERROR(SEARCH("RECHAZADA",AL156)))</formula>
    </cfRule>
  </conditionalFormatting>
  <conditionalFormatting sqref="AL156:AL157">
    <cfRule type="cellIs" dxfId="471" priority="383" operator="equal">
      <formula>"NO VÁLIDA"</formula>
    </cfRule>
  </conditionalFormatting>
  <conditionalFormatting sqref="AL146">
    <cfRule type="containsText" dxfId="470" priority="382" operator="containsText" text="RECHAZADA">
      <formula>NOT(ISERROR(SEARCH("RECHAZADA",AL146)))</formula>
    </cfRule>
  </conditionalFormatting>
  <conditionalFormatting sqref="AL146">
    <cfRule type="containsText" dxfId="469" priority="381" operator="containsText" text="RECHAZADA">
      <formula>NOT(ISERROR(SEARCH("RECHAZADA",AL146)))</formula>
    </cfRule>
  </conditionalFormatting>
  <conditionalFormatting sqref="AL146">
    <cfRule type="containsText" dxfId="468" priority="380" operator="containsText" text="RECHAZADA">
      <formula>NOT(ISERROR(SEARCH("RECHAZADA",AL146)))</formula>
    </cfRule>
  </conditionalFormatting>
  <conditionalFormatting sqref="AL146">
    <cfRule type="cellIs" dxfId="467" priority="379" operator="equal">
      <formula>"NO VÁLIDA"</formula>
    </cfRule>
  </conditionalFormatting>
  <conditionalFormatting sqref="AL141:AL143">
    <cfRule type="containsText" dxfId="466" priority="378" operator="containsText" text="RECHAZADA">
      <formula>NOT(ISERROR(SEARCH("RECHAZADA",AL141)))</formula>
    </cfRule>
  </conditionalFormatting>
  <conditionalFormatting sqref="AL141:AL143">
    <cfRule type="containsText" dxfId="465" priority="377" operator="containsText" text="RECHAZADA">
      <formula>NOT(ISERROR(SEARCH("RECHAZADA",AL141)))</formula>
    </cfRule>
  </conditionalFormatting>
  <conditionalFormatting sqref="AL141:AL143">
    <cfRule type="containsText" dxfId="464" priority="376" operator="containsText" text="RECHAZADA">
      <formula>NOT(ISERROR(SEARCH("RECHAZADA",AL141)))</formula>
    </cfRule>
  </conditionalFormatting>
  <conditionalFormatting sqref="AL141:AL143">
    <cfRule type="cellIs" dxfId="463" priority="375" operator="equal">
      <formula>"NO VÁLIDA"</formula>
    </cfRule>
  </conditionalFormatting>
  <conditionalFormatting sqref="AL14:AL139">
    <cfRule type="containsText" dxfId="462" priority="374" operator="containsText" text="RECHAZADA">
      <formula>NOT(ISERROR(SEARCH("RECHAZADA",AL14)))</formula>
    </cfRule>
  </conditionalFormatting>
  <conditionalFormatting sqref="AL14:AL139">
    <cfRule type="containsText" dxfId="461" priority="373" operator="containsText" text="RECHAZADA">
      <formula>NOT(ISERROR(SEARCH("RECHAZADA",AL14)))</formula>
    </cfRule>
  </conditionalFormatting>
  <conditionalFormatting sqref="AL14:AL139">
    <cfRule type="containsText" dxfId="460" priority="372" operator="containsText" text="RECHAZADA">
      <formula>NOT(ISERROR(SEARCH("RECHAZADA",AL14)))</formula>
    </cfRule>
  </conditionalFormatting>
  <conditionalFormatting sqref="AL14:AL139">
    <cfRule type="cellIs" dxfId="459" priority="371" operator="equal">
      <formula>"NO VÁLIDA"</formula>
    </cfRule>
  </conditionalFormatting>
  <conditionalFormatting sqref="AO146">
    <cfRule type="containsText" dxfId="458" priority="357" operator="containsText" text="RECHAZADA">
      <formula>NOT(ISERROR(SEARCH("RECHAZADA",AO146)))</formula>
    </cfRule>
  </conditionalFormatting>
  <conditionalFormatting sqref="AO146">
    <cfRule type="containsText" dxfId="457" priority="356" operator="containsText" text="RECHAZADA">
      <formula>NOT(ISERROR(SEARCH("RECHAZADA",AO146)))</formula>
    </cfRule>
  </conditionalFormatting>
  <conditionalFormatting sqref="AO146">
    <cfRule type="containsText" dxfId="456" priority="355" operator="containsText" text="RECHAZADA">
      <formula>NOT(ISERROR(SEARCH("RECHAZADA",AO146)))</formula>
    </cfRule>
  </conditionalFormatting>
  <conditionalFormatting sqref="AO146">
    <cfRule type="cellIs" dxfId="455" priority="354" operator="equal">
      <formula>"NO VÁLIDA"</formula>
    </cfRule>
  </conditionalFormatting>
  <conditionalFormatting sqref="AO141:AO143">
    <cfRule type="containsText" dxfId="454" priority="353" operator="containsText" text="RECHAZADA">
      <formula>NOT(ISERROR(SEARCH("RECHAZADA",AO141)))</formula>
    </cfRule>
  </conditionalFormatting>
  <conditionalFormatting sqref="AO141:AO143">
    <cfRule type="containsText" dxfId="453" priority="352" operator="containsText" text="RECHAZADA">
      <formula>NOT(ISERROR(SEARCH("RECHAZADA",AO141)))</formula>
    </cfRule>
  </conditionalFormatting>
  <conditionalFormatting sqref="AO141:AO143">
    <cfRule type="containsText" dxfId="452" priority="351" operator="containsText" text="RECHAZADA">
      <formula>NOT(ISERROR(SEARCH("RECHAZADA",AO141)))</formula>
    </cfRule>
  </conditionalFormatting>
  <conditionalFormatting sqref="AO141:AO143">
    <cfRule type="cellIs" dxfId="451" priority="350" operator="equal">
      <formula>"NO VÁLIDA"</formula>
    </cfRule>
  </conditionalFormatting>
  <conditionalFormatting sqref="AO14:AO139">
    <cfRule type="containsText" dxfId="450" priority="349" operator="containsText" text="RECHAZADA">
      <formula>NOT(ISERROR(SEARCH("RECHAZADA",AO14)))</formula>
    </cfRule>
  </conditionalFormatting>
  <conditionalFormatting sqref="AO14:AO139">
    <cfRule type="containsText" dxfId="449" priority="348" operator="containsText" text="RECHAZADA">
      <formula>NOT(ISERROR(SEARCH("RECHAZADA",AO14)))</formula>
    </cfRule>
  </conditionalFormatting>
  <conditionalFormatting sqref="AO14:AO139">
    <cfRule type="containsText" dxfId="448" priority="347" operator="containsText" text="RECHAZADA">
      <formula>NOT(ISERROR(SEARCH("RECHAZADA",AO14)))</formula>
    </cfRule>
  </conditionalFormatting>
  <conditionalFormatting sqref="AO14:AO139">
    <cfRule type="cellIs" dxfId="447" priority="346" operator="equal">
      <formula>"NO VÁLIDA"</formula>
    </cfRule>
  </conditionalFormatting>
  <conditionalFormatting sqref="AR156:AR157">
    <cfRule type="containsText" dxfId="446" priority="336" operator="containsText" text="RECHAZADA">
      <formula>NOT(ISERROR(SEARCH("RECHAZADA",AR156)))</formula>
    </cfRule>
  </conditionalFormatting>
  <conditionalFormatting sqref="AR156:AR157">
    <cfRule type="containsText" dxfId="445" priority="335" operator="containsText" text="RECHAZADA">
      <formula>NOT(ISERROR(SEARCH("RECHAZADA",AR156)))</formula>
    </cfRule>
  </conditionalFormatting>
  <conditionalFormatting sqref="AR156:AR157">
    <cfRule type="containsText" dxfId="444" priority="334" operator="containsText" text="RECHAZADA">
      <formula>NOT(ISERROR(SEARCH("RECHAZADA",AR156)))</formula>
    </cfRule>
  </conditionalFormatting>
  <conditionalFormatting sqref="AR156:AR157">
    <cfRule type="cellIs" dxfId="443" priority="333" operator="equal">
      <formula>"NO VÁLIDA"</formula>
    </cfRule>
  </conditionalFormatting>
  <conditionalFormatting sqref="AR146">
    <cfRule type="containsText" dxfId="442" priority="332" operator="containsText" text="RECHAZADA">
      <formula>NOT(ISERROR(SEARCH("RECHAZADA",AR146)))</formula>
    </cfRule>
  </conditionalFormatting>
  <conditionalFormatting sqref="AR146">
    <cfRule type="containsText" dxfId="441" priority="331" operator="containsText" text="RECHAZADA">
      <formula>NOT(ISERROR(SEARCH("RECHAZADA",AR146)))</formula>
    </cfRule>
  </conditionalFormatting>
  <conditionalFormatting sqref="AR146">
    <cfRule type="containsText" dxfId="440" priority="330" operator="containsText" text="RECHAZADA">
      <formula>NOT(ISERROR(SEARCH("RECHAZADA",AR146)))</formula>
    </cfRule>
  </conditionalFormatting>
  <conditionalFormatting sqref="AR146">
    <cfRule type="cellIs" dxfId="439" priority="329" operator="equal">
      <formula>"NO VÁLIDA"</formula>
    </cfRule>
  </conditionalFormatting>
  <conditionalFormatting sqref="AR141:AR143">
    <cfRule type="containsText" dxfId="438" priority="328" operator="containsText" text="RECHAZADA">
      <formula>NOT(ISERROR(SEARCH("RECHAZADA",AR141)))</formula>
    </cfRule>
  </conditionalFormatting>
  <conditionalFormatting sqref="AR141:AR143">
    <cfRule type="containsText" dxfId="437" priority="327" operator="containsText" text="RECHAZADA">
      <formula>NOT(ISERROR(SEARCH("RECHAZADA",AR141)))</formula>
    </cfRule>
  </conditionalFormatting>
  <conditionalFormatting sqref="AR141:AR143">
    <cfRule type="containsText" dxfId="436" priority="326" operator="containsText" text="RECHAZADA">
      <formula>NOT(ISERROR(SEARCH("RECHAZADA",AR141)))</formula>
    </cfRule>
  </conditionalFormatting>
  <conditionalFormatting sqref="AR141:AR143">
    <cfRule type="cellIs" dxfId="435" priority="325" operator="equal">
      <formula>"NO VÁLIDA"</formula>
    </cfRule>
  </conditionalFormatting>
  <conditionalFormatting sqref="AR14:AR139">
    <cfRule type="containsText" dxfId="434" priority="324" operator="containsText" text="RECHAZADA">
      <formula>NOT(ISERROR(SEARCH("RECHAZADA",AR14)))</formula>
    </cfRule>
  </conditionalFormatting>
  <conditionalFormatting sqref="AR14:AR139">
    <cfRule type="containsText" dxfId="433" priority="323" operator="containsText" text="RECHAZADA">
      <formula>NOT(ISERROR(SEARCH("RECHAZADA",AR14)))</formula>
    </cfRule>
  </conditionalFormatting>
  <conditionalFormatting sqref="AR14:AR139">
    <cfRule type="containsText" dxfId="432" priority="322" operator="containsText" text="RECHAZADA">
      <formula>NOT(ISERROR(SEARCH("RECHAZADA",AR14)))</formula>
    </cfRule>
  </conditionalFormatting>
  <conditionalFormatting sqref="AR14:AR139">
    <cfRule type="cellIs" dxfId="431" priority="321" operator="equal">
      <formula>"NO VÁLIDA"</formula>
    </cfRule>
  </conditionalFormatting>
  <conditionalFormatting sqref="AU148:AU150">
    <cfRule type="containsText" dxfId="430" priority="320" operator="containsText" text="RECHAZADA">
      <formula>NOT(ISERROR(SEARCH("RECHAZADA",AU148)))</formula>
    </cfRule>
  </conditionalFormatting>
  <conditionalFormatting sqref="AU148:AU150">
    <cfRule type="containsText" dxfId="429" priority="319" operator="containsText" text="RECHAZADA">
      <formula>NOT(ISERROR(SEARCH("RECHAZADA",AU148)))</formula>
    </cfRule>
  </conditionalFormatting>
  <conditionalFormatting sqref="AU148:AU150">
    <cfRule type="containsText" dxfId="428" priority="318" operator="containsText" text="RECHAZADA">
      <formula>NOT(ISERROR(SEARCH("RECHAZADA",AU148)))</formula>
    </cfRule>
  </conditionalFormatting>
  <conditionalFormatting sqref="AU148">
    <cfRule type="cellIs" dxfId="427" priority="317" operator="equal">
      <formula>"NO VÁLIDA"</formula>
    </cfRule>
  </conditionalFormatting>
  <conditionalFormatting sqref="AU149:AU150">
    <cfRule type="cellIs" dxfId="426" priority="316" operator="equal">
      <formula>"NO VÁLIDA"</formula>
    </cfRule>
  </conditionalFormatting>
  <conditionalFormatting sqref="AU146">
    <cfRule type="containsText" dxfId="425" priority="307" operator="containsText" text="RECHAZADA">
      <formula>NOT(ISERROR(SEARCH("RECHAZADA",AU146)))</formula>
    </cfRule>
  </conditionalFormatting>
  <conditionalFormatting sqref="AU146">
    <cfRule type="containsText" dxfId="424" priority="306" operator="containsText" text="RECHAZADA">
      <formula>NOT(ISERROR(SEARCH("RECHAZADA",AU146)))</formula>
    </cfRule>
  </conditionalFormatting>
  <conditionalFormatting sqref="AU146">
    <cfRule type="containsText" dxfId="423" priority="305" operator="containsText" text="RECHAZADA">
      <formula>NOT(ISERROR(SEARCH("RECHAZADA",AU146)))</formula>
    </cfRule>
  </conditionalFormatting>
  <conditionalFormatting sqref="AU146">
    <cfRule type="cellIs" dxfId="422" priority="304" operator="equal">
      <formula>"NO VÁLIDA"</formula>
    </cfRule>
  </conditionalFormatting>
  <conditionalFormatting sqref="AU141:AU143">
    <cfRule type="containsText" dxfId="421" priority="303" operator="containsText" text="RECHAZADA">
      <formula>NOT(ISERROR(SEARCH("RECHAZADA",AU141)))</formula>
    </cfRule>
  </conditionalFormatting>
  <conditionalFormatting sqref="AU141:AU143">
    <cfRule type="containsText" dxfId="420" priority="302" operator="containsText" text="RECHAZADA">
      <formula>NOT(ISERROR(SEARCH("RECHAZADA",AU141)))</formula>
    </cfRule>
  </conditionalFormatting>
  <conditionalFormatting sqref="AU141:AU143">
    <cfRule type="containsText" dxfId="419" priority="301" operator="containsText" text="RECHAZADA">
      <formula>NOT(ISERROR(SEARCH("RECHAZADA",AU141)))</formula>
    </cfRule>
  </conditionalFormatting>
  <conditionalFormatting sqref="AU141:AU143">
    <cfRule type="cellIs" dxfId="418" priority="300" operator="equal">
      <formula>"NO VÁLIDA"</formula>
    </cfRule>
  </conditionalFormatting>
  <conditionalFormatting sqref="AU14:AU139">
    <cfRule type="containsText" dxfId="417" priority="299" operator="containsText" text="RECHAZADA">
      <formula>NOT(ISERROR(SEARCH("RECHAZADA",AU14)))</formula>
    </cfRule>
  </conditionalFormatting>
  <conditionalFormatting sqref="AU14:AU139">
    <cfRule type="containsText" dxfId="416" priority="298" operator="containsText" text="RECHAZADA">
      <formula>NOT(ISERROR(SEARCH("RECHAZADA",AU14)))</formula>
    </cfRule>
  </conditionalFormatting>
  <conditionalFormatting sqref="AU14:AU139">
    <cfRule type="containsText" dxfId="415" priority="297" operator="containsText" text="RECHAZADA">
      <formula>NOT(ISERROR(SEARCH("RECHAZADA",AU14)))</formula>
    </cfRule>
  </conditionalFormatting>
  <conditionalFormatting sqref="AU14:AU139">
    <cfRule type="cellIs" dxfId="414" priority="296" operator="equal">
      <formula>"NO VÁLIDA"</formula>
    </cfRule>
  </conditionalFormatting>
  <conditionalFormatting sqref="AX146">
    <cfRule type="containsText" dxfId="413" priority="282" operator="containsText" text="RECHAZADA">
      <formula>NOT(ISERROR(SEARCH("RECHAZADA",AX146)))</formula>
    </cfRule>
  </conditionalFormatting>
  <conditionalFormatting sqref="AX146">
    <cfRule type="containsText" dxfId="412" priority="281" operator="containsText" text="RECHAZADA">
      <formula>NOT(ISERROR(SEARCH("RECHAZADA",AX146)))</formula>
    </cfRule>
  </conditionalFormatting>
  <conditionalFormatting sqref="AX146">
    <cfRule type="containsText" dxfId="411" priority="280" operator="containsText" text="RECHAZADA">
      <formula>NOT(ISERROR(SEARCH("RECHAZADA",AX146)))</formula>
    </cfRule>
  </conditionalFormatting>
  <conditionalFormatting sqref="AX146">
    <cfRule type="cellIs" dxfId="410" priority="279" operator="equal">
      <formula>"NO VÁLIDA"</formula>
    </cfRule>
  </conditionalFormatting>
  <conditionalFormatting sqref="AX141:AX143">
    <cfRule type="containsText" dxfId="409" priority="278" operator="containsText" text="RECHAZADA">
      <formula>NOT(ISERROR(SEARCH("RECHAZADA",AX141)))</formula>
    </cfRule>
  </conditionalFormatting>
  <conditionalFormatting sqref="AX141:AX143">
    <cfRule type="containsText" dxfId="408" priority="277" operator="containsText" text="RECHAZADA">
      <formula>NOT(ISERROR(SEARCH("RECHAZADA",AX141)))</formula>
    </cfRule>
  </conditionalFormatting>
  <conditionalFormatting sqref="AX141:AX143">
    <cfRule type="containsText" dxfId="407" priority="276" operator="containsText" text="RECHAZADA">
      <formula>NOT(ISERROR(SEARCH("RECHAZADA",AX141)))</formula>
    </cfRule>
  </conditionalFormatting>
  <conditionalFormatting sqref="AX141:AX143">
    <cfRule type="cellIs" dxfId="406" priority="275" operator="equal">
      <formula>"NO VÁLIDA"</formula>
    </cfRule>
  </conditionalFormatting>
  <conditionalFormatting sqref="AX14:AX139">
    <cfRule type="containsText" dxfId="405" priority="274" operator="containsText" text="RECHAZADA">
      <formula>NOT(ISERROR(SEARCH("RECHAZADA",AX14)))</formula>
    </cfRule>
  </conditionalFormatting>
  <conditionalFormatting sqref="AX14:AX139">
    <cfRule type="containsText" dxfId="404" priority="273" operator="containsText" text="RECHAZADA">
      <formula>NOT(ISERROR(SEARCH("RECHAZADA",AX14)))</formula>
    </cfRule>
  </conditionalFormatting>
  <conditionalFormatting sqref="AX14:AX139">
    <cfRule type="containsText" dxfId="403" priority="272" operator="containsText" text="RECHAZADA">
      <formula>NOT(ISERROR(SEARCH("RECHAZADA",AX14)))</formula>
    </cfRule>
  </conditionalFormatting>
  <conditionalFormatting sqref="AX14:AX139">
    <cfRule type="cellIs" dxfId="402" priority="271" operator="equal">
      <formula>"NO VÁLIDA"</formula>
    </cfRule>
  </conditionalFormatting>
  <conditionalFormatting sqref="BA148:BA150">
    <cfRule type="containsText" dxfId="401" priority="270" operator="containsText" text="RECHAZADA">
      <formula>NOT(ISERROR(SEARCH("RECHAZADA",BA148)))</formula>
    </cfRule>
  </conditionalFormatting>
  <conditionalFormatting sqref="BA148:BA150">
    <cfRule type="containsText" dxfId="400" priority="269" operator="containsText" text="RECHAZADA">
      <formula>NOT(ISERROR(SEARCH("RECHAZADA",BA148)))</formula>
    </cfRule>
  </conditionalFormatting>
  <conditionalFormatting sqref="BA148:BA150">
    <cfRule type="containsText" dxfId="399" priority="268" operator="containsText" text="RECHAZADA">
      <formula>NOT(ISERROR(SEARCH("RECHAZADA",BA148)))</formula>
    </cfRule>
  </conditionalFormatting>
  <conditionalFormatting sqref="BA148">
    <cfRule type="cellIs" dxfId="398" priority="267" operator="equal">
      <formula>"NO VÁLIDA"</formula>
    </cfRule>
  </conditionalFormatting>
  <conditionalFormatting sqref="BA149:BA150">
    <cfRule type="cellIs" dxfId="397" priority="266" operator="equal">
      <formula>"NO VÁLIDA"</formula>
    </cfRule>
  </conditionalFormatting>
  <conditionalFormatting sqref="BA154">
    <cfRule type="containsText" dxfId="396" priority="265" operator="containsText" text="RECHAZADA">
      <formula>NOT(ISERROR(SEARCH("RECHAZADA",BA154)))</formula>
    </cfRule>
  </conditionalFormatting>
  <conditionalFormatting sqref="BA154">
    <cfRule type="containsText" dxfId="395" priority="264" operator="containsText" text="RECHAZADA">
      <formula>NOT(ISERROR(SEARCH("RECHAZADA",BA154)))</formula>
    </cfRule>
  </conditionalFormatting>
  <conditionalFormatting sqref="BA154">
    <cfRule type="containsText" dxfId="394" priority="263" operator="containsText" text="RECHAZADA">
      <formula>NOT(ISERROR(SEARCH("RECHAZADA",BA154)))</formula>
    </cfRule>
  </conditionalFormatting>
  <conditionalFormatting sqref="BA154">
    <cfRule type="cellIs" dxfId="393" priority="262" operator="equal">
      <formula>"NO VÁLIDA"</formula>
    </cfRule>
  </conditionalFormatting>
  <conditionalFormatting sqref="BA156:BA157">
    <cfRule type="containsText" dxfId="392" priority="261" operator="containsText" text="RECHAZADA">
      <formula>NOT(ISERROR(SEARCH("RECHAZADA",BA156)))</formula>
    </cfRule>
  </conditionalFormatting>
  <conditionalFormatting sqref="BA156:BA157">
    <cfRule type="containsText" dxfId="391" priority="260" operator="containsText" text="RECHAZADA">
      <formula>NOT(ISERROR(SEARCH("RECHAZADA",BA156)))</formula>
    </cfRule>
  </conditionalFormatting>
  <conditionalFormatting sqref="BA156:BA157">
    <cfRule type="containsText" dxfId="390" priority="259" operator="containsText" text="RECHAZADA">
      <formula>NOT(ISERROR(SEARCH("RECHAZADA",BA156)))</formula>
    </cfRule>
  </conditionalFormatting>
  <conditionalFormatting sqref="BA156:BA157">
    <cfRule type="cellIs" dxfId="389" priority="258" operator="equal">
      <formula>"NO VÁLIDA"</formula>
    </cfRule>
  </conditionalFormatting>
  <conditionalFormatting sqref="BA146">
    <cfRule type="containsText" dxfId="388" priority="257" operator="containsText" text="RECHAZADA">
      <formula>NOT(ISERROR(SEARCH("RECHAZADA",BA146)))</formula>
    </cfRule>
  </conditionalFormatting>
  <conditionalFormatting sqref="BA146">
    <cfRule type="containsText" dxfId="387" priority="256" operator="containsText" text="RECHAZADA">
      <formula>NOT(ISERROR(SEARCH("RECHAZADA",BA146)))</formula>
    </cfRule>
  </conditionalFormatting>
  <conditionalFormatting sqref="BA146">
    <cfRule type="containsText" dxfId="386" priority="255" operator="containsText" text="RECHAZADA">
      <formula>NOT(ISERROR(SEARCH("RECHAZADA",BA146)))</formula>
    </cfRule>
  </conditionalFormatting>
  <conditionalFormatting sqref="BA146">
    <cfRule type="cellIs" dxfId="385" priority="254" operator="equal">
      <formula>"NO VÁLIDA"</formula>
    </cfRule>
  </conditionalFormatting>
  <conditionalFormatting sqref="BA141:BA143">
    <cfRule type="containsText" dxfId="384" priority="253" operator="containsText" text="RECHAZADA">
      <formula>NOT(ISERROR(SEARCH("RECHAZADA",BA141)))</formula>
    </cfRule>
  </conditionalFormatting>
  <conditionalFormatting sqref="BA141:BA143">
    <cfRule type="containsText" dxfId="383" priority="252" operator="containsText" text="RECHAZADA">
      <formula>NOT(ISERROR(SEARCH("RECHAZADA",BA141)))</formula>
    </cfRule>
  </conditionalFormatting>
  <conditionalFormatting sqref="BA141:BA143">
    <cfRule type="containsText" dxfId="382" priority="251" operator="containsText" text="RECHAZADA">
      <formula>NOT(ISERROR(SEARCH("RECHAZADA",BA141)))</formula>
    </cfRule>
  </conditionalFormatting>
  <conditionalFormatting sqref="BA141:BA143">
    <cfRule type="cellIs" dxfId="381" priority="250" operator="equal">
      <formula>"NO VÁLIDA"</formula>
    </cfRule>
  </conditionalFormatting>
  <conditionalFormatting sqref="BA14:BA139">
    <cfRule type="containsText" dxfId="380" priority="249" operator="containsText" text="RECHAZADA">
      <formula>NOT(ISERROR(SEARCH("RECHAZADA",BA14)))</formula>
    </cfRule>
  </conditionalFormatting>
  <conditionalFormatting sqref="BA14:BA139">
    <cfRule type="containsText" dxfId="379" priority="248" operator="containsText" text="RECHAZADA">
      <formula>NOT(ISERROR(SEARCH("RECHAZADA",BA14)))</formula>
    </cfRule>
  </conditionalFormatting>
  <conditionalFormatting sqref="BA14:BA139">
    <cfRule type="containsText" dxfId="378" priority="247" operator="containsText" text="RECHAZADA">
      <formula>NOT(ISERROR(SEARCH("RECHAZADA",BA14)))</formula>
    </cfRule>
  </conditionalFormatting>
  <conditionalFormatting sqref="BA14:BA139">
    <cfRule type="cellIs" dxfId="377" priority="246" operator="equal">
      <formula>"NO VÁLIDA"</formula>
    </cfRule>
  </conditionalFormatting>
  <conditionalFormatting sqref="BD148:BD150">
    <cfRule type="containsText" dxfId="376" priority="245" operator="containsText" text="RECHAZADA">
      <formula>NOT(ISERROR(SEARCH("RECHAZADA",BD148)))</formula>
    </cfRule>
  </conditionalFormatting>
  <conditionalFormatting sqref="BD148:BD150">
    <cfRule type="containsText" dxfId="375" priority="244" operator="containsText" text="RECHAZADA">
      <formula>NOT(ISERROR(SEARCH("RECHAZADA",BD148)))</formula>
    </cfRule>
  </conditionalFormatting>
  <conditionalFormatting sqref="BD148:BD150">
    <cfRule type="containsText" dxfId="374" priority="243" operator="containsText" text="RECHAZADA">
      <formula>NOT(ISERROR(SEARCH("RECHAZADA",BD148)))</formula>
    </cfRule>
  </conditionalFormatting>
  <conditionalFormatting sqref="BD148">
    <cfRule type="cellIs" dxfId="373" priority="242" operator="equal">
      <formula>"NO VÁLIDA"</formula>
    </cfRule>
  </conditionalFormatting>
  <conditionalFormatting sqref="BD149:BD150">
    <cfRule type="cellIs" dxfId="372" priority="241" operator="equal">
      <formula>"NO VÁLIDA"</formula>
    </cfRule>
  </conditionalFormatting>
  <conditionalFormatting sqref="BD154">
    <cfRule type="containsText" dxfId="371" priority="240" operator="containsText" text="RECHAZADA">
      <formula>NOT(ISERROR(SEARCH("RECHAZADA",BD154)))</formula>
    </cfRule>
  </conditionalFormatting>
  <conditionalFormatting sqref="BD154">
    <cfRule type="containsText" dxfId="370" priority="239" operator="containsText" text="RECHAZADA">
      <formula>NOT(ISERROR(SEARCH("RECHAZADA",BD154)))</formula>
    </cfRule>
  </conditionalFormatting>
  <conditionalFormatting sqref="BD154">
    <cfRule type="containsText" dxfId="369" priority="238" operator="containsText" text="RECHAZADA">
      <formula>NOT(ISERROR(SEARCH("RECHAZADA",BD154)))</formula>
    </cfRule>
  </conditionalFormatting>
  <conditionalFormatting sqref="BD154">
    <cfRule type="cellIs" dxfId="368" priority="237" operator="equal">
      <formula>"NO VÁLIDA"</formula>
    </cfRule>
  </conditionalFormatting>
  <conditionalFormatting sqref="BD156:BD157">
    <cfRule type="containsText" dxfId="367" priority="236" operator="containsText" text="RECHAZADA">
      <formula>NOT(ISERROR(SEARCH("RECHAZADA",BD156)))</formula>
    </cfRule>
  </conditionalFormatting>
  <conditionalFormatting sqref="BD156:BD157">
    <cfRule type="containsText" dxfId="366" priority="235" operator="containsText" text="RECHAZADA">
      <formula>NOT(ISERROR(SEARCH("RECHAZADA",BD156)))</formula>
    </cfRule>
  </conditionalFormatting>
  <conditionalFormatting sqref="BD156:BD157">
    <cfRule type="containsText" dxfId="365" priority="234" operator="containsText" text="RECHAZADA">
      <formula>NOT(ISERROR(SEARCH("RECHAZADA",BD156)))</formula>
    </cfRule>
  </conditionalFormatting>
  <conditionalFormatting sqref="BD156:BD157">
    <cfRule type="cellIs" dxfId="364" priority="233" operator="equal">
      <formula>"NO VÁLIDA"</formula>
    </cfRule>
  </conditionalFormatting>
  <conditionalFormatting sqref="BD146">
    <cfRule type="containsText" dxfId="363" priority="232" operator="containsText" text="RECHAZADA">
      <formula>NOT(ISERROR(SEARCH("RECHAZADA",BD146)))</formula>
    </cfRule>
  </conditionalFormatting>
  <conditionalFormatting sqref="BD146">
    <cfRule type="containsText" dxfId="362" priority="231" operator="containsText" text="RECHAZADA">
      <formula>NOT(ISERROR(SEARCH("RECHAZADA",BD146)))</formula>
    </cfRule>
  </conditionalFormatting>
  <conditionalFormatting sqref="BD146">
    <cfRule type="containsText" dxfId="361" priority="230" operator="containsText" text="RECHAZADA">
      <formula>NOT(ISERROR(SEARCH("RECHAZADA",BD146)))</formula>
    </cfRule>
  </conditionalFormatting>
  <conditionalFormatting sqref="BD146">
    <cfRule type="cellIs" dxfId="360" priority="229" operator="equal">
      <formula>"NO VÁLIDA"</formula>
    </cfRule>
  </conditionalFormatting>
  <conditionalFormatting sqref="BD141:BD143">
    <cfRule type="containsText" dxfId="359" priority="228" operator="containsText" text="RECHAZADA">
      <formula>NOT(ISERROR(SEARCH("RECHAZADA",BD141)))</formula>
    </cfRule>
  </conditionalFormatting>
  <conditionalFormatting sqref="BD141:BD143">
    <cfRule type="containsText" dxfId="358" priority="227" operator="containsText" text="RECHAZADA">
      <formula>NOT(ISERROR(SEARCH("RECHAZADA",BD141)))</formula>
    </cfRule>
  </conditionalFormatting>
  <conditionalFormatting sqref="BD141:BD143">
    <cfRule type="containsText" dxfId="357" priority="226" operator="containsText" text="RECHAZADA">
      <formula>NOT(ISERROR(SEARCH("RECHAZADA",BD141)))</formula>
    </cfRule>
  </conditionalFormatting>
  <conditionalFormatting sqref="BD141:BD143">
    <cfRule type="cellIs" dxfId="356" priority="225" operator="equal">
      <formula>"NO VÁLIDA"</formula>
    </cfRule>
  </conditionalFormatting>
  <conditionalFormatting sqref="BD14:BD139">
    <cfRule type="containsText" dxfId="355" priority="224" operator="containsText" text="RECHAZADA">
      <formula>NOT(ISERROR(SEARCH("RECHAZADA",BD14)))</formula>
    </cfRule>
  </conditionalFormatting>
  <conditionalFormatting sqref="BD14:BD139">
    <cfRule type="containsText" dxfId="354" priority="223" operator="containsText" text="RECHAZADA">
      <formula>NOT(ISERROR(SEARCH("RECHAZADA",BD14)))</formula>
    </cfRule>
  </conditionalFormatting>
  <conditionalFormatting sqref="BD14:BD139">
    <cfRule type="containsText" dxfId="353" priority="222" operator="containsText" text="RECHAZADA">
      <formula>NOT(ISERROR(SEARCH("RECHAZADA",BD14)))</formula>
    </cfRule>
  </conditionalFormatting>
  <conditionalFormatting sqref="BD14:BD139">
    <cfRule type="cellIs" dxfId="352" priority="221" operator="equal">
      <formula>"NO VÁLIDA"</formula>
    </cfRule>
  </conditionalFormatting>
  <conditionalFormatting sqref="BG148:BG150">
    <cfRule type="containsText" dxfId="351" priority="220" operator="containsText" text="RECHAZADA">
      <formula>NOT(ISERROR(SEARCH("RECHAZADA",BG148)))</formula>
    </cfRule>
  </conditionalFormatting>
  <conditionalFormatting sqref="BG148:BG150">
    <cfRule type="containsText" dxfId="350" priority="219" operator="containsText" text="RECHAZADA">
      <formula>NOT(ISERROR(SEARCH("RECHAZADA",BG148)))</formula>
    </cfRule>
  </conditionalFormatting>
  <conditionalFormatting sqref="BG148:BG150">
    <cfRule type="containsText" dxfId="349" priority="218" operator="containsText" text="RECHAZADA">
      <formula>NOT(ISERROR(SEARCH("RECHAZADA",BG148)))</formula>
    </cfRule>
  </conditionalFormatting>
  <conditionalFormatting sqref="BG148">
    <cfRule type="cellIs" dxfId="348" priority="217" operator="equal">
      <formula>"NO VÁLIDA"</formula>
    </cfRule>
  </conditionalFormatting>
  <conditionalFormatting sqref="BG149:BG150">
    <cfRule type="cellIs" dxfId="347" priority="216" operator="equal">
      <formula>"NO VÁLIDA"</formula>
    </cfRule>
  </conditionalFormatting>
  <conditionalFormatting sqref="BG154">
    <cfRule type="containsText" dxfId="346" priority="215" operator="containsText" text="RECHAZADA">
      <formula>NOT(ISERROR(SEARCH("RECHAZADA",BG154)))</formula>
    </cfRule>
  </conditionalFormatting>
  <conditionalFormatting sqref="BG154">
    <cfRule type="containsText" dxfId="345" priority="214" operator="containsText" text="RECHAZADA">
      <formula>NOT(ISERROR(SEARCH("RECHAZADA",BG154)))</formula>
    </cfRule>
  </conditionalFormatting>
  <conditionalFormatting sqref="BG154">
    <cfRule type="containsText" dxfId="344" priority="213" operator="containsText" text="RECHAZADA">
      <formula>NOT(ISERROR(SEARCH("RECHAZADA",BG154)))</formula>
    </cfRule>
  </conditionalFormatting>
  <conditionalFormatting sqref="BG154">
    <cfRule type="cellIs" dxfId="343" priority="212" operator="equal">
      <formula>"NO VÁLIDA"</formula>
    </cfRule>
  </conditionalFormatting>
  <conditionalFormatting sqref="BG156:BG157">
    <cfRule type="containsText" dxfId="342" priority="211" operator="containsText" text="RECHAZADA">
      <formula>NOT(ISERROR(SEARCH("RECHAZADA",BG156)))</formula>
    </cfRule>
  </conditionalFormatting>
  <conditionalFormatting sqref="BG156:BG157">
    <cfRule type="containsText" dxfId="341" priority="210" operator="containsText" text="RECHAZADA">
      <formula>NOT(ISERROR(SEARCH("RECHAZADA",BG156)))</formula>
    </cfRule>
  </conditionalFormatting>
  <conditionalFormatting sqref="BG156:BG157">
    <cfRule type="containsText" dxfId="340" priority="209" operator="containsText" text="RECHAZADA">
      <formula>NOT(ISERROR(SEARCH("RECHAZADA",BG156)))</formula>
    </cfRule>
  </conditionalFormatting>
  <conditionalFormatting sqref="BG156:BG157">
    <cfRule type="cellIs" dxfId="339" priority="208" operator="equal">
      <formula>"NO VÁLIDA"</formula>
    </cfRule>
  </conditionalFormatting>
  <conditionalFormatting sqref="BG146">
    <cfRule type="containsText" dxfId="338" priority="207" operator="containsText" text="RECHAZADA">
      <formula>NOT(ISERROR(SEARCH("RECHAZADA",BG146)))</formula>
    </cfRule>
  </conditionalFormatting>
  <conditionalFormatting sqref="BG146">
    <cfRule type="containsText" dxfId="337" priority="206" operator="containsText" text="RECHAZADA">
      <formula>NOT(ISERROR(SEARCH("RECHAZADA",BG146)))</formula>
    </cfRule>
  </conditionalFormatting>
  <conditionalFormatting sqref="BG146">
    <cfRule type="containsText" dxfId="336" priority="205" operator="containsText" text="RECHAZADA">
      <formula>NOT(ISERROR(SEARCH("RECHAZADA",BG146)))</formula>
    </cfRule>
  </conditionalFormatting>
  <conditionalFormatting sqref="BG146">
    <cfRule type="cellIs" dxfId="335" priority="204" operator="equal">
      <formula>"NO VÁLIDA"</formula>
    </cfRule>
  </conditionalFormatting>
  <conditionalFormatting sqref="BG141:BG143">
    <cfRule type="containsText" dxfId="334" priority="203" operator="containsText" text="RECHAZADA">
      <formula>NOT(ISERROR(SEARCH("RECHAZADA",BG141)))</formula>
    </cfRule>
  </conditionalFormatting>
  <conditionalFormatting sqref="BG141:BG143">
    <cfRule type="containsText" dxfId="333" priority="202" operator="containsText" text="RECHAZADA">
      <formula>NOT(ISERROR(SEARCH("RECHAZADA",BG141)))</formula>
    </cfRule>
  </conditionalFormatting>
  <conditionalFormatting sqref="BG141:BG143">
    <cfRule type="containsText" dxfId="332" priority="201" operator="containsText" text="RECHAZADA">
      <formula>NOT(ISERROR(SEARCH("RECHAZADA",BG141)))</formula>
    </cfRule>
  </conditionalFormatting>
  <conditionalFormatting sqref="BG141:BG143">
    <cfRule type="cellIs" dxfId="331" priority="200" operator="equal">
      <formula>"NO VÁLIDA"</formula>
    </cfRule>
  </conditionalFormatting>
  <conditionalFormatting sqref="BG14:BG139">
    <cfRule type="containsText" dxfId="330" priority="199" operator="containsText" text="RECHAZADA">
      <formula>NOT(ISERROR(SEARCH("RECHAZADA",BG14)))</formula>
    </cfRule>
  </conditionalFormatting>
  <conditionalFormatting sqref="BG14:BG139">
    <cfRule type="containsText" dxfId="329" priority="198" operator="containsText" text="RECHAZADA">
      <formula>NOT(ISERROR(SEARCH("RECHAZADA",BG14)))</formula>
    </cfRule>
  </conditionalFormatting>
  <conditionalFormatting sqref="BG14:BG139">
    <cfRule type="containsText" dxfId="328" priority="197" operator="containsText" text="RECHAZADA">
      <formula>NOT(ISERROR(SEARCH("RECHAZADA",BG14)))</formula>
    </cfRule>
  </conditionalFormatting>
  <conditionalFormatting sqref="BG14:BG139">
    <cfRule type="cellIs" dxfId="327" priority="196" operator="equal">
      <formula>"NO VÁLIDA"</formula>
    </cfRule>
  </conditionalFormatting>
  <conditionalFormatting sqref="BJ148:BJ150">
    <cfRule type="containsText" dxfId="326" priority="195" operator="containsText" text="RECHAZADA">
      <formula>NOT(ISERROR(SEARCH("RECHAZADA",BJ148)))</formula>
    </cfRule>
  </conditionalFormatting>
  <conditionalFormatting sqref="BJ148:BJ150">
    <cfRule type="containsText" dxfId="325" priority="194" operator="containsText" text="RECHAZADA">
      <formula>NOT(ISERROR(SEARCH("RECHAZADA",BJ148)))</formula>
    </cfRule>
  </conditionalFormatting>
  <conditionalFormatting sqref="BJ148:BJ150">
    <cfRule type="containsText" dxfId="324" priority="193" operator="containsText" text="RECHAZADA">
      <formula>NOT(ISERROR(SEARCH("RECHAZADA",BJ148)))</formula>
    </cfRule>
  </conditionalFormatting>
  <conditionalFormatting sqref="BJ148">
    <cfRule type="cellIs" dxfId="323" priority="192" operator="equal">
      <formula>"NO VÁLIDA"</formula>
    </cfRule>
  </conditionalFormatting>
  <conditionalFormatting sqref="BJ149:BJ150">
    <cfRule type="cellIs" dxfId="322" priority="191" operator="equal">
      <formula>"NO VÁLIDA"</formula>
    </cfRule>
  </conditionalFormatting>
  <conditionalFormatting sqref="BJ154">
    <cfRule type="containsText" dxfId="321" priority="190" operator="containsText" text="RECHAZADA">
      <formula>NOT(ISERROR(SEARCH("RECHAZADA",BJ154)))</formula>
    </cfRule>
  </conditionalFormatting>
  <conditionalFormatting sqref="BJ154">
    <cfRule type="containsText" dxfId="320" priority="189" operator="containsText" text="RECHAZADA">
      <formula>NOT(ISERROR(SEARCH("RECHAZADA",BJ154)))</formula>
    </cfRule>
  </conditionalFormatting>
  <conditionalFormatting sqref="BJ154">
    <cfRule type="containsText" dxfId="319" priority="188" operator="containsText" text="RECHAZADA">
      <formula>NOT(ISERROR(SEARCH("RECHAZADA",BJ154)))</formula>
    </cfRule>
  </conditionalFormatting>
  <conditionalFormatting sqref="BJ154">
    <cfRule type="cellIs" dxfId="318" priority="187" operator="equal">
      <formula>"NO VÁLIDA"</formula>
    </cfRule>
  </conditionalFormatting>
  <conditionalFormatting sqref="BJ156:BJ157">
    <cfRule type="containsText" dxfId="317" priority="186" operator="containsText" text="RECHAZADA">
      <formula>NOT(ISERROR(SEARCH("RECHAZADA",BJ156)))</formula>
    </cfRule>
  </conditionalFormatting>
  <conditionalFormatting sqref="BJ156:BJ157">
    <cfRule type="containsText" dxfId="316" priority="185" operator="containsText" text="RECHAZADA">
      <formula>NOT(ISERROR(SEARCH("RECHAZADA",BJ156)))</formula>
    </cfRule>
  </conditionalFormatting>
  <conditionalFormatting sqref="BJ156:BJ157">
    <cfRule type="containsText" dxfId="315" priority="184" operator="containsText" text="RECHAZADA">
      <formula>NOT(ISERROR(SEARCH("RECHAZADA",BJ156)))</formula>
    </cfRule>
  </conditionalFormatting>
  <conditionalFormatting sqref="BJ156:BJ157">
    <cfRule type="cellIs" dxfId="314" priority="183" operator="equal">
      <formula>"NO VÁLIDA"</formula>
    </cfRule>
  </conditionalFormatting>
  <conditionalFormatting sqref="BJ146">
    <cfRule type="containsText" dxfId="313" priority="182" operator="containsText" text="RECHAZADA">
      <formula>NOT(ISERROR(SEARCH("RECHAZADA",BJ146)))</formula>
    </cfRule>
  </conditionalFormatting>
  <conditionalFormatting sqref="BJ146">
    <cfRule type="containsText" dxfId="312" priority="181" operator="containsText" text="RECHAZADA">
      <formula>NOT(ISERROR(SEARCH("RECHAZADA",BJ146)))</formula>
    </cfRule>
  </conditionalFormatting>
  <conditionalFormatting sqref="BJ146">
    <cfRule type="containsText" dxfId="311" priority="180" operator="containsText" text="RECHAZADA">
      <formula>NOT(ISERROR(SEARCH("RECHAZADA",BJ146)))</formula>
    </cfRule>
  </conditionalFormatting>
  <conditionalFormatting sqref="BJ146">
    <cfRule type="cellIs" dxfId="310" priority="179" operator="equal">
      <formula>"NO VÁLIDA"</formula>
    </cfRule>
  </conditionalFormatting>
  <conditionalFormatting sqref="BJ141:BJ143">
    <cfRule type="containsText" dxfId="309" priority="178" operator="containsText" text="RECHAZADA">
      <formula>NOT(ISERROR(SEARCH("RECHAZADA",BJ141)))</formula>
    </cfRule>
  </conditionalFormatting>
  <conditionalFormatting sqref="BJ141:BJ143">
    <cfRule type="containsText" dxfId="308" priority="177" operator="containsText" text="RECHAZADA">
      <formula>NOT(ISERROR(SEARCH("RECHAZADA",BJ141)))</formula>
    </cfRule>
  </conditionalFormatting>
  <conditionalFormatting sqref="BJ141:BJ143">
    <cfRule type="containsText" dxfId="307" priority="176" operator="containsText" text="RECHAZADA">
      <formula>NOT(ISERROR(SEARCH("RECHAZADA",BJ141)))</formula>
    </cfRule>
  </conditionalFormatting>
  <conditionalFormatting sqref="BJ141:BJ143">
    <cfRule type="cellIs" dxfId="306" priority="175" operator="equal">
      <formula>"NO VÁLIDA"</formula>
    </cfRule>
  </conditionalFormatting>
  <conditionalFormatting sqref="BJ14:BJ139">
    <cfRule type="containsText" dxfId="305" priority="174" operator="containsText" text="RECHAZADA">
      <formula>NOT(ISERROR(SEARCH("RECHAZADA",BJ14)))</formula>
    </cfRule>
  </conditionalFormatting>
  <conditionalFormatting sqref="BJ14:BJ139">
    <cfRule type="containsText" dxfId="304" priority="173" operator="containsText" text="RECHAZADA">
      <formula>NOT(ISERROR(SEARCH("RECHAZADA",BJ14)))</formula>
    </cfRule>
  </conditionalFormatting>
  <conditionalFormatting sqref="BJ14:BJ139">
    <cfRule type="containsText" dxfId="303" priority="172" operator="containsText" text="RECHAZADA">
      <formula>NOT(ISERROR(SEARCH("RECHAZADA",BJ14)))</formula>
    </cfRule>
  </conditionalFormatting>
  <conditionalFormatting sqref="BJ14:BJ139">
    <cfRule type="cellIs" dxfId="302" priority="171" operator="equal">
      <formula>"NO VÁLIDA"</formula>
    </cfRule>
  </conditionalFormatting>
  <conditionalFormatting sqref="BM148:BM150">
    <cfRule type="containsText" dxfId="301" priority="170" operator="containsText" text="RECHAZADA">
      <formula>NOT(ISERROR(SEARCH("RECHAZADA",BM148)))</formula>
    </cfRule>
  </conditionalFormatting>
  <conditionalFormatting sqref="BM148:BM150">
    <cfRule type="containsText" dxfId="300" priority="169" operator="containsText" text="RECHAZADA">
      <formula>NOT(ISERROR(SEARCH("RECHAZADA",BM148)))</formula>
    </cfRule>
  </conditionalFormatting>
  <conditionalFormatting sqref="BM148:BM150">
    <cfRule type="containsText" dxfId="299" priority="168" operator="containsText" text="RECHAZADA">
      <formula>NOT(ISERROR(SEARCH("RECHAZADA",BM148)))</formula>
    </cfRule>
  </conditionalFormatting>
  <conditionalFormatting sqref="BM148">
    <cfRule type="cellIs" dxfId="298" priority="167" operator="equal">
      <formula>"NO VÁLIDA"</formula>
    </cfRule>
  </conditionalFormatting>
  <conditionalFormatting sqref="BM149:BM150">
    <cfRule type="cellIs" dxfId="297" priority="166" operator="equal">
      <formula>"NO VÁLIDA"</formula>
    </cfRule>
  </conditionalFormatting>
  <conditionalFormatting sqref="BM154">
    <cfRule type="containsText" dxfId="296" priority="165" operator="containsText" text="RECHAZADA">
      <formula>NOT(ISERROR(SEARCH("RECHAZADA",BM154)))</formula>
    </cfRule>
  </conditionalFormatting>
  <conditionalFormatting sqref="BM154">
    <cfRule type="containsText" dxfId="295" priority="164" operator="containsText" text="RECHAZADA">
      <formula>NOT(ISERROR(SEARCH("RECHAZADA",BM154)))</formula>
    </cfRule>
  </conditionalFormatting>
  <conditionalFormatting sqref="BM154">
    <cfRule type="containsText" dxfId="294" priority="163" operator="containsText" text="RECHAZADA">
      <formula>NOT(ISERROR(SEARCH("RECHAZADA",BM154)))</formula>
    </cfRule>
  </conditionalFormatting>
  <conditionalFormatting sqref="BM154">
    <cfRule type="cellIs" dxfId="293" priority="162" operator="equal">
      <formula>"NO VÁLIDA"</formula>
    </cfRule>
  </conditionalFormatting>
  <conditionalFormatting sqref="BM156:BM157">
    <cfRule type="containsText" dxfId="292" priority="161" operator="containsText" text="RECHAZADA">
      <formula>NOT(ISERROR(SEARCH("RECHAZADA",BM156)))</formula>
    </cfRule>
  </conditionalFormatting>
  <conditionalFormatting sqref="BM156:BM157">
    <cfRule type="containsText" dxfId="291" priority="160" operator="containsText" text="RECHAZADA">
      <formula>NOT(ISERROR(SEARCH("RECHAZADA",BM156)))</formula>
    </cfRule>
  </conditionalFormatting>
  <conditionalFormatting sqref="BM156:BM157">
    <cfRule type="containsText" dxfId="290" priority="159" operator="containsText" text="RECHAZADA">
      <formula>NOT(ISERROR(SEARCH("RECHAZADA",BM156)))</formula>
    </cfRule>
  </conditionalFormatting>
  <conditionalFormatting sqref="BM156:BM157">
    <cfRule type="cellIs" dxfId="289" priority="158" operator="equal">
      <formula>"NO VÁLIDA"</formula>
    </cfRule>
  </conditionalFormatting>
  <conditionalFormatting sqref="BM146">
    <cfRule type="containsText" dxfId="288" priority="157" operator="containsText" text="RECHAZADA">
      <formula>NOT(ISERROR(SEARCH("RECHAZADA",BM146)))</formula>
    </cfRule>
  </conditionalFormatting>
  <conditionalFormatting sqref="BM146">
    <cfRule type="containsText" dxfId="287" priority="156" operator="containsText" text="RECHAZADA">
      <formula>NOT(ISERROR(SEARCH("RECHAZADA",BM146)))</formula>
    </cfRule>
  </conditionalFormatting>
  <conditionalFormatting sqref="BM146">
    <cfRule type="containsText" dxfId="286" priority="155" operator="containsText" text="RECHAZADA">
      <formula>NOT(ISERROR(SEARCH("RECHAZADA",BM146)))</formula>
    </cfRule>
  </conditionalFormatting>
  <conditionalFormatting sqref="BM146">
    <cfRule type="cellIs" dxfId="285" priority="154" operator="equal">
      <formula>"NO VÁLIDA"</formula>
    </cfRule>
  </conditionalFormatting>
  <conditionalFormatting sqref="BM141:BM143">
    <cfRule type="containsText" dxfId="284" priority="153" operator="containsText" text="RECHAZADA">
      <formula>NOT(ISERROR(SEARCH("RECHAZADA",BM141)))</formula>
    </cfRule>
  </conditionalFormatting>
  <conditionalFormatting sqref="BM141:BM143">
    <cfRule type="containsText" dxfId="283" priority="152" operator="containsText" text="RECHAZADA">
      <formula>NOT(ISERROR(SEARCH("RECHAZADA",BM141)))</formula>
    </cfRule>
  </conditionalFormatting>
  <conditionalFormatting sqref="BM141:BM143">
    <cfRule type="containsText" dxfId="282" priority="151" operator="containsText" text="RECHAZADA">
      <formula>NOT(ISERROR(SEARCH("RECHAZADA",BM141)))</formula>
    </cfRule>
  </conditionalFormatting>
  <conditionalFormatting sqref="BM141:BM143">
    <cfRule type="cellIs" dxfId="281" priority="150" operator="equal">
      <formula>"NO VÁLIDA"</formula>
    </cfRule>
  </conditionalFormatting>
  <conditionalFormatting sqref="BM14:BM139">
    <cfRule type="containsText" dxfId="280" priority="149" operator="containsText" text="RECHAZADA">
      <formula>NOT(ISERROR(SEARCH("RECHAZADA",BM14)))</formula>
    </cfRule>
  </conditionalFormatting>
  <conditionalFormatting sqref="BM14:BM139">
    <cfRule type="containsText" dxfId="279" priority="148" operator="containsText" text="RECHAZADA">
      <formula>NOT(ISERROR(SEARCH("RECHAZADA",BM14)))</formula>
    </cfRule>
  </conditionalFormatting>
  <conditionalFormatting sqref="BM14:BM139">
    <cfRule type="containsText" dxfId="278" priority="147" operator="containsText" text="RECHAZADA">
      <formula>NOT(ISERROR(SEARCH("RECHAZADA",BM14)))</formula>
    </cfRule>
  </conditionalFormatting>
  <conditionalFormatting sqref="BM14:BM139">
    <cfRule type="cellIs" dxfId="277" priority="146" operator="equal">
      <formula>"NO VÁLIDA"</formula>
    </cfRule>
  </conditionalFormatting>
  <conditionalFormatting sqref="BP148:BP150">
    <cfRule type="containsText" dxfId="276" priority="145" operator="containsText" text="RECHAZADA">
      <formula>NOT(ISERROR(SEARCH("RECHAZADA",BP148)))</formula>
    </cfRule>
  </conditionalFormatting>
  <conditionalFormatting sqref="BP148:BP150">
    <cfRule type="containsText" dxfId="275" priority="144" operator="containsText" text="RECHAZADA">
      <formula>NOT(ISERROR(SEARCH("RECHAZADA",BP148)))</formula>
    </cfRule>
  </conditionalFormatting>
  <conditionalFormatting sqref="BP148:BP150">
    <cfRule type="containsText" dxfId="274" priority="143" operator="containsText" text="RECHAZADA">
      <formula>NOT(ISERROR(SEARCH("RECHAZADA",BP148)))</formula>
    </cfRule>
  </conditionalFormatting>
  <conditionalFormatting sqref="BP148">
    <cfRule type="cellIs" dxfId="273" priority="142" operator="equal">
      <formula>"NO VÁLIDA"</formula>
    </cfRule>
  </conditionalFormatting>
  <conditionalFormatting sqref="BP149:BP150">
    <cfRule type="cellIs" dxfId="272" priority="141" operator="equal">
      <formula>"NO VÁLIDA"</formula>
    </cfRule>
  </conditionalFormatting>
  <conditionalFormatting sqref="BP154">
    <cfRule type="containsText" dxfId="271" priority="140" operator="containsText" text="RECHAZADA">
      <formula>NOT(ISERROR(SEARCH("RECHAZADA",BP154)))</formula>
    </cfRule>
  </conditionalFormatting>
  <conditionalFormatting sqref="BP154">
    <cfRule type="containsText" dxfId="270" priority="139" operator="containsText" text="RECHAZADA">
      <formula>NOT(ISERROR(SEARCH("RECHAZADA",BP154)))</formula>
    </cfRule>
  </conditionalFormatting>
  <conditionalFormatting sqref="BP154">
    <cfRule type="containsText" dxfId="269" priority="138" operator="containsText" text="RECHAZADA">
      <formula>NOT(ISERROR(SEARCH("RECHAZADA",BP154)))</formula>
    </cfRule>
  </conditionalFormatting>
  <conditionalFormatting sqref="BP154">
    <cfRule type="cellIs" dxfId="268" priority="137" operator="equal">
      <formula>"NO VÁLIDA"</formula>
    </cfRule>
  </conditionalFormatting>
  <conditionalFormatting sqref="BP156:BP157">
    <cfRule type="containsText" dxfId="267" priority="136" operator="containsText" text="RECHAZADA">
      <formula>NOT(ISERROR(SEARCH("RECHAZADA",BP156)))</formula>
    </cfRule>
  </conditionalFormatting>
  <conditionalFormatting sqref="BP156:BP157">
    <cfRule type="containsText" dxfId="266" priority="135" operator="containsText" text="RECHAZADA">
      <formula>NOT(ISERROR(SEARCH("RECHAZADA",BP156)))</formula>
    </cfRule>
  </conditionalFormatting>
  <conditionalFormatting sqref="BP156:BP157">
    <cfRule type="containsText" dxfId="265" priority="134" operator="containsText" text="RECHAZADA">
      <formula>NOT(ISERROR(SEARCH("RECHAZADA",BP156)))</formula>
    </cfRule>
  </conditionalFormatting>
  <conditionalFormatting sqref="BP156:BP157">
    <cfRule type="cellIs" dxfId="264" priority="133" operator="equal">
      <formula>"NO VÁLIDA"</formula>
    </cfRule>
  </conditionalFormatting>
  <conditionalFormatting sqref="BP146">
    <cfRule type="containsText" dxfId="263" priority="132" operator="containsText" text="RECHAZADA">
      <formula>NOT(ISERROR(SEARCH("RECHAZADA",BP146)))</formula>
    </cfRule>
  </conditionalFormatting>
  <conditionalFormatting sqref="BP146">
    <cfRule type="containsText" dxfId="262" priority="131" operator="containsText" text="RECHAZADA">
      <formula>NOT(ISERROR(SEARCH("RECHAZADA",BP146)))</formula>
    </cfRule>
  </conditionalFormatting>
  <conditionalFormatting sqref="BP146">
    <cfRule type="containsText" dxfId="261" priority="130" operator="containsText" text="RECHAZADA">
      <formula>NOT(ISERROR(SEARCH("RECHAZADA",BP146)))</formula>
    </cfRule>
  </conditionalFormatting>
  <conditionalFormatting sqref="BP146">
    <cfRule type="cellIs" dxfId="260" priority="129" operator="equal">
      <formula>"NO VÁLIDA"</formula>
    </cfRule>
  </conditionalFormatting>
  <conditionalFormatting sqref="BP141:BP143">
    <cfRule type="containsText" dxfId="259" priority="128" operator="containsText" text="RECHAZADA">
      <formula>NOT(ISERROR(SEARCH("RECHAZADA",BP141)))</formula>
    </cfRule>
  </conditionalFormatting>
  <conditionalFormatting sqref="BP141:BP143">
    <cfRule type="containsText" dxfId="258" priority="127" operator="containsText" text="RECHAZADA">
      <formula>NOT(ISERROR(SEARCH("RECHAZADA",BP141)))</formula>
    </cfRule>
  </conditionalFormatting>
  <conditionalFormatting sqref="BP141:BP143">
    <cfRule type="containsText" dxfId="257" priority="126" operator="containsText" text="RECHAZADA">
      <formula>NOT(ISERROR(SEARCH("RECHAZADA",BP141)))</formula>
    </cfRule>
  </conditionalFormatting>
  <conditionalFormatting sqref="BP141:BP143">
    <cfRule type="cellIs" dxfId="256" priority="125" operator="equal">
      <formula>"NO VÁLIDA"</formula>
    </cfRule>
  </conditionalFormatting>
  <conditionalFormatting sqref="BP14:BP139">
    <cfRule type="containsText" dxfId="255" priority="124" operator="containsText" text="RECHAZADA">
      <formula>NOT(ISERROR(SEARCH("RECHAZADA",BP14)))</formula>
    </cfRule>
  </conditionalFormatting>
  <conditionalFormatting sqref="BP14:BP139">
    <cfRule type="containsText" dxfId="254" priority="123" operator="containsText" text="RECHAZADA">
      <formula>NOT(ISERROR(SEARCH("RECHAZADA",BP14)))</formula>
    </cfRule>
  </conditionalFormatting>
  <conditionalFormatting sqref="BP14:BP139">
    <cfRule type="containsText" dxfId="253" priority="122" operator="containsText" text="RECHAZADA">
      <formula>NOT(ISERROR(SEARCH("RECHAZADA",BP14)))</formula>
    </cfRule>
  </conditionalFormatting>
  <conditionalFormatting sqref="BP14:BP139">
    <cfRule type="cellIs" dxfId="252" priority="121" operator="equal">
      <formula>"NO VÁLIDA"</formula>
    </cfRule>
  </conditionalFormatting>
  <conditionalFormatting sqref="K154">
    <cfRule type="containsText" dxfId="251" priority="120" operator="containsText" text="RECHAZADA">
      <formula>NOT(ISERROR(SEARCH("RECHAZADA",K154)))</formula>
    </cfRule>
  </conditionalFormatting>
  <conditionalFormatting sqref="K154">
    <cfRule type="containsText" dxfId="250" priority="119" operator="containsText" text="RECHAZADA">
      <formula>NOT(ISERROR(SEARCH("RECHAZADA",K154)))</formula>
    </cfRule>
  </conditionalFormatting>
  <conditionalFormatting sqref="K154">
    <cfRule type="containsText" dxfId="249" priority="118" operator="containsText" text="RECHAZADA">
      <formula>NOT(ISERROR(SEARCH("RECHAZADA",K154)))</formula>
    </cfRule>
  </conditionalFormatting>
  <conditionalFormatting sqref="K154">
    <cfRule type="cellIs" dxfId="248" priority="117" operator="equal">
      <formula>"NO VÁLIDA"</formula>
    </cfRule>
  </conditionalFormatting>
  <conditionalFormatting sqref="N156:N157">
    <cfRule type="containsText" dxfId="247" priority="116" operator="containsText" text="RECHAZADA">
      <formula>NOT(ISERROR(SEARCH("RECHAZADA",N156)))</formula>
    </cfRule>
  </conditionalFormatting>
  <conditionalFormatting sqref="N156:N157">
    <cfRule type="containsText" dxfId="246" priority="115" operator="containsText" text="RECHAZADA">
      <formula>NOT(ISERROR(SEARCH("RECHAZADA",N156)))</formula>
    </cfRule>
  </conditionalFormatting>
  <conditionalFormatting sqref="N156:N157">
    <cfRule type="containsText" dxfId="245" priority="114" operator="containsText" text="RECHAZADA">
      <formula>NOT(ISERROR(SEARCH("RECHAZADA",N156)))</formula>
    </cfRule>
  </conditionalFormatting>
  <conditionalFormatting sqref="N156:N157">
    <cfRule type="cellIs" dxfId="244" priority="113" operator="equal">
      <formula>"NO VÁLIDA"</formula>
    </cfRule>
  </conditionalFormatting>
  <conditionalFormatting sqref="N154">
    <cfRule type="containsText" dxfId="243" priority="112" operator="containsText" text="RECHAZADA">
      <formula>NOT(ISERROR(SEARCH("RECHAZADA",N154)))</formula>
    </cfRule>
  </conditionalFormatting>
  <conditionalFormatting sqref="N154">
    <cfRule type="containsText" dxfId="242" priority="111" operator="containsText" text="RECHAZADA">
      <formula>NOT(ISERROR(SEARCH("RECHAZADA",N154)))</formula>
    </cfRule>
  </conditionalFormatting>
  <conditionalFormatting sqref="N154">
    <cfRule type="containsText" dxfId="241" priority="110" operator="containsText" text="RECHAZADA">
      <formula>NOT(ISERROR(SEARCH("RECHAZADA",N154)))</formula>
    </cfRule>
  </conditionalFormatting>
  <conditionalFormatting sqref="N154">
    <cfRule type="cellIs" dxfId="240" priority="109" operator="equal">
      <formula>"NO VÁLIDA"</formula>
    </cfRule>
  </conditionalFormatting>
  <conditionalFormatting sqref="AU157">
    <cfRule type="containsText" dxfId="239" priority="88" operator="containsText" text="RECHAZADA">
      <formula>NOT(ISERROR(SEARCH("RECHAZADA",AU157)))</formula>
    </cfRule>
  </conditionalFormatting>
  <conditionalFormatting sqref="AU157">
    <cfRule type="containsText" dxfId="238" priority="87" operator="containsText" text="RECHAZADA">
      <formula>NOT(ISERROR(SEARCH("RECHAZADA",AU157)))</formula>
    </cfRule>
  </conditionalFormatting>
  <conditionalFormatting sqref="AU157">
    <cfRule type="containsText" dxfId="237" priority="86" operator="containsText" text="RECHAZADA">
      <formula>NOT(ISERROR(SEARCH("RECHAZADA",AU157)))</formula>
    </cfRule>
  </conditionalFormatting>
  <conditionalFormatting sqref="AU157">
    <cfRule type="cellIs" dxfId="236" priority="85" operator="equal">
      <formula>"NO VÁLIDA"</formula>
    </cfRule>
  </conditionalFormatting>
  <conditionalFormatting sqref="AU156">
    <cfRule type="containsText" dxfId="235" priority="76" operator="containsText" text="RECHAZADA">
      <formula>NOT(ISERROR(SEARCH("RECHAZADA",AU156)))</formula>
    </cfRule>
  </conditionalFormatting>
  <conditionalFormatting sqref="AU156">
    <cfRule type="containsText" dxfId="234" priority="75" operator="containsText" text="RECHAZADA">
      <formula>NOT(ISERROR(SEARCH("RECHAZADA",AU156)))</formula>
    </cfRule>
  </conditionalFormatting>
  <conditionalFormatting sqref="AU156">
    <cfRule type="containsText" dxfId="233" priority="74" operator="containsText" text="RECHAZADA">
      <formula>NOT(ISERROR(SEARCH("RECHAZADA",AU156)))</formula>
    </cfRule>
  </conditionalFormatting>
  <conditionalFormatting sqref="AU156">
    <cfRule type="cellIs" dxfId="232" priority="73" operator="equal">
      <formula>"NO VÁLIDA"</formula>
    </cfRule>
  </conditionalFormatting>
  <conditionalFormatting sqref="K148:K150">
    <cfRule type="containsText" dxfId="231" priority="72" operator="containsText" text="RECHAZADA">
      <formula>NOT(ISERROR(SEARCH("RECHAZADA",K148)))</formula>
    </cfRule>
  </conditionalFormatting>
  <conditionalFormatting sqref="K148:K150">
    <cfRule type="containsText" dxfId="230" priority="71" operator="containsText" text="RECHAZADA">
      <formula>NOT(ISERROR(SEARCH("RECHAZADA",K148)))</formula>
    </cfRule>
  </conditionalFormatting>
  <conditionalFormatting sqref="K148:K150">
    <cfRule type="containsText" dxfId="229" priority="70" operator="containsText" text="RECHAZADA">
      <formula>NOT(ISERROR(SEARCH("RECHAZADA",K148)))</formula>
    </cfRule>
  </conditionalFormatting>
  <conditionalFormatting sqref="K148:K150">
    <cfRule type="cellIs" dxfId="228" priority="69" operator="equal">
      <formula>"NO VÁLIDA"</formula>
    </cfRule>
  </conditionalFormatting>
  <conditionalFormatting sqref="N148:N150">
    <cfRule type="containsText" dxfId="227" priority="68" operator="containsText" text="RECHAZADA">
      <formula>NOT(ISERROR(SEARCH("RECHAZADA",N148)))</formula>
    </cfRule>
  </conditionalFormatting>
  <conditionalFormatting sqref="N148:N150">
    <cfRule type="containsText" dxfId="226" priority="67" operator="containsText" text="RECHAZADA">
      <formula>NOT(ISERROR(SEARCH("RECHAZADA",N148)))</formula>
    </cfRule>
  </conditionalFormatting>
  <conditionalFormatting sqref="N148:N150">
    <cfRule type="containsText" dxfId="225" priority="66" operator="containsText" text="RECHAZADA">
      <formula>NOT(ISERROR(SEARCH("RECHAZADA",N148)))</formula>
    </cfRule>
  </conditionalFormatting>
  <conditionalFormatting sqref="N148:N150">
    <cfRule type="cellIs" dxfId="224" priority="65" operator="equal">
      <formula>"NO VÁLIDA"</formula>
    </cfRule>
  </conditionalFormatting>
  <conditionalFormatting sqref="AI156:AI157">
    <cfRule type="containsText" dxfId="223" priority="64" operator="containsText" text="RECHAZADA">
      <formula>NOT(ISERROR(SEARCH("RECHAZADA",AI156)))</formula>
    </cfRule>
  </conditionalFormatting>
  <conditionalFormatting sqref="AI156:AI157">
    <cfRule type="containsText" dxfId="222" priority="63" operator="containsText" text="RECHAZADA">
      <formula>NOT(ISERROR(SEARCH("RECHAZADA",AI156)))</formula>
    </cfRule>
  </conditionalFormatting>
  <conditionalFormatting sqref="AI156:AI157">
    <cfRule type="containsText" dxfId="221" priority="62" operator="containsText" text="RECHAZADA">
      <formula>NOT(ISERROR(SEARCH("RECHAZADA",AI156)))</formula>
    </cfRule>
  </conditionalFormatting>
  <conditionalFormatting sqref="AI156:AI157">
    <cfRule type="cellIs" dxfId="220" priority="61" operator="equal">
      <formula>"NO VÁLIDA"</formula>
    </cfRule>
  </conditionalFormatting>
  <conditionalFormatting sqref="AI154">
    <cfRule type="containsText" dxfId="219" priority="60" operator="containsText" text="RECHAZADA">
      <formula>NOT(ISERROR(SEARCH("RECHAZADA",AI154)))</formula>
    </cfRule>
  </conditionalFormatting>
  <conditionalFormatting sqref="AI154">
    <cfRule type="containsText" dxfId="218" priority="59" operator="containsText" text="RECHAZADA">
      <formula>NOT(ISERROR(SEARCH("RECHAZADA",AI154)))</formula>
    </cfRule>
  </conditionalFormatting>
  <conditionalFormatting sqref="AI154">
    <cfRule type="containsText" dxfId="217" priority="58" operator="containsText" text="RECHAZADA">
      <formula>NOT(ISERROR(SEARCH("RECHAZADA",AI154)))</formula>
    </cfRule>
  </conditionalFormatting>
  <conditionalFormatting sqref="AI154">
    <cfRule type="cellIs" dxfId="216" priority="57" operator="equal">
      <formula>"NO VÁLIDA"</formula>
    </cfRule>
  </conditionalFormatting>
  <conditionalFormatting sqref="AI148:AI150">
    <cfRule type="containsText" dxfId="215" priority="56" operator="containsText" text="RECHAZADA">
      <formula>NOT(ISERROR(SEARCH("RECHAZADA",AI148)))</formula>
    </cfRule>
  </conditionalFormatting>
  <conditionalFormatting sqref="AI148:AI150">
    <cfRule type="containsText" dxfId="214" priority="55" operator="containsText" text="RECHAZADA">
      <formula>NOT(ISERROR(SEARCH("RECHAZADA",AI148)))</formula>
    </cfRule>
  </conditionalFormatting>
  <conditionalFormatting sqref="AI148:AI150">
    <cfRule type="containsText" dxfId="213" priority="54" operator="containsText" text="RECHAZADA">
      <formula>NOT(ISERROR(SEARCH("RECHAZADA",AI148)))</formula>
    </cfRule>
  </conditionalFormatting>
  <conditionalFormatting sqref="AI148:AI150">
    <cfRule type="cellIs" dxfId="212" priority="53" operator="equal">
      <formula>"NO VÁLIDA"</formula>
    </cfRule>
  </conditionalFormatting>
  <conditionalFormatting sqref="AO156:AO157">
    <cfRule type="containsText" dxfId="211" priority="52" operator="containsText" text="RECHAZADA">
      <formula>NOT(ISERROR(SEARCH("RECHAZADA",AO156)))</formula>
    </cfRule>
  </conditionalFormatting>
  <conditionalFormatting sqref="AO156:AO157">
    <cfRule type="containsText" dxfId="210" priority="51" operator="containsText" text="RECHAZADA">
      <formula>NOT(ISERROR(SEARCH("RECHAZADA",AO156)))</formula>
    </cfRule>
  </conditionalFormatting>
  <conditionalFormatting sqref="AO156:AO157">
    <cfRule type="containsText" dxfId="209" priority="50" operator="containsText" text="RECHAZADA">
      <formula>NOT(ISERROR(SEARCH("RECHAZADA",AO156)))</formula>
    </cfRule>
  </conditionalFormatting>
  <conditionalFormatting sqref="AO156:AO157">
    <cfRule type="cellIs" dxfId="208" priority="49" operator="equal">
      <formula>"NO VÁLIDA"</formula>
    </cfRule>
  </conditionalFormatting>
  <conditionalFormatting sqref="AO148:AO150">
    <cfRule type="containsText" dxfId="207" priority="44" operator="containsText" text="RECHAZADA">
      <formula>NOT(ISERROR(SEARCH("RECHAZADA",AO148)))</formula>
    </cfRule>
  </conditionalFormatting>
  <conditionalFormatting sqref="AO148:AO150">
    <cfRule type="containsText" dxfId="206" priority="43" operator="containsText" text="RECHAZADA">
      <formula>NOT(ISERROR(SEARCH("RECHAZADA",AO148)))</formula>
    </cfRule>
  </conditionalFormatting>
  <conditionalFormatting sqref="AO148:AO150">
    <cfRule type="containsText" dxfId="205" priority="42" operator="containsText" text="RECHAZADA">
      <formula>NOT(ISERROR(SEARCH("RECHAZADA",AO148)))</formula>
    </cfRule>
  </conditionalFormatting>
  <conditionalFormatting sqref="AO148:AO150">
    <cfRule type="cellIs" dxfId="204" priority="41" operator="equal">
      <formula>"NO VÁLIDA"</formula>
    </cfRule>
  </conditionalFormatting>
  <conditionalFormatting sqref="AX156:AX157">
    <cfRule type="containsText" dxfId="203" priority="40" operator="containsText" text="RECHAZADA">
      <formula>NOT(ISERROR(SEARCH("RECHAZADA",AX156)))</formula>
    </cfRule>
  </conditionalFormatting>
  <conditionalFormatting sqref="AX156:AX157">
    <cfRule type="containsText" dxfId="202" priority="39" operator="containsText" text="RECHAZADA">
      <formula>NOT(ISERROR(SEARCH("RECHAZADA",AX156)))</formula>
    </cfRule>
  </conditionalFormatting>
  <conditionalFormatting sqref="AX156:AX157">
    <cfRule type="containsText" dxfId="201" priority="38" operator="containsText" text="RECHAZADA">
      <formula>NOT(ISERROR(SEARCH("RECHAZADA",AX156)))</formula>
    </cfRule>
  </conditionalFormatting>
  <conditionalFormatting sqref="AX156:AX157">
    <cfRule type="cellIs" dxfId="200" priority="37" operator="equal">
      <formula>"NO VÁLIDA"</formula>
    </cfRule>
  </conditionalFormatting>
  <conditionalFormatting sqref="AX154">
    <cfRule type="containsText" dxfId="199" priority="36" operator="containsText" text="RECHAZADA">
      <formula>NOT(ISERROR(SEARCH("RECHAZADA",AX154)))</formula>
    </cfRule>
  </conditionalFormatting>
  <conditionalFormatting sqref="AX154">
    <cfRule type="containsText" dxfId="198" priority="35" operator="containsText" text="RECHAZADA">
      <formula>NOT(ISERROR(SEARCH("RECHAZADA",AX154)))</formula>
    </cfRule>
  </conditionalFormatting>
  <conditionalFormatting sqref="AX154">
    <cfRule type="containsText" dxfId="197" priority="34" operator="containsText" text="RECHAZADA">
      <formula>NOT(ISERROR(SEARCH("RECHAZADA",AX154)))</formula>
    </cfRule>
  </conditionalFormatting>
  <conditionalFormatting sqref="AX154">
    <cfRule type="cellIs" dxfId="196" priority="33" operator="equal">
      <formula>"NO VÁLIDA"</formula>
    </cfRule>
  </conditionalFormatting>
  <conditionalFormatting sqref="AX148:AX150">
    <cfRule type="containsText" dxfId="195" priority="32" operator="containsText" text="RECHAZADA">
      <formula>NOT(ISERROR(SEARCH("RECHAZADA",AX148)))</formula>
    </cfRule>
  </conditionalFormatting>
  <conditionalFormatting sqref="AX148:AX150">
    <cfRule type="containsText" dxfId="194" priority="31" operator="containsText" text="RECHAZADA">
      <formula>NOT(ISERROR(SEARCH("RECHAZADA",AX148)))</formula>
    </cfRule>
  </conditionalFormatting>
  <conditionalFormatting sqref="AX148:AX150">
    <cfRule type="containsText" dxfId="193" priority="30" operator="containsText" text="RECHAZADA">
      <formula>NOT(ISERROR(SEARCH("RECHAZADA",AX148)))</formula>
    </cfRule>
  </conditionalFormatting>
  <conditionalFormatting sqref="AX148:AX150">
    <cfRule type="cellIs" dxfId="192" priority="29" operator="equal">
      <formula>"NO VÁLIDA"</formula>
    </cfRule>
  </conditionalFormatting>
  <conditionalFormatting sqref="AF154">
    <cfRule type="containsText" dxfId="191" priority="28" operator="containsText" text="RECHAZADA">
      <formula>NOT(ISERROR(SEARCH("RECHAZADA",AF154)))</formula>
    </cfRule>
  </conditionalFormatting>
  <conditionalFormatting sqref="AF154">
    <cfRule type="containsText" dxfId="190" priority="27" operator="containsText" text="RECHAZADA">
      <formula>NOT(ISERROR(SEARCH("RECHAZADA",AF154)))</formula>
    </cfRule>
  </conditionalFormatting>
  <conditionalFormatting sqref="AF154">
    <cfRule type="containsText" dxfId="189" priority="26" operator="containsText" text="RECHAZADA">
      <formula>NOT(ISERROR(SEARCH("RECHAZADA",AF154)))</formula>
    </cfRule>
  </conditionalFormatting>
  <conditionalFormatting sqref="AF154">
    <cfRule type="cellIs" dxfId="188" priority="25" operator="equal">
      <formula>"NO VÁLIDA"</formula>
    </cfRule>
  </conditionalFormatting>
  <conditionalFormatting sqref="AF148:AF150">
    <cfRule type="containsText" dxfId="187" priority="24" operator="containsText" text="RECHAZADA">
      <formula>NOT(ISERROR(SEARCH("RECHAZADA",AF148)))</formula>
    </cfRule>
  </conditionalFormatting>
  <conditionalFormatting sqref="AF148:AF150">
    <cfRule type="containsText" dxfId="186" priority="23" operator="containsText" text="RECHAZADA">
      <formula>NOT(ISERROR(SEARCH("RECHAZADA",AF148)))</formula>
    </cfRule>
  </conditionalFormatting>
  <conditionalFormatting sqref="AF148:AF150">
    <cfRule type="containsText" dxfId="185" priority="22" operator="containsText" text="RECHAZADA">
      <formula>NOT(ISERROR(SEARCH("RECHAZADA",AF148)))</formula>
    </cfRule>
  </conditionalFormatting>
  <conditionalFormatting sqref="AF148:AF150">
    <cfRule type="cellIs" dxfId="184" priority="21" operator="equal">
      <formula>"NO VÁLIDA"</formula>
    </cfRule>
  </conditionalFormatting>
  <conditionalFormatting sqref="AO154">
    <cfRule type="containsText" dxfId="183" priority="16" operator="containsText" text="RECHAZADA">
      <formula>NOT(ISERROR(SEARCH("RECHAZADA",AO154)))</formula>
    </cfRule>
  </conditionalFormatting>
  <conditionalFormatting sqref="AO154">
    <cfRule type="containsText" dxfId="182" priority="15" operator="containsText" text="RECHAZADA">
      <formula>NOT(ISERROR(SEARCH("RECHAZADA",AO154)))</formula>
    </cfRule>
  </conditionalFormatting>
  <conditionalFormatting sqref="AO154">
    <cfRule type="containsText" dxfId="181" priority="14" operator="containsText" text="RECHAZADA">
      <formula>NOT(ISERROR(SEARCH("RECHAZADA",AO154)))</formula>
    </cfRule>
  </conditionalFormatting>
  <conditionalFormatting sqref="AO154">
    <cfRule type="cellIs" dxfId="180" priority="13" operator="equal">
      <formula>"NO VÁLIDA"</formula>
    </cfRule>
  </conditionalFormatting>
  <conditionalFormatting sqref="AR148:AR150">
    <cfRule type="containsText" dxfId="179" priority="12" operator="containsText" text="RECHAZADA">
      <formula>NOT(ISERROR(SEARCH("RECHAZADA",AR148)))</formula>
    </cfRule>
  </conditionalFormatting>
  <conditionalFormatting sqref="AR148:AR150">
    <cfRule type="containsText" dxfId="178" priority="11" operator="containsText" text="RECHAZADA">
      <formula>NOT(ISERROR(SEARCH("RECHAZADA",AR148)))</formula>
    </cfRule>
  </conditionalFormatting>
  <conditionalFormatting sqref="AR148:AR150">
    <cfRule type="containsText" dxfId="177" priority="10" operator="containsText" text="RECHAZADA">
      <formula>NOT(ISERROR(SEARCH("RECHAZADA",AR148)))</formula>
    </cfRule>
  </conditionalFormatting>
  <conditionalFormatting sqref="AR148:AR150">
    <cfRule type="cellIs" dxfId="176" priority="9" operator="equal">
      <formula>"NO VÁLIDA"</formula>
    </cfRule>
  </conditionalFormatting>
  <conditionalFormatting sqref="AR154">
    <cfRule type="containsText" dxfId="175" priority="8" operator="containsText" text="RECHAZADA">
      <formula>NOT(ISERROR(SEARCH("RECHAZADA",AR154)))</formula>
    </cfRule>
  </conditionalFormatting>
  <conditionalFormatting sqref="AR154">
    <cfRule type="containsText" dxfId="174" priority="7" operator="containsText" text="RECHAZADA">
      <formula>NOT(ISERROR(SEARCH("RECHAZADA",AR154)))</formula>
    </cfRule>
  </conditionalFormatting>
  <conditionalFormatting sqref="AR154">
    <cfRule type="containsText" dxfId="173" priority="6" operator="containsText" text="RECHAZADA">
      <formula>NOT(ISERROR(SEARCH("RECHAZADA",AR154)))</formula>
    </cfRule>
  </conditionalFormatting>
  <conditionalFormatting sqref="AR154">
    <cfRule type="cellIs" dxfId="172" priority="5" operator="equal">
      <formula>"NO VÁLIDA"</formula>
    </cfRule>
  </conditionalFormatting>
  <conditionalFormatting sqref="AU154">
    <cfRule type="containsText" dxfId="171" priority="4" operator="containsText" text="RECHAZADA">
      <formula>NOT(ISERROR(SEARCH("RECHAZADA",AU154)))</formula>
    </cfRule>
  </conditionalFormatting>
  <conditionalFormatting sqref="AU154">
    <cfRule type="containsText" dxfId="170" priority="3" operator="containsText" text="RECHAZADA">
      <formula>NOT(ISERROR(SEARCH("RECHAZADA",AU154)))</formula>
    </cfRule>
  </conditionalFormatting>
  <conditionalFormatting sqref="AU154">
    <cfRule type="containsText" dxfId="169" priority="2" operator="containsText" text="RECHAZADA">
      <formula>NOT(ISERROR(SEARCH("RECHAZADA",AU154)))</formula>
    </cfRule>
  </conditionalFormatting>
  <conditionalFormatting sqref="AU154">
    <cfRule type="cellIs" dxfId="168" priority="1" operator="equal">
      <formula>"NO VÁLIDA"</formula>
    </cfRule>
  </conditionalFormatting>
  <printOptions horizontalCentered="1"/>
  <pageMargins left="0.51181102362204722" right="0.51181102362204722" top="0.74803149606299213" bottom="0.55118110236220474" header="0.31496062992125984" footer="0.31496062992125984"/>
  <pageSetup scale="66" fitToWidth="4" fitToHeight="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58"/>
  <sheetViews>
    <sheetView topLeftCell="A19" zoomScaleNormal="100" workbookViewId="0">
      <selection activeCell="G22" sqref="G22"/>
    </sheetView>
  </sheetViews>
  <sheetFormatPr baseColWidth="10" defaultColWidth="11.42578125" defaultRowHeight="15" x14ac:dyDescent="0.25"/>
  <cols>
    <col min="1" max="1" width="3.85546875" style="6" customWidth="1"/>
    <col min="2" max="2" width="5.5703125" style="6" bestFit="1" customWidth="1"/>
    <col min="3" max="3" width="23.140625" style="10" customWidth="1"/>
    <col min="4" max="4" width="13.7109375" style="10" bestFit="1" customWidth="1"/>
    <col min="5" max="5" width="20.5703125" style="10" bestFit="1" customWidth="1"/>
    <col min="6" max="6" width="12.42578125" style="10" customWidth="1"/>
    <col min="7" max="7" width="13.28515625" style="10" customWidth="1"/>
    <col min="8" max="8" width="20.42578125" style="10" bestFit="1" customWidth="1"/>
    <col min="9" max="9" width="15.140625" style="6" hidden="1" customWidth="1"/>
    <col min="10" max="11" width="16.7109375" style="6" hidden="1" customWidth="1"/>
    <col min="12" max="12" width="18.28515625" style="6" hidden="1" customWidth="1"/>
    <col min="13" max="13" width="17.7109375" style="6" hidden="1" customWidth="1"/>
    <col min="14" max="14" width="29.28515625" style="6" hidden="1" customWidth="1"/>
    <col min="15" max="15" width="11.85546875" style="6" hidden="1" customWidth="1"/>
    <col min="16" max="16" width="2.42578125" style="6" customWidth="1"/>
    <col min="17" max="17" width="45" style="10" bestFit="1" customWidth="1"/>
    <col min="18" max="18" width="26.7109375" style="11" customWidth="1"/>
    <col min="19" max="20" width="1.42578125" style="10" customWidth="1"/>
    <col min="21" max="21" width="47.28515625" style="10" customWidth="1"/>
    <col min="22" max="26" width="21.140625" style="10" customWidth="1"/>
    <col min="27" max="16384" width="11.42578125" style="10"/>
  </cols>
  <sheetData>
    <row r="1" spans="2:26" x14ac:dyDescent="0.25">
      <c r="G1" s="213"/>
    </row>
    <row r="2" spans="2:26" x14ac:dyDescent="0.25">
      <c r="C2" s="7" t="s">
        <v>34</v>
      </c>
      <c r="D2" s="55"/>
      <c r="E2" s="207"/>
      <c r="F2" s="201"/>
      <c r="G2" s="213"/>
      <c r="H2" s="8">
        <v>70</v>
      </c>
      <c r="I2" s="9"/>
      <c r="J2" s="9"/>
      <c r="K2" s="9"/>
      <c r="L2" s="9"/>
      <c r="M2" s="9"/>
    </row>
    <row r="3" spans="2:26" x14ac:dyDescent="0.25">
      <c r="C3" s="12" t="s">
        <v>35</v>
      </c>
      <c r="D3" s="12"/>
      <c r="E3" s="12"/>
      <c r="F3" s="202"/>
      <c r="G3" s="213"/>
      <c r="H3" s="13">
        <v>2629454601</v>
      </c>
      <c r="I3" s="14"/>
      <c r="J3" s="14"/>
      <c r="K3" s="14"/>
      <c r="L3" s="14"/>
      <c r="M3" s="14"/>
    </row>
    <row r="4" spans="2:26" x14ac:dyDescent="0.25">
      <c r="C4" s="12" t="s">
        <v>36</v>
      </c>
      <c r="D4" s="12"/>
      <c r="E4" s="12"/>
      <c r="F4" s="203"/>
      <c r="G4" s="213"/>
      <c r="H4" s="15" t="s">
        <v>41</v>
      </c>
      <c r="I4" s="16"/>
      <c r="J4" s="16"/>
      <c r="K4" s="16"/>
      <c r="L4" s="16"/>
      <c r="M4" s="16"/>
    </row>
    <row r="5" spans="2:26" ht="60" x14ac:dyDescent="0.25">
      <c r="C5" s="12" t="s">
        <v>38</v>
      </c>
      <c r="D5" s="12" t="s">
        <v>176</v>
      </c>
      <c r="E5" s="17" t="str">
        <f>+IF(H4="00 - 19",A32,IF(H4="20 - 39",A33,IF(H4="40 - 59",A34,IF(H4="60 - 79",A35,IF(H4="80 - 99",A36,"INGRESE TRM")))))</f>
        <v>MEDIANA CON VALOR ABSOLUTO</v>
      </c>
      <c r="F5" s="204" t="s">
        <v>178</v>
      </c>
      <c r="G5" s="215" t="s">
        <v>179</v>
      </c>
      <c r="H5" s="214" t="s">
        <v>177</v>
      </c>
      <c r="I5" s="16"/>
      <c r="J5" s="16"/>
      <c r="K5" s="16"/>
      <c r="L5" s="16"/>
      <c r="M5" s="16"/>
    </row>
    <row r="6" spans="2:26" x14ac:dyDescent="0.25">
      <c r="G6" s="213"/>
      <c r="O6" s="6">
        <f>+COUNT(H8:H32)</f>
        <v>3</v>
      </c>
      <c r="U6" s="294" t="s">
        <v>39</v>
      </c>
      <c r="V6" s="294"/>
      <c r="W6" s="294"/>
      <c r="X6" s="294"/>
      <c r="Y6" s="294"/>
      <c r="Z6" s="294"/>
    </row>
    <row r="7" spans="2:26" ht="15" customHeight="1" x14ac:dyDescent="0.25">
      <c r="C7" s="213" t="s">
        <v>40</v>
      </c>
      <c r="D7" s="213"/>
      <c r="E7" s="213"/>
      <c r="F7" s="205"/>
      <c r="G7" s="213"/>
      <c r="H7" s="213"/>
      <c r="I7" s="18">
        <f>+VLOOKUP($M$8,K8:L32,2,FALSE)</f>
        <v>2591261028.1959224</v>
      </c>
      <c r="J7" s="9"/>
      <c r="K7" s="9"/>
      <c r="L7" s="9"/>
      <c r="M7" s="9"/>
      <c r="O7" s="6">
        <f>+ROUNDUP(O6/3,0)</f>
        <v>1</v>
      </c>
      <c r="U7" s="295"/>
      <c r="V7" s="296" t="str">
        <f>+Q8</f>
        <v>MEDIANA CON VALOR ABSOLUTO</v>
      </c>
      <c r="W7" s="296" t="str">
        <f>+Q9</f>
        <v>MEDIA GEOMETRICA CON PRESUPUESTO OFICIAL</v>
      </c>
      <c r="X7" s="296" t="str">
        <f>+Q10</f>
        <v>MEDIA ARITMETICA ALTA</v>
      </c>
      <c r="Y7" s="296" t="str">
        <f>+Q11</f>
        <v>MEDIANA ARITMETICA BAJA</v>
      </c>
      <c r="Z7" s="296" t="str">
        <f>+Q12</f>
        <v>MENOR VALOR</v>
      </c>
    </row>
    <row r="8" spans="2:26" ht="28.5" customHeight="1" x14ac:dyDescent="0.25">
      <c r="B8" s="6">
        <v>13</v>
      </c>
      <c r="C8" s="12" t="str">
        <f>+PONDERABLES!B7</f>
        <v>CONSORCIO LA PAZ</v>
      </c>
      <c r="D8" s="59" t="str">
        <f>IF('VERIFICACIÓN ARITMÉTICA'!K157="VÁLIDA",'VERIFICACIÓN ARITMÉTICA'!J156,"NO VÁLIDA")</f>
        <v>NO VÁLIDA</v>
      </c>
      <c r="E8" s="56">
        <v>2554178442.4000001</v>
      </c>
      <c r="F8" s="216" t="str">
        <f>IF(D8="NO VÁLIDA","",ABS(1-E8/D8))</f>
        <v/>
      </c>
      <c r="G8" s="59" t="str">
        <f t="shared" ref="G8:G27" si="0">IF(F8&lt;=1%," VÁLIDA","NO VÁLIDA")</f>
        <v>NO VÁLIDA</v>
      </c>
      <c r="H8" s="213" t="str">
        <f>IF(G8=" VÁLIDA",D8," ")</f>
        <v xml:space="preserve"> </v>
      </c>
      <c r="I8" s="20"/>
      <c r="J8" s="20" t="str">
        <f>+IF(H8=" "," ",$R$8-H8)</f>
        <v xml:space="preserve"> </v>
      </c>
      <c r="K8" s="20" t="str">
        <f>+IF(J8&lt;0,"",J8)</f>
        <v xml:space="preserve"> </v>
      </c>
      <c r="L8" s="20" t="str">
        <f>+H8</f>
        <v xml:space="preserve"> </v>
      </c>
      <c r="M8" s="20">
        <f>+MIN(K8:K32)</f>
        <v>0</v>
      </c>
      <c r="N8" s="21">
        <f>+H3^O7</f>
        <v>2629454601</v>
      </c>
      <c r="O8" s="6" t="b">
        <f>+ISODD(O6)</f>
        <v>1</v>
      </c>
      <c r="P8" s="16"/>
      <c r="Q8" s="12" t="str">
        <f>+A32</f>
        <v>MEDIANA CON VALOR ABSOLUTO</v>
      </c>
      <c r="R8" s="22">
        <f>+IF(Q8=E5,MEDIAN(H8:H32),"NO VALIDO")</f>
        <v>2591261028.1959224</v>
      </c>
      <c r="U8" s="295"/>
      <c r="V8" s="296"/>
      <c r="W8" s="296"/>
      <c r="X8" s="296"/>
      <c r="Y8" s="296"/>
      <c r="Z8" s="296"/>
    </row>
    <row r="9" spans="2:26" ht="28.5" customHeight="1" x14ac:dyDescent="0.25">
      <c r="B9" s="6">
        <v>12</v>
      </c>
      <c r="C9" s="54" t="str">
        <f>+PONDERABLES!B8</f>
        <v>LYDCO INGENIERIA SAS 005</v>
      </c>
      <c r="D9" s="59" t="str">
        <f>IF('VERIFICACIÓN ARITMÉTICA'!N157="VÁLIDA",'VERIFICACIÓN ARITMÉTICA'!M156,"NO VÁLIDA")</f>
        <v>NO VÁLIDA</v>
      </c>
      <c r="E9" s="56">
        <v>2564912907.4000001</v>
      </c>
      <c r="F9" s="216" t="str">
        <f t="shared" ref="F9:F27" si="1">IF(D9="NO VÁLIDA","",ABS(1-E9/D9))</f>
        <v/>
      </c>
      <c r="G9" s="59" t="str">
        <f t="shared" si="0"/>
        <v>NO VÁLIDA</v>
      </c>
      <c r="H9" s="213" t="str">
        <f t="shared" ref="H9:H27" si="2">IF(G9=" VÁLIDA",D9," ")</f>
        <v xml:space="preserve"> </v>
      </c>
      <c r="I9" s="20"/>
      <c r="J9" s="20" t="str">
        <f t="shared" ref="J9:J27" si="3">+IF(H9=" "," ",$R$8-H9)</f>
        <v xml:space="preserve"> </v>
      </c>
      <c r="K9" s="20" t="str">
        <f t="shared" ref="K9:K32" si="4">+IF(J9&lt;0,"",J9)</f>
        <v xml:space="preserve"> </v>
      </c>
      <c r="L9" s="20" t="str">
        <f t="shared" ref="L9:L32" si="5">+H9</f>
        <v xml:space="preserve"> </v>
      </c>
      <c r="M9" s="20"/>
      <c r="N9" s="23">
        <f>+GEOMEAN(H8:H32,N8)</f>
        <v>2570213112.1508088</v>
      </c>
      <c r="Q9" s="12" t="str">
        <f>+A33</f>
        <v>MEDIA GEOMETRICA CON PRESUPUESTO OFICIAL</v>
      </c>
      <c r="R9" s="22" t="str">
        <f>+IF(Q9=E5,N23,"NO VALIDO")</f>
        <v>NO VALIDO</v>
      </c>
      <c r="U9" s="45" t="str">
        <f t="shared" ref="U9:U33" si="6">+C8</f>
        <v>CONSORCIO LA PAZ</v>
      </c>
      <c r="V9" s="24">
        <f t="shared" ref="V9:V33" si="7">IFERROR(+IF(ISODD($O$6),((1-ABS(($R$8-H8)/$R$8))*$H$2),IF(ISEVEN($O$6),((1-ABS(($I$7-H8)/$I$7))*$H$2),0)),0)</f>
        <v>0</v>
      </c>
      <c r="W9" s="24" t="e">
        <f t="shared" ref="W9:W28" si="8">+IF(E8&lt;=$R$9,($H$2*(1-(($R$9-E8)/$R$9))),($H$2*(1-(2*(ABS(($R$9-E8))/$R$9)))))</f>
        <v>#VALUE!</v>
      </c>
      <c r="X9" s="25" t="e">
        <f t="shared" ref="X9:X28" si="9">+IF(E8&lt;=$R$10,($H$2*(1-(($R$10-E8)/$R$10))),($H$2*(1-(2*((ABS($R$10-E8)/$R$10))))))</f>
        <v>#VALUE!</v>
      </c>
      <c r="Y9" s="25" t="e">
        <f t="shared" ref="Y9:Y28" si="10">+IF(E8&lt;=$R$11,($H$2*(1-(($R$11-E8)/$R$11))),($H$2*(1-((ABS($R$11-E8)/$R$11)))))</f>
        <v>#VALUE!</v>
      </c>
      <c r="Z9" s="25" t="e">
        <f t="shared" ref="Z9:Z28" si="11">+IF(E8&gt;0,($H$2*$R$12)/E8,0)</f>
        <v>#VALUE!</v>
      </c>
    </row>
    <row r="10" spans="2:26" ht="28.5" customHeight="1" x14ac:dyDescent="0.25">
      <c r="B10" s="6">
        <v>17</v>
      </c>
      <c r="C10" s="54" t="str">
        <f>+PONDERABLES!B9</f>
        <v>GRD-FDLC-LP-005-2019</v>
      </c>
      <c r="D10" s="213">
        <f>IF('VERIFICACIÓN ARITMÉTICA'!Q157="VÁLIDA",'VERIFICACIÓN ARITMÉTICA'!P156,"NO VÁLIDA")</f>
        <v>2519407121.6647573</v>
      </c>
      <c r="E10" s="56">
        <v>2486139495.4000001</v>
      </c>
      <c r="F10" s="216">
        <f t="shared" si="1"/>
        <v>1.3204545616579355E-2</v>
      </c>
      <c r="G10" s="59" t="str">
        <f t="shared" si="0"/>
        <v>NO VÁLIDA</v>
      </c>
      <c r="H10" s="213" t="str">
        <f t="shared" si="2"/>
        <v xml:space="preserve"> </v>
      </c>
      <c r="I10" s="20"/>
      <c r="J10" s="20" t="str">
        <f t="shared" si="3"/>
        <v xml:space="preserve"> </v>
      </c>
      <c r="K10" s="20" t="str">
        <f t="shared" si="4"/>
        <v xml:space="preserve"> </v>
      </c>
      <c r="L10" s="20" t="str">
        <f t="shared" si="5"/>
        <v xml:space="preserve"> </v>
      </c>
      <c r="M10" s="20"/>
      <c r="N10" s="26">
        <f>+MAX(H8:H32)</f>
        <v>2591261043.449007</v>
      </c>
      <c r="Q10" s="12" t="str">
        <f>+A34</f>
        <v>MEDIA ARITMETICA ALTA</v>
      </c>
      <c r="R10" s="22" t="str">
        <f>+IF(Q10=E5,(N10+N11)/2,"NO VALIDO")</f>
        <v>NO VALIDO</v>
      </c>
      <c r="U10" s="45" t="str">
        <f t="shared" si="6"/>
        <v>LYDCO INGENIERIA SAS 005</v>
      </c>
      <c r="V10" s="24">
        <f t="shared" si="7"/>
        <v>0</v>
      </c>
      <c r="W10" s="24" t="e">
        <f t="shared" si="8"/>
        <v>#VALUE!</v>
      </c>
      <c r="X10" s="25" t="e">
        <f t="shared" si="9"/>
        <v>#VALUE!</v>
      </c>
      <c r="Y10" s="25" t="e">
        <f t="shared" si="10"/>
        <v>#VALUE!</v>
      </c>
      <c r="Z10" s="25" t="e">
        <f t="shared" si="11"/>
        <v>#VALUE!</v>
      </c>
    </row>
    <row r="11" spans="2:26" ht="28.5" customHeight="1" x14ac:dyDescent="0.25">
      <c r="B11" s="6">
        <v>2</v>
      </c>
      <c r="C11" s="12" t="str">
        <f>+PONDERABLES!B10</f>
        <v>CONSORCIO CONSTRUVALOR</v>
      </c>
      <c r="D11" s="213">
        <f>IF('VERIFICACIÓN ARITMÉTICA'!T157="VÁLIDA",'VERIFICACIÓN ARITMÉTICA'!S156,"NO VÁLIDA")</f>
        <v>2556054988.2721424</v>
      </c>
      <c r="E11" s="56">
        <v>2593687043.4000001</v>
      </c>
      <c r="F11" s="216">
        <f t="shared" si="1"/>
        <v>1.472270952719068E-2</v>
      </c>
      <c r="G11" s="59" t="str">
        <f t="shared" si="0"/>
        <v>NO VÁLIDA</v>
      </c>
      <c r="H11" s="213" t="str">
        <f t="shared" si="2"/>
        <v xml:space="preserve"> </v>
      </c>
      <c r="I11" s="20"/>
      <c r="J11" s="20" t="str">
        <f t="shared" si="3"/>
        <v xml:space="preserve"> </v>
      </c>
      <c r="K11" s="20" t="str">
        <f t="shared" si="4"/>
        <v xml:space="preserve"> </v>
      </c>
      <c r="L11" s="20" t="str">
        <f t="shared" si="5"/>
        <v xml:space="preserve"> </v>
      </c>
      <c r="M11" s="20"/>
      <c r="N11" s="26">
        <f>+AVERAGE(H8:H32)</f>
        <v>2551393651.7663555</v>
      </c>
      <c r="Q11" s="12" t="str">
        <f>+A35</f>
        <v>MEDIANA ARITMETICA BAJA</v>
      </c>
      <c r="R11" s="22" t="str">
        <f>+IF(Q11=E5,(N12+N11)/2,"NO VALIDO")</f>
        <v>NO VALIDO</v>
      </c>
      <c r="U11" s="45" t="str">
        <f t="shared" si="6"/>
        <v>GRD-FDLC-LP-005-2019</v>
      </c>
      <c r="V11" s="24">
        <f t="shared" si="7"/>
        <v>0</v>
      </c>
      <c r="W11" s="24" t="e">
        <f t="shared" si="8"/>
        <v>#VALUE!</v>
      </c>
      <c r="X11" s="25" t="e">
        <f t="shared" si="9"/>
        <v>#VALUE!</v>
      </c>
      <c r="Y11" s="25" t="e">
        <f t="shared" si="10"/>
        <v>#VALUE!</v>
      </c>
      <c r="Z11" s="25" t="e">
        <f t="shared" si="11"/>
        <v>#VALUE!</v>
      </c>
    </row>
    <row r="12" spans="2:26" ht="28.5" customHeight="1" x14ac:dyDescent="0.25">
      <c r="B12" s="6">
        <v>3</v>
      </c>
      <c r="C12" s="12" t="str">
        <f>+PONDERABLES!B11</f>
        <v>CONSORCIO CANDELARIA005
-2019 FDLC -LP005-2019</v>
      </c>
      <c r="D12" s="213">
        <f>IF('VERIFICACIÓN ARITMÉTICA'!W157="VÁLIDA",'VERIFICACIÓN ARITMÉTICA'!V156,"NO VÁLIDA")</f>
        <v>2591261043.449007</v>
      </c>
      <c r="E12" s="56">
        <v>2591261044.21</v>
      </c>
      <c r="F12" s="216">
        <f t="shared" si="1"/>
        <v>2.9367663856305626E-10</v>
      </c>
      <c r="G12" s="59" t="str">
        <f t="shared" si="0"/>
        <v xml:space="preserve"> VÁLIDA</v>
      </c>
      <c r="H12" s="213">
        <f t="shared" si="2"/>
        <v>2591261043.449007</v>
      </c>
      <c r="I12" s="20"/>
      <c r="J12" s="20">
        <f>+IF(H12=" "," ",$R$8-H12)</f>
        <v>-15.253084659576416</v>
      </c>
      <c r="K12" s="20" t="str">
        <f t="shared" si="4"/>
        <v/>
      </c>
      <c r="L12" s="20">
        <f t="shared" si="5"/>
        <v>2591261043.449007</v>
      </c>
      <c r="M12" s="20"/>
      <c r="N12" s="26">
        <f>+MIN(H8:H32)</f>
        <v>2471658883.6541376</v>
      </c>
      <c r="Q12" s="12" t="str">
        <f>+A36</f>
        <v>MENOR VALOR</v>
      </c>
      <c r="R12" s="22" t="str">
        <f>+IF(Q12=E5,MIN(H8:H32),"NO VALIDO")</f>
        <v>NO VALIDO</v>
      </c>
      <c r="U12" s="45" t="str">
        <f t="shared" si="6"/>
        <v>CONSORCIO CONSTRUVALOR</v>
      </c>
      <c r="V12" s="24">
        <f t="shared" si="7"/>
        <v>0</v>
      </c>
      <c r="W12" s="24" t="e">
        <f t="shared" si="8"/>
        <v>#VALUE!</v>
      </c>
      <c r="X12" s="25" t="e">
        <f t="shared" si="9"/>
        <v>#VALUE!</v>
      </c>
      <c r="Y12" s="25" t="e">
        <f t="shared" si="10"/>
        <v>#VALUE!</v>
      </c>
      <c r="Z12" s="25" t="e">
        <f t="shared" si="11"/>
        <v>#VALUE!</v>
      </c>
    </row>
    <row r="13" spans="2:26" ht="28.5" customHeight="1" x14ac:dyDescent="0.25">
      <c r="B13" s="6">
        <v>18</v>
      </c>
      <c r="C13" s="12" t="str">
        <f>+PONDERABLES!B12</f>
        <v>FDLC-LP-005-2019-
CONSORCIO VIAS BOGOTA 2019</v>
      </c>
      <c r="D13" s="213">
        <f>IF('VERIFICACIÓN ARITMÉTICA'!Z157="VÁLIDA",'VERIFICACIÓN ARITMÉTICA'!Y156,"NO VÁLIDA")</f>
        <v>2471658883.6541376</v>
      </c>
      <c r="E13" s="56">
        <v>2471658884</v>
      </c>
      <c r="F13" s="216">
        <f t="shared" si="1"/>
        <v>1.3993117775612518E-10</v>
      </c>
      <c r="G13" s="59" t="str">
        <f t="shared" si="0"/>
        <v xml:space="preserve"> VÁLIDA</v>
      </c>
      <c r="H13" s="213">
        <f t="shared" si="2"/>
        <v>2471658883.6541376</v>
      </c>
      <c r="I13" s="20"/>
      <c r="J13" s="20">
        <f t="shared" si="3"/>
        <v>119602144.54178476</v>
      </c>
      <c r="K13" s="20">
        <f t="shared" si="4"/>
        <v>119602144.54178476</v>
      </c>
      <c r="L13" s="20">
        <f t="shared" si="5"/>
        <v>2471658883.6541376</v>
      </c>
      <c r="M13" s="20"/>
      <c r="N13" s="6">
        <f>+PRODUCT(H8:H32)</f>
        <v>1.6596284172937099E+28</v>
      </c>
      <c r="U13" s="45" t="str">
        <f t="shared" si="6"/>
        <v>CONSORCIO CANDELARIA005
-2019 FDLC -LP005-2019</v>
      </c>
      <c r="V13" s="24">
        <f t="shared" si="7"/>
        <v>69.999999587955088</v>
      </c>
      <c r="W13" s="24" t="e">
        <f t="shared" si="8"/>
        <v>#VALUE!</v>
      </c>
      <c r="X13" s="25" t="e">
        <f t="shared" si="9"/>
        <v>#VALUE!</v>
      </c>
      <c r="Y13" s="25" t="e">
        <f t="shared" si="10"/>
        <v>#VALUE!</v>
      </c>
      <c r="Z13" s="25" t="e">
        <f t="shared" si="11"/>
        <v>#VALUE!</v>
      </c>
    </row>
    <row r="14" spans="2:26" ht="28.5" customHeight="1" x14ac:dyDescent="0.25">
      <c r="B14" s="6">
        <v>6</v>
      </c>
      <c r="C14" s="12" t="str">
        <f>+PONDERABLES!B13</f>
        <v>CONSORCIO VIAL CANDELARIA</v>
      </c>
      <c r="D14" s="213">
        <f>IF('VERIFICACIÓN ARITMÉTICA'!AC157="VÁLIDA",'VERIFICACIÓN ARITMÉTICA'!AB156,"NO VÁLIDA")</f>
        <v>2548055245.5280876</v>
      </c>
      <c r="E14" s="56">
        <v>2585828672.3499999</v>
      </c>
      <c r="F14" s="216">
        <f t="shared" si="1"/>
        <v>1.4824414379635442E-2</v>
      </c>
      <c r="G14" s="59" t="str">
        <f t="shared" si="0"/>
        <v>NO VÁLIDA</v>
      </c>
      <c r="H14" s="213" t="str">
        <f t="shared" si="2"/>
        <v xml:space="preserve"> </v>
      </c>
      <c r="I14" s="20"/>
      <c r="J14" s="20" t="str">
        <f t="shared" si="3"/>
        <v xml:space="preserve"> </v>
      </c>
      <c r="K14" s="20" t="str">
        <f t="shared" si="4"/>
        <v xml:space="preserve"> </v>
      </c>
      <c r="L14" s="20" t="str">
        <f t="shared" si="5"/>
        <v xml:space="preserve"> </v>
      </c>
      <c r="M14" s="27">
        <f>+COUNT(N14:N92)</f>
        <v>10</v>
      </c>
      <c r="N14" s="6">
        <f t="shared" ref="N14:N21" si="12">+IF(O14&lt;=$O$7,$H$3,"")</f>
        <v>2629454601</v>
      </c>
      <c r="U14" s="45" t="str">
        <f t="shared" si="6"/>
        <v>FDLC-LP-005-2019-
CONSORCIO VIAS BOGOTA 2019</v>
      </c>
      <c r="V14" s="24">
        <f t="shared" si="7"/>
        <v>66.769082687222067</v>
      </c>
      <c r="W14" s="24" t="e">
        <f t="shared" si="8"/>
        <v>#VALUE!</v>
      </c>
      <c r="X14" s="25" t="e">
        <f t="shared" si="9"/>
        <v>#VALUE!</v>
      </c>
      <c r="Y14" s="25" t="e">
        <f t="shared" si="10"/>
        <v>#VALUE!</v>
      </c>
      <c r="Z14" s="25" t="e">
        <f t="shared" si="11"/>
        <v>#VALUE!</v>
      </c>
    </row>
    <row r="15" spans="2:26" ht="28.5" customHeight="1" x14ac:dyDescent="0.25">
      <c r="B15" s="6">
        <v>11</v>
      </c>
      <c r="C15" s="12" t="str">
        <f>+PONDERABLES!B14</f>
        <v>MSB FONDO LOCAL 
DE LA CANDELARIA</v>
      </c>
      <c r="D15" s="59" t="str">
        <f>IF('VERIFICACIÓN ARITMÉTICA'!AF157="VÁLIDA",'VERIFICACIÓN ARITMÉTICA'!AE156,"NO VÁLIDA")</f>
        <v>NO VÁLIDA</v>
      </c>
      <c r="E15" s="56">
        <v>2570085069.3499999</v>
      </c>
      <c r="F15" s="216" t="str">
        <f t="shared" si="1"/>
        <v/>
      </c>
      <c r="G15" s="59" t="str">
        <f t="shared" si="0"/>
        <v>NO VÁLIDA</v>
      </c>
      <c r="H15" s="213" t="str">
        <f t="shared" si="2"/>
        <v xml:space="preserve"> </v>
      </c>
      <c r="I15" s="20"/>
      <c r="J15" s="20" t="str">
        <f t="shared" si="3"/>
        <v xml:space="preserve"> </v>
      </c>
      <c r="K15" s="20" t="str">
        <f t="shared" si="4"/>
        <v xml:space="preserve"> </v>
      </c>
      <c r="L15" s="20" t="str">
        <f t="shared" si="5"/>
        <v xml:space="preserve"> </v>
      </c>
      <c r="M15" s="20"/>
      <c r="N15" s="6">
        <f t="shared" si="12"/>
        <v>2629454601</v>
      </c>
      <c r="U15" s="45" t="str">
        <f t="shared" si="6"/>
        <v>CONSORCIO VIAL CANDELARIA</v>
      </c>
      <c r="V15" s="24">
        <f t="shared" si="7"/>
        <v>0</v>
      </c>
      <c r="W15" s="24" t="e">
        <f t="shared" si="8"/>
        <v>#VALUE!</v>
      </c>
      <c r="X15" s="25" t="e">
        <f t="shared" si="9"/>
        <v>#VALUE!</v>
      </c>
      <c r="Y15" s="25" t="e">
        <f t="shared" si="10"/>
        <v>#VALUE!</v>
      </c>
      <c r="Z15" s="25" t="e">
        <f t="shared" si="11"/>
        <v>#VALUE!</v>
      </c>
    </row>
    <row r="16" spans="2:26" ht="28.5" customHeight="1" x14ac:dyDescent="0.25">
      <c r="B16" s="6" t="e">
        <v>#N/A</v>
      </c>
      <c r="C16" s="12" t="str">
        <f>+PONDERABLES!B15</f>
        <v>FDLC-LP005-2019 CFD 
INGENIERIA</v>
      </c>
      <c r="D16" s="59" t="str">
        <f>IF('VERIFICACIÓN ARITMÉTICA'!AI157="VÁLIDA",'VERIFICACIÓN ARITMÉTICA'!AH156,"NO VÁLIDA")</f>
        <v>NO VÁLIDA</v>
      </c>
      <c r="E16" s="19"/>
      <c r="F16" s="216" t="str">
        <f t="shared" si="1"/>
        <v/>
      </c>
      <c r="G16" s="59" t="str">
        <f t="shared" si="0"/>
        <v>NO VÁLIDA</v>
      </c>
      <c r="H16" s="213" t="str">
        <f t="shared" si="2"/>
        <v xml:space="preserve"> </v>
      </c>
      <c r="I16" s="20"/>
      <c r="J16" s="20" t="str">
        <f t="shared" si="3"/>
        <v xml:space="preserve"> </v>
      </c>
      <c r="K16" s="20" t="str">
        <f t="shared" si="4"/>
        <v xml:space="preserve"> </v>
      </c>
      <c r="L16" s="20" t="str">
        <f t="shared" si="5"/>
        <v xml:space="preserve"> </v>
      </c>
      <c r="M16" s="20"/>
      <c r="N16" s="6">
        <f t="shared" si="12"/>
        <v>2629454601</v>
      </c>
      <c r="U16" s="45" t="str">
        <f t="shared" si="6"/>
        <v>MSB FONDO LOCAL 
DE LA CANDELARIA</v>
      </c>
      <c r="V16" s="24">
        <f t="shared" si="7"/>
        <v>0</v>
      </c>
      <c r="W16" s="24" t="e">
        <f t="shared" si="8"/>
        <v>#VALUE!</v>
      </c>
      <c r="X16" s="25" t="e">
        <f t="shared" si="9"/>
        <v>#VALUE!</v>
      </c>
      <c r="Y16" s="25" t="e">
        <f t="shared" si="10"/>
        <v>#VALUE!</v>
      </c>
      <c r="Z16" s="25" t="e">
        <f t="shared" si="11"/>
        <v>#VALUE!</v>
      </c>
    </row>
    <row r="17" spans="1:26" ht="28.5" customHeight="1" x14ac:dyDescent="0.25">
      <c r="B17" s="6">
        <v>19</v>
      </c>
      <c r="C17" s="12" t="str">
        <f>+PONDERABLES!B16</f>
        <v>JEINCO FDLC -LP 005-2019</v>
      </c>
      <c r="D17" s="213">
        <f>IF('VERIFICACIÓN ARITMÉTICA'!AL157="VÁLIDA",'VERIFICACIÓN ARITMÉTICA'!AK156,"NO VÁLIDA")</f>
        <v>2423643631.0547576</v>
      </c>
      <c r="E17" s="56">
        <v>2459163639.5999999</v>
      </c>
      <c r="F17" s="216">
        <f t="shared" si="1"/>
        <v>1.4655623496010461E-2</v>
      </c>
      <c r="G17" s="59" t="str">
        <f t="shared" si="0"/>
        <v>NO VÁLIDA</v>
      </c>
      <c r="H17" s="213" t="str">
        <f t="shared" si="2"/>
        <v xml:space="preserve"> </v>
      </c>
      <c r="I17" s="20"/>
      <c r="J17" s="20" t="str">
        <f t="shared" si="3"/>
        <v xml:space="preserve"> </v>
      </c>
      <c r="K17" s="20" t="str">
        <f t="shared" si="4"/>
        <v xml:space="preserve"> </v>
      </c>
      <c r="L17" s="20" t="str">
        <f t="shared" si="5"/>
        <v xml:space="preserve"> </v>
      </c>
      <c r="M17" s="20"/>
      <c r="N17" s="6">
        <f t="shared" si="12"/>
        <v>2629454601</v>
      </c>
      <c r="U17" s="45" t="str">
        <f t="shared" si="6"/>
        <v>FDLC-LP005-2019 CFD 
INGENIERIA</v>
      </c>
      <c r="V17" s="24">
        <f t="shared" si="7"/>
        <v>0</v>
      </c>
      <c r="W17" s="24" t="e">
        <f t="shared" si="8"/>
        <v>#VALUE!</v>
      </c>
      <c r="X17" s="25" t="e">
        <f t="shared" si="9"/>
        <v>#VALUE!</v>
      </c>
      <c r="Y17" s="25" t="e">
        <f t="shared" si="10"/>
        <v>#VALUE!</v>
      </c>
      <c r="Z17" s="25">
        <f t="shared" si="11"/>
        <v>0</v>
      </c>
    </row>
    <row r="18" spans="1:26" ht="28.5" customHeight="1" x14ac:dyDescent="0.25">
      <c r="B18" s="6">
        <v>7</v>
      </c>
      <c r="C18" s="12" t="str">
        <f>+PONDERABLES!B17</f>
        <v>GAMMA 
INGENIEROS ARQUITECTOS</v>
      </c>
      <c r="D18" s="59" t="str">
        <f>IF('VERIFICACIÓN ARITMÉTICA'!AO157="VÁLIDA",'VERIFICACIÓN ARITMÉTICA'!AN156,"NO VÁLIDA")</f>
        <v>NO VÁLIDA</v>
      </c>
      <c r="E18" s="56">
        <v>2585280214.3499999</v>
      </c>
      <c r="F18" s="216" t="str">
        <f t="shared" si="1"/>
        <v/>
      </c>
      <c r="G18" s="59" t="str">
        <f t="shared" si="0"/>
        <v>NO VÁLIDA</v>
      </c>
      <c r="H18" s="213" t="str">
        <f t="shared" si="2"/>
        <v xml:space="preserve"> </v>
      </c>
      <c r="J18" s="20" t="str">
        <f t="shared" si="3"/>
        <v xml:space="preserve"> </v>
      </c>
      <c r="K18" s="20" t="str">
        <f t="shared" si="4"/>
        <v xml:space="preserve"> </v>
      </c>
      <c r="L18" s="20" t="str">
        <f t="shared" si="5"/>
        <v xml:space="preserve"> </v>
      </c>
      <c r="M18" s="20"/>
      <c r="N18" s="6">
        <f t="shared" si="12"/>
        <v>2629454601</v>
      </c>
      <c r="U18" s="45" t="str">
        <f t="shared" si="6"/>
        <v>JEINCO FDLC -LP 005-2019</v>
      </c>
      <c r="V18" s="24">
        <f t="shared" si="7"/>
        <v>0</v>
      </c>
      <c r="W18" s="24" t="e">
        <f t="shared" si="8"/>
        <v>#VALUE!</v>
      </c>
      <c r="X18" s="25" t="e">
        <f t="shared" si="9"/>
        <v>#VALUE!</v>
      </c>
      <c r="Y18" s="25" t="e">
        <f t="shared" si="10"/>
        <v>#VALUE!</v>
      </c>
      <c r="Z18" s="25" t="e">
        <f t="shared" si="11"/>
        <v>#VALUE!</v>
      </c>
    </row>
    <row r="19" spans="1:26" ht="30" x14ac:dyDescent="0.25">
      <c r="B19" s="6">
        <v>4</v>
      </c>
      <c r="C19" s="12" t="str">
        <f>+PONDERABLES!B18</f>
        <v>ESPACIO PUBLICO 
CANDELARIA EEI SAS</v>
      </c>
      <c r="D19" s="59" t="str">
        <f>IF('VERIFICACIÓN ARITMÉTICA'!AR157="VÁLIDA",'VERIFICACIÓN ARITMÉTICA'!AQ156,"NO VÁLIDA")</f>
        <v>NO VÁLIDA</v>
      </c>
      <c r="E19" s="56">
        <v>2591253517.4000001</v>
      </c>
      <c r="F19" s="216" t="str">
        <f t="shared" si="1"/>
        <v/>
      </c>
      <c r="G19" s="59" t="str">
        <f t="shared" si="0"/>
        <v>NO VÁLIDA</v>
      </c>
      <c r="H19" s="244" t="str">
        <f t="shared" si="2"/>
        <v xml:space="preserve"> </v>
      </c>
      <c r="I19" s="28"/>
      <c r="J19" s="20" t="str">
        <f t="shared" si="3"/>
        <v xml:space="preserve"> </v>
      </c>
      <c r="K19" s="20" t="str">
        <f t="shared" si="4"/>
        <v xml:space="preserve"> </v>
      </c>
      <c r="L19" s="20" t="str">
        <f t="shared" si="5"/>
        <v xml:space="preserve"> </v>
      </c>
      <c r="M19" s="20"/>
      <c r="N19" s="6">
        <f t="shared" si="12"/>
        <v>2629454601</v>
      </c>
      <c r="U19" s="45" t="str">
        <f t="shared" si="6"/>
        <v>GAMMA 
INGENIEROS ARQUITECTOS</v>
      </c>
      <c r="V19" s="24">
        <f t="shared" si="7"/>
        <v>0</v>
      </c>
      <c r="W19" s="24" t="e">
        <f t="shared" si="8"/>
        <v>#VALUE!</v>
      </c>
      <c r="X19" s="25" t="e">
        <f t="shared" si="9"/>
        <v>#VALUE!</v>
      </c>
      <c r="Y19" s="25" t="e">
        <f t="shared" si="10"/>
        <v>#VALUE!</v>
      </c>
      <c r="Z19" s="25" t="e">
        <f t="shared" si="11"/>
        <v>#VALUE!</v>
      </c>
    </row>
    <row r="20" spans="1:26" ht="28.5" customHeight="1" x14ac:dyDescent="0.25">
      <c r="B20" s="6">
        <v>14</v>
      </c>
      <c r="C20" s="12" t="str">
        <f>+PONDERABLES!B19</f>
        <v>UT BOGOTA VIAL</v>
      </c>
      <c r="D20" s="59" t="str">
        <f>IF('VERIFICACIÓN ARITMÉTICA'!AU157="VÁLIDA",'VERIFICACIÓN ARITMÉTICA'!AT156,"NO VÁLIDA")</f>
        <v>NO VÁLIDA</v>
      </c>
      <c r="E20" s="56">
        <v>2540938777.0999999</v>
      </c>
      <c r="F20" s="216" t="str">
        <f t="shared" si="1"/>
        <v/>
      </c>
      <c r="G20" s="59" t="str">
        <f t="shared" si="0"/>
        <v>NO VÁLIDA</v>
      </c>
      <c r="H20" s="213" t="str">
        <f t="shared" si="2"/>
        <v xml:space="preserve"> </v>
      </c>
      <c r="J20" s="20" t="str">
        <f t="shared" si="3"/>
        <v xml:space="preserve"> </v>
      </c>
      <c r="K20" s="20" t="str">
        <f t="shared" si="4"/>
        <v xml:space="preserve"> </v>
      </c>
      <c r="L20" s="20" t="str">
        <f t="shared" si="5"/>
        <v xml:space="preserve"> </v>
      </c>
      <c r="M20" s="20"/>
      <c r="N20" s="6">
        <f t="shared" si="12"/>
        <v>2629454601</v>
      </c>
      <c r="U20" s="45" t="str">
        <f t="shared" si="6"/>
        <v>ESPACIO PUBLICO 
CANDELARIA EEI SAS</v>
      </c>
      <c r="V20" s="24">
        <f t="shared" si="7"/>
        <v>0</v>
      </c>
      <c r="W20" s="24" t="e">
        <f t="shared" si="8"/>
        <v>#VALUE!</v>
      </c>
      <c r="X20" s="25" t="e">
        <f t="shared" si="9"/>
        <v>#VALUE!</v>
      </c>
      <c r="Y20" s="25" t="e">
        <f t="shared" si="10"/>
        <v>#VALUE!</v>
      </c>
      <c r="Z20" s="25" t="e">
        <f t="shared" si="11"/>
        <v>#VALUE!</v>
      </c>
    </row>
    <row r="21" spans="1:26" ht="28.5" customHeight="1" x14ac:dyDescent="0.25">
      <c r="B21" s="6">
        <v>9</v>
      </c>
      <c r="C21" s="12" t="str">
        <f>+PONDERABLES!B20</f>
        <v>CANDELARIA BYP</v>
      </c>
      <c r="D21" s="59" t="str">
        <f>IF('VERIFICACIÓN ARITMÉTICA'!AX157="VÁLIDA",'VERIFICACIÓN ARITMÉTICA'!AW156,"NO VÁLIDA")</f>
        <v>NO VÁLIDA</v>
      </c>
      <c r="E21" s="56">
        <v>2578737029.4000001</v>
      </c>
      <c r="F21" s="216" t="str">
        <f t="shared" si="1"/>
        <v/>
      </c>
      <c r="G21" s="59" t="str">
        <f t="shared" si="0"/>
        <v>NO VÁLIDA</v>
      </c>
      <c r="H21" s="213" t="str">
        <f t="shared" si="2"/>
        <v xml:space="preserve"> </v>
      </c>
      <c r="J21" s="20" t="str">
        <f t="shared" si="3"/>
        <v xml:space="preserve"> </v>
      </c>
      <c r="K21" s="20" t="str">
        <f t="shared" si="4"/>
        <v xml:space="preserve"> </v>
      </c>
      <c r="L21" s="20" t="str">
        <f t="shared" si="5"/>
        <v xml:space="preserve"> </v>
      </c>
      <c r="M21" s="20"/>
      <c r="N21" s="6">
        <f t="shared" si="12"/>
        <v>2629454601</v>
      </c>
      <c r="U21" s="45" t="str">
        <f t="shared" si="6"/>
        <v>UT BOGOTA VIAL</v>
      </c>
      <c r="V21" s="24">
        <f t="shared" si="7"/>
        <v>0</v>
      </c>
      <c r="W21" s="24" t="e">
        <f t="shared" si="8"/>
        <v>#VALUE!</v>
      </c>
      <c r="X21" s="25" t="e">
        <f t="shared" si="9"/>
        <v>#VALUE!</v>
      </c>
      <c r="Y21" s="25" t="e">
        <f t="shared" si="10"/>
        <v>#VALUE!</v>
      </c>
      <c r="Z21" s="25" t="e">
        <f t="shared" si="11"/>
        <v>#VALUE!</v>
      </c>
    </row>
    <row r="22" spans="1:26" ht="28.5" customHeight="1" x14ac:dyDescent="0.25">
      <c r="B22" s="6">
        <v>4</v>
      </c>
      <c r="C22" s="12" t="str">
        <f>+PONDERABLES!B21</f>
        <v>CON &amp; CON</v>
      </c>
      <c r="D22" s="213">
        <f>IF('VERIFICACIÓN ARITMÉTICA'!BA157="VÁLIDA",'VERIFICACIÓN ARITMÉTICA'!AZ156,"NO VÁLIDA")</f>
        <v>2591261028.1959224</v>
      </c>
      <c r="E22" s="56">
        <v>2591253517.4000001</v>
      </c>
      <c r="F22" s="216">
        <f t="shared" si="1"/>
        <v>2.8985099689293747E-6</v>
      </c>
      <c r="G22" s="59" t="str">
        <f t="shared" si="0"/>
        <v xml:space="preserve"> VÁLIDA</v>
      </c>
      <c r="H22" s="213">
        <f t="shared" si="2"/>
        <v>2591261028.1959224</v>
      </c>
      <c r="J22" s="20">
        <f t="shared" si="3"/>
        <v>0</v>
      </c>
      <c r="K22" s="20">
        <f t="shared" si="4"/>
        <v>0</v>
      </c>
      <c r="L22" s="20">
        <f t="shared" si="5"/>
        <v>2591261028.1959224</v>
      </c>
      <c r="M22" s="20"/>
      <c r="N22" s="6">
        <f>+N8*N13</f>
        <v>4.3639175778032935E+37</v>
      </c>
      <c r="U22" s="45" t="str">
        <f t="shared" si="6"/>
        <v>CANDELARIA BYP</v>
      </c>
      <c r="V22" s="24">
        <f t="shared" si="7"/>
        <v>0</v>
      </c>
      <c r="W22" s="24" t="e">
        <f t="shared" si="8"/>
        <v>#VALUE!</v>
      </c>
      <c r="X22" s="25" t="e">
        <f t="shared" si="9"/>
        <v>#VALUE!</v>
      </c>
      <c r="Y22" s="25" t="e">
        <f t="shared" si="10"/>
        <v>#VALUE!</v>
      </c>
      <c r="Z22" s="25" t="e">
        <f t="shared" si="11"/>
        <v>#VALUE!</v>
      </c>
    </row>
    <row r="23" spans="1:26" ht="28.5" customHeight="1" x14ac:dyDescent="0.25">
      <c r="B23" s="6">
        <v>16</v>
      </c>
      <c r="C23" s="12" t="str">
        <f>+PONDERABLES!B22</f>
        <v>CONSORCIO VMJ-R&amp;E 
VIAS 2019 CALLE 10</v>
      </c>
      <c r="D23" s="213">
        <f>IF('VERIFICACIÓN ARITMÉTICA'!BD157="VÁLIDA",'VERIFICACIÓN ARITMÉTICA'!BC156,"NO VÁLIDA")</f>
        <v>2492835417.4775562</v>
      </c>
      <c r="E23" s="56">
        <v>2529459131.4000001</v>
      </c>
      <c r="F23" s="216">
        <f t="shared" si="1"/>
        <v>1.469158921029079E-2</v>
      </c>
      <c r="G23" s="59" t="str">
        <f t="shared" si="0"/>
        <v>NO VÁLIDA</v>
      </c>
      <c r="H23" s="213" t="str">
        <f t="shared" si="2"/>
        <v xml:space="preserve"> </v>
      </c>
      <c r="J23" s="20" t="str">
        <f t="shared" si="3"/>
        <v xml:space="preserve"> </v>
      </c>
      <c r="K23" s="20" t="str">
        <f t="shared" si="4"/>
        <v xml:space="preserve"> </v>
      </c>
      <c r="L23" s="20" t="str">
        <f t="shared" si="5"/>
        <v xml:space="preserve"> </v>
      </c>
      <c r="M23" s="20"/>
      <c r="N23" s="6">
        <f>+N22^(1/(O6+O7))</f>
        <v>2570213112.1508093</v>
      </c>
      <c r="U23" s="45" t="str">
        <f t="shared" si="6"/>
        <v>CON &amp; CON</v>
      </c>
      <c r="V23" s="24">
        <f t="shared" si="7"/>
        <v>70</v>
      </c>
      <c r="W23" s="24" t="e">
        <f t="shared" si="8"/>
        <v>#VALUE!</v>
      </c>
      <c r="X23" s="25" t="e">
        <f t="shared" si="9"/>
        <v>#VALUE!</v>
      </c>
      <c r="Y23" s="25" t="e">
        <f t="shared" si="10"/>
        <v>#VALUE!</v>
      </c>
      <c r="Z23" s="25" t="e">
        <f t="shared" si="11"/>
        <v>#VALUE!</v>
      </c>
    </row>
    <row r="24" spans="1:26" ht="28.5" customHeight="1" x14ac:dyDescent="0.25">
      <c r="B24" s="6">
        <v>10</v>
      </c>
      <c r="C24" s="12" t="str">
        <f>+PONDERABLES!B23</f>
        <v>UT ARCARO CANDELARIA</v>
      </c>
      <c r="D24" s="213">
        <f>IF('VERIFICACIÓN ARITMÉTICA'!BG157="VÁLIDA",'VERIFICACIÓN ARITMÉTICA'!BF156,"NO VÁLIDA")</f>
        <v>2539388011.2242999</v>
      </c>
      <c r="E24" s="56">
        <v>2576756527.8499999</v>
      </c>
      <c r="F24" s="216">
        <f t="shared" si="1"/>
        <v>1.4715559993403238E-2</v>
      </c>
      <c r="G24" s="59" t="str">
        <f t="shared" si="0"/>
        <v>NO VÁLIDA</v>
      </c>
      <c r="H24" s="213" t="str">
        <f t="shared" si="2"/>
        <v xml:space="preserve"> </v>
      </c>
      <c r="J24" s="20" t="str">
        <f t="shared" si="3"/>
        <v xml:space="preserve"> </v>
      </c>
      <c r="K24" s="20" t="str">
        <f t="shared" si="4"/>
        <v xml:space="preserve"> </v>
      </c>
      <c r="L24" s="20" t="str">
        <f t="shared" si="5"/>
        <v xml:space="preserve"> </v>
      </c>
      <c r="M24" s="20"/>
      <c r="U24" s="45" t="str">
        <f t="shared" si="6"/>
        <v>CONSORCIO VMJ-R&amp;E 
VIAS 2019 CALLE 10</v>
      </c>
      <c r="V24" s="24">
        <f t="shared" si="7"/>
        <v>0</v>
      </c>
      <c r="W24" s="24" t="e">
        <f t="shared" si="8"/>
        <v>#VALUE!</v>
      </c>
      <c r="X24" s="25" t="e">
        <f t="shared" si="9"/>
        <v>#VALUE!</v>
      </c>
      <c r="Y24" s="25" t="e">
        <f t="shared" si="10"/>
        <v>#VALUE!</v>
      </c>
      <c r="Z24" s="25" t="e">
        <f t="shared" si="11"/>
        <v>#VALUE!</v>
      </c>
    </row>
    <row r="25" spans="1:26" ht="28.5" customHeight="1" x14ac:dyDescent="0.25">
      <c r="B25" s="6">
        <v>1</v>
      </c>
      <c r="C25" s="12" t="str">
        <f>+PONDERABLES!B24</f>
        <v>UT BJ</v>
      </c>
      <c r="D25" s="213">
        <f>IF('VERIFICACIÓN ARITMÉTICA'!BJ157="VÁLIDA",'VERIFICACIÓN ARITMÉTICA'!BI156,"NO VÁLIDA")</f>
        <v>2567314632.4865589</v>
      </c>
      <c r="E25" s="56">
        <v>2605126256.9000001</v>
      </c>
      <c r="F25" s="216">
        <f t="shared" si="1"/>
        <v>1.4728083552742799E-2</v>
      </c>
      <c r="G25" s="59" t="str">
        <f t="shared" si="0"/>
        <v>NO VÁLIDA</v>
      </c>
      <c r="H25" s="213" t="str">
        <f t="shared" si="2"/>
        <v xml:space="preserve"> </v>
      </c>
      <c r="J25" s="20" t="str">
        <f t="shared" si="3"/>
        <v xml:space="preserve"> </v>
      </c>
      <c r="K25" s="20" t="str">
        <f t="shared" si="4"/>
        <v xml:space="preserve"> </v>
      </c>
      <c r="L25" s="20" t="str">
        <f t="shared" si="5"/>
        <v xml:space="preserve"> </v>
      </c>
      <c r="M25" s="20"/>
      <c r="U25" s="45" t="str">
        <f t="shared" si="6"/>
        <v>UT ARCARO CANDELARIA</v>
      </c>
      <c r="V25" s="24">
        <f t="shared" si="7"/>
        <v>0</v>
      </c>
      <c r="W25" s="24" t="e">
        <f t="shared" si="8"/>
        <v>#VALUE!</v>
      </c>
      <c r="X25" s="25" t="e">
        <f t="shared" si="9"/>
        <v>#VALUE!</v>
      </c>
      <c r="Y25" s="25" t="e">
        <f t="shared" si="10"/>
        <v>#VALUE!</v>
      </c>
      <c r="Z25" s="25" t="e">
        <f t="shared" si="11"/>
        <v>#VALUE!</v>
      </c>
    </row>
    <row r="26" spans="1:26" ht="28.5" customHeight="1" x14ac:dyDescent="0.25">
      <c r="B26" s="6">
        <v>15</v>
      </c>
      <c r="C26" s="12" t="str">
        <f>+PONDERABLES!B25</f>
        <v>005-2019 CONSORCIO
 INGENIERIAIV</v>
      </c>
      <c r="D26" s="213">
        <f>IF('VERIFICACIÓN ARITMÉTICA'!BM157="VÁLIDA",'VERIFICACIÓN ARITMÉTICA'!BL156,"NO VÁLIDA")</f>
        <v>2572104224.2089796</v>
      </c>
      <c r="E26" s="56">
        <v>2537456634</v>
      </c>
      <c r="F26" s="216">
        <f t="shared" si="1"/>
        <v>1.3470523427033809E-2</v>
      </c>
      <c r="G26" s="59" t="str">
        <f t="shared" si="0"/>
        <v>NO VÁLIDA</v>
      </c>
      <c r="H26" s="213" t="str">
        <f t="shared" si="2"/>
        <v xml:space="preserve"> </v>
      </c>
      <c r="J26" s="20" t="str">
        <f t="shared" si="3"/>
        <v xml:space="preserve"> </v>
      </c>
      <c r="K26" s="20" t="str">
        <f t="shared" si="4"/>
        <v xml:space="preserve"> </v>
      </c>
      <c r="L26" s="20" t="str">
        <f t="shared" si="5"/>
        <v xml:space="preserve"> </v>
      </c>
      <c r="M26" s="20"/>
      <c r="U26" s="45" t="str">
        <f t="shared" si="6"/>
        <v>UT BJ</v>
      </c>
      <c r="V26" s="24">
        <f t="shared" si="7"/>
        <v>0</v>
      </c>
      <c r="W26" s="24" t="e">
        <f t="shared" si="8"/>
        <v>#VALUE!</v>
      </c>
      <c r="X26" s="25" t="e">
        <f t="shared" si="9"/>
        <v>#VALUE!</v>
      </c>
      <c r="Y26" s="25" t="e">
        <f t="shared" si="10"/>
        <v>#VALUE!</v>
      </c>
      <c r="Z26" s="25" t="e">
        <f t="shared" si="11"/>
        <v>#VALUE!</v>
      </c>
    </row>
    <row r="27" spans="1:26" ht="28.5" customHeight="1" x14ac:dyDescent="0.25">
      <c r="A27" s="6" t="s">
        <v>41</v>
      </c>
      <c r="B27" s="6">
        <v>8</v>
      </c>
      <c r="C27" s="212" t="str">
        <f>+PONDERABLES!B26</f>
        <v>CONSORCIO DIR</v>
      </c>
      <c r="D27" s="213">
        <f>IF('VERIFICACIÓN ARITMÉTICA'!BP157="VÁLIDA",'VERIFICACIÓN ARITMÉTICA'!BO156,"NO VÁLIDA")</f>
        <v>2547677322.9967499</v>
      </c>
      <c r="E27" s="56">
        <v>2585196104</v>
      </c>
      <c r="F27" s="216">
        <f t="shared" si="1"/>
        <v>1.472666128657063E-2</v>
      </c>
      <c r="G27" s="59" t="str">
        <f t="shared" si="0"/>
        <v>NO VÁLIDA</v>
      </c>
      <c r="H27" s="213" t="str">
        <f t="shared" si="2"/>
        <v xml:space="preserve"> </v>
      </c>
      <c r="J27" s="20" t="str">
        <f t="shared" si="3"/>
        <v xml:space="preserve"> </v>
      </c>
      <c r="K27" s="20" t="str">
        <f t="shared" si="4"/>
        <v xml:space="preserve"> </v>
      </c>
      <c r="L27" s="20" t="str">
        <f t="shared" si="5"/>
        <v xml:space="preserve"> </v>
      </c>
      <c r="M27" s="20"/>
      <c r="U27" s="45" t="str">
        <f t="shared" si="6"/>
        <v>005-2019 CONSORCIO
 INGENIERIAIV</v>
      </c>
      <c r="V27" s="24">
        <f t="shared" si="7"/>
        <v>0</v>
      </c>
      <c r="W27" s="24" t="e">
        <f t="shared" si="8"/>
        <v>#VALUE!</v>
      </c>
      <c r="X27" s="25" t="e">
        <f t="shared" si="9"/>
        <v>#VALUE!</v>
      </c>
      <c r="Y27" s="25" t="e">
        <f t="shared" si="10"/>
        <v>#VALUE!</v>
      </c>
      <c r="Z27" s="25" t="e">
        <f t="shared" si="11"/>
        <v>#VALUE!</v>
      </c>
    </row>
    <row r="28" spans="1:26" ht="28.5" customHeight="1" x14ac:dyDescent="0.25">
      <c r="A28" s="6" t="s">
        <v>42</v>
      </c>
      <c r="B28" s="6" t="e">
        <f>+_xlfn.RANK.EQ(H28,$H$8:$H$32,0)</f>
        <v>#N/A</v>
      </c>
      <c r="C28" s="12" t="s">
        <v>43</v>
      </c>
      <c r="D28" s="212"/>
      <c r="E28" s="12"/>
      <c r="F28" s="206"/>
      <c r="G28" s="213"/>
      <c r="H28" s="213"/>
      <c r="J28" s="20" t="str">
        <f>+IF(H28="","",$R$8-H28)</f>
        <v/>
      </c>
      <c r="K28" s="20" t="str">
        <f t="shared" si="4"/>
        <v/>
      </c>
      <c r="L28" s="20">
        <f t="shared" si="5"/>
        <v>0</v>
      </c>
      <c r="M28" s="20"/>
      <c r="U28" s="45" t="str">
        <f t="shared" si="6"/>
        <v>CONSORCIO DIR</v>
      </c>
      <c r="V28" s="24">
        <f t="shared" si="7"/>
        <v>0</v>
      </c>
      <c r="W28" s="24" t="e">
        <f t="shared" si="8"/>
        <v>#VALUE!</v>
      </c>
      <c r="X28" s="25" t="e">
        <f t="shared" si="9"/>
        <v>#VALUE!</v>
      </c>
      <c r="Y28" s="25" t="e">
        <f t="shared" si="10"/>
        <v>#VALUE!</v>
      </c>
      <c r="Z28" s="25" t="e">
        <f t="shared" si="11"/>
        <v>#VALUE!</v>
      </c>
    </row>
    <row r="29" spans="1:26" ht="28.5" customHeight="1" x14ac:dyDescent="0.25">
      <c r="A29" s="6" t="s">
        <v>37</v>
      </c>
      <c r="B29" s="6" t="e">
        <f>+_xlfn.RANK.EQ(H29,$H$8:$H$32,0)</f>
        <v>#N/A</v>
      </c>
      <c r="C29" s="12" t="s">
        <v>44</v>
      </c>
      <c r="D29" s="12"/>
      <c r="E29" s="12"/>
      <c r="F29" s="206"/>
      <c r="G29" s="206"/>
      <c r="H29" s="211"/>
      <c r="J29" s="20" t="str">
        <f>+IF(H29="","",$R$8-H29)</f>
        <v/>
      </c>
      <c r="K29" s="20" t="str">
        <f t="shared" si="4"/>
        <v/>
      </c>
      <c r="L29" s="20">
        <f t="shared" si="5"/>
        <v>0</v>
      </c>
      <c r="M29" s="20"/>
      <c r="U29" s="45" t="str">
        <f t="shared" si="6"/>
        <v>PROPONENTE 21</v>
      </c>
      <c r="V29" s="24">
        <f t="shared" si="7"/>
        <v>0</v>
      </c>
      <c r="W29" s="24" t="e">
        <f>+IF(H28&lt;=$R$9,($H$2*(1-(($R$9-H28)/$R$9))),($H$2*(1-(2*(ABS(($R$9-H28))/$R$9)))))</f>
        <v>#VALUE!</v>
      </c>
      <c r="X29" s="25" t="e">
        <f>+IF(H28&lt;=$R$10,($H$2*(1-(($R$10-H28)/$R$10))),($H$2*(1-(2*((ABS($R$10-H28)/$R$10))))))</f>
        <v>#VALUE!</v>
      </c>
      <c r="Y29" s="25" t="e">
        <f>+IF(H28&lt;=$R$11,($H$2*(1-(($R$11-H28)/$R$11))),($H$2*(1-((ABS($R$11-H28)/$R$11)))))</f>
        <v>#VALUE!</v>
      </c>
      <c r="Z29" s="25">
        <f>+IF(H28&gt;0,($H$2*$R$12)/H28,0)</f>
        <v>0</v>
      </c>
    </row>
    <row r="30" spans="1:26" ht="28.5" customHeight="1" x14ac:dyDescent="0.25">
      <c r="A30" s="6" t="s">
        <v>45</v>
      </c>
      <c r="B30" s="6" t="e">
        <f>+_xlfn.RANK.EQ(H30,$H$8:$H$32,0)</f>
        <v>#N/A</v>
      </c>
      <c r="C30" s="12" t="s">
        <v>46</v>
      </c>
      <c r="D30" s="12"/>
      <c r="E30" s="12"/>
      <c r="F30" s="206"/>
      <c r="G30" s="206"/>
      <c r="H30" s="211"/>
      <c r="J30" s="20" t="str">
        <f>+IF(H30="","",$R$8-H30)</f>
        <v/>
      </c>
      <c r="K30" s="20" t="str">
        <f t="shared" si="4"/>
        <v/>
      </c>
      <c r="L30" s="20">
        <f t="shared" si="5"/>
        <v>0</v>
      </c>
      <c r="M30" s="20"/>
      <c r="U30" s="45" t="str">
        <f t="shared" si="6"/>
        <v>PROPONENTE 22</v>
      </c>
      <c r="V30" s="24">
        <f t="shared" si="7"/>
        <v>0</v>
      </c>
      <c r="W30" s="24" t="e">
        <f>+IF(H29&lt;=$R$9,($H$2*(1-(($R$9-H29)/$R$9))),($H$2*(1-(2*(ABS(($R$9-H29))/$R$9)))))</f>
        <v>#VALUE!</v>
      </c>
      <c r="X30" s="25" t="e">
        <f>+IF(H29&lt;=$R$10,($H$2*(1-(($R$10-H29)/$R$10))),($H$2*(1-(2*((ABS($R$10-H29)/$R$10))))))</f>
        <v>#VALUE!</v>
      </c>
      <c r="Y30" s="25" t="e">
        <f>+IF(H29&lt;=$R$11,($H$2*(1-(($R$11-H29)/$R$11))),($H$2*(1-((ABS($R$11-H29)/$R$11)))))</f>
        <v>#VALUE!</v>
      </c>
      <c r="Z30" s="25">
        <f>+IF(H29&gt;0,($H$2*$R$12)/H29,0)</f>
        <v>0</v>
      </c>
    </row>
    <row r="31" spans="1:26" ht="28.5" customHeight="1" x14ac:dyDescent="0.25">
      <c r="A31" s="6" t="s">
        <v>47</v>
      </c>
      <c r="B31" s="6" t="e">
        <f>+_xlfn.RANK.EQ(H31,$H$8:$H$32,0)</f>
        <v>#N/A</v>
      </c>
      <c r="C31" s="12" t="s">
        <v>48</v>
      </c>
      <c r="D31" s="12"/>
      <c r="E31" s="12"/>
      <c r="F31" s="206"/>
      <c r="G31" s="206"/>
      <c r="H31" s="19"/>
      <c r="J31" s="20" t="str">
        <f>+IF(H31="","",$R$8-H31)</f>
        <v/>
      </c>
      <c r="K31" s="20" t="str">
        <f t="shared" si="4"/>
        <v/>
      </c>
      <c r="L31" s="20">
        <f t="shared" si="5"/>
        <v>0</v>
      </c>
      <c r="M31" s="20"/>
      <c r="U31" s="45" t="str">
        <f t="shared" si="6"/>
        <v>PROPONENTE 23</v>
      </c>
      <c r="V31" s="24">
        <f t="shared" si="7"/>
        <v>0</v>
      </c>
      <c r="W31" s="24" t="e">
        <f>+IF(H30&lt;=$R$9,($H$2*(1-(($R$9-H30)/$R$9))),($H$2*(1-(2*(ABS(($R$9-H30))/$R$9)))))</f>
        <v>#VALUE!</v>
      </c>
      <c r="X31" s="25" t="e">
        <f>+IF(H30&lt;=$R$10,($H$2*(1-(($R$10-H30)/$R$10))),($H$2*(1-(2*((ABS($R$10-H30)/$R$10))))))</f>
        <v>#VALUE!</v>
      </c>
      <c r="Y31" s="25" t="e">
        <f>+IF(H30&lt;=$R$11,($H$2*(1-(($R$11-H30)/$R$11))),($H$2*(1-((ABS($R$11-H30)/$R$11)))))</f>
        <v>#VALUE!</v>
      </c>
      <c r="Z31" s="25">
        <f>+IF(H30&gt;0,($H$2*$R$12)/H30,0)</f>
        <v>0</v>
      </c>
    </row>
    <row r="32" spans="1:26" ht="28.5" customHeight="1" x14ac:dyDescent="0.25">
      <c r="A32" s="6" t="s">
        <v>49</v>
      </c>
      <c r="B32" s="6" t="e">
        <f>+_xlfn.RANK.EQ(H32,$H$8:$H$32,0)</f>
        <v>#N/A</v>
      </c>
      <c r="C32" s="12" t="s">
        <v>50</v>
      </c>
      <c r="D32" s="12"/>
      <c r="E32" s="12"/>
      <c r="F32" s="206"/>
      <c r="G32" s="206"/>
      <c r="H32" s="19"/>
      <c r="J32" s="20" t="str">
        <f>+IF(H32="","",$R$8-H32)</f>
        <v/>
      </c>
      <c r="K32" s="20" t="str">
        <f t="shared" si="4"/>
        <v/>
      </c>
      <c r="L32" s="20">
        <f t="shared" si="5"/>
        <v>0</v>
      </c>
      <c r="M32" s="20"/>
      <c r="U32" s="45" t="str">
        <f t="shared" si="6"/>
        <v>PROPONENTE 24</v>
      </c>
      <c r="V32" s="24">
        <f t="shared" si="7"/>
        <v>0</v>
      </c>
      <c r="W32" s="24" t="e">
        <f>+IF(H31&lt;=$R$9,($H$2*(1-(($R$9-H31)/$R$9))),($H$2*(1-(2*(ABS(($R$9-H31))/$R$9)))))</f>
        <v>#VALUE!</v>
      </c>
      <c r="X32" s="25" t="e">
        <f>+IF(H31&lt;=$R$10,($H$2*(1-(($R$10-H31)/$R$10))),($H$2*(1-(2*((ABS($R$10-H31)/$R$10))))))</f>
        <v>#VALUE!</v>
      </c>
      <c r="Y32" s="25" t="e">
        <f>+IF(H31&lt;=$R$11,($H$2*(1-(($R$11-H31)/$R$11))),($H$2*(1-((ABS($R$11-H31)/$R$11)))))</f>
        <v>#VALUE!</v>
      </c>
      <c r="Z32" s="25">
        <f>+IF(H31&gt;0,($H$2*$R$12)/H31,0)</f>
        <v>0</v>
      </c>
    </row>
    <row r="33" spans="1:26" ht="28.5" customHeight="1" x14ac:dyDescent="0.25">
      <c r="A33" s="6" t="s">
        <v>51</v>
      </c>
      <c r="U33" s="45" t="str">
        <f t="shared" si="6"/>
        <v>PROPONENTE 25</v>
      </c>
      <c r="V33" s="24">
        <f t="shared" si="7"/>
        <v>0</v>
      </c>
      <c r="W33" s="24" t="e">
        <f>+IF(H32&lt;=$R$9,($H$2*(1-(($R$9-H32)/$R$9))),($H$2*(1-(2*(ABS(($R$9-H32))/$R$9)))))</f>
        <v>#VALUE!</v>
      </c>
      <c r="X33" s="25" t="e">
        <f>+IF(H32&lt;=$R$10,($H$2*(1-(($R$10-H32)/$R$10))),($H$2*(1-(2*((ABS($R$10-H32)/$R$10))))))</f>
        <v>#VALUE!</v>
      </c>
      <c r="Y33" s="25" t="e">
        <f>+IF(H32&lt;=$R$11,($H$2*(1-(($R$11-H32)/$R$11))),($H$2*(1-((ABS($R$11-H32)/$R$11)))))</f>
        <v>#VALUE!</v>
      </c>
      <c r="Z33" s="25">
        <f>+IF(H32&gt;0,($H$2*$R$12)/H32,0)</f>
        <v>0</v>
      </c>
    </row>
    <row r="34" spans="1:26" x14ac:dyDescent="0.25">
      <c r="A34" s="6" t="s">
        <v>52</v>
      </c>
    </row>
    <row r="35" spans="1:26" x14ac:dyDescent="0.25">
      <c r="A35" s="6" t="s">
        <v>53</v>
      </c>
      <c r="L35" s="23"/>
    </row>
    <row r="36" spans="1:26" x14ac:dyDescent="0.25">
      <c r="A36" s="6" t="s">
        <v>54</v>
      </c>
      <c r="L36" s="29"/>
    </row>
    <row r="39" spans="1:26" x14ac:dyDescent="0.25">
      <c r="B39" s="6">
        <v>13</v>
      </c>
    </row>
    <row r="40" spans="1:26" x14ac:dyDescent="0.25">
      <c r="B40" s="6">
        <v>12</v>
      </c>
    </row>
    <row r="41" spans="1:26" x14ac:dyDescent="0.25">
      <c r="B41" s="6">
        <v>17</v>
      </c>
    </row>
    <row r="42" spans="1:26" x14ac:dyDescent="0.25">
      <c r="B42" s="6">
        <v>2</v>
      </c>
    </row>
    <row r="43" spans="1:26" x14ac:dyDescent="0.25">
      <c r="B43" s="6">
        <v>3</v>
      </c>
    </row>
    <row r="44" spans="1:26" x14ac:dyDescent="0.25">
      <c r="B44" s="6">
        <v>18</v>
      </c>
    </row>
    <row r="45" spans="1:26" x14ac:dyDescent="0.25">
      <c r="B45" s="6">
        <v>6</v>
      </c>
    </row>
    <row r="46" spans="1:26" x14ac:dyDescent="0.25">
      <c r="B46" s="6">
        <v>11</v>
      </c>
    </row>
    <row r="47" spans="1:26" x14ac:dyDescent="0.25">
      <c r="B47" s="6" t="e">
        <v>#N/A</v>
      </c>
    </row>
    <row r="48" spans="1:26" x14ac:dyDescent="0.25">
      <c r="B48" s="6">
        <v>19</v>
      </c>
    </row>
    <row r="49" spans="2:2" x14ac:dyDescent="0.25">
      <c r="B49" s="6">
        <v>7</v>
      </c>
    </row>
    <row r="50" spans="2:2" x14ac:dyDescent="0.25">
      <c r="B50" s="6">
        <v>4</v>
      </c>
    </row>
    <row r="51" spans="2:2" x14ac:dyDescent="0.25">
      <c r="B51" s="6">
        <v>14</v>
      </c>
    </row>
    <row r="52" spans="2:2" x14ac:dyDescent="0.25">
      <c r="B52" s="6">
        <v>9</v>
      </c>
    </row>
    <row r="53" spans="2:2" x14ac:dyDescent="0.25">
      <c r="B53" s="6">
        <v>4</v>
      </c>
    </row>
    <row r="54" spans="2:2" x14ac:dyDescent="0.25">
      <c r="B54" s="6">
        <v>16</v>
      </c>
    </row>
    <row r="55" spans="2:2" x14ac:dyDescent="0.25">
      <c r="B55" s="6">
        <v>10</v>
      </c>
    </row>
    <row r="56" spans="2:2" x14ac:dyDescent="0.25">
      <c r="B56" s="6">
        <v>1</v>
      </c>
    </row>
    <row r="57" spans="2:2" x14ac:dyDescent="0.25">
      <c r="B57" s="6">
        <v>15</v>
      </c>
    </row>
    <row r="58" spans="2:2" x14ac:dyDescent="0.25">
      <c r="B58" s="6">
        <v>8</v>
      </c>
    </row>
  </sheetData>
  <dataConsolidate/>
  <mergeCells count="7">
    <mergeCell ref="U6:Z6"/>
    <mergeCell ref="U7:U8"/>
    <mergeCell ref="V7:V8"/>
    <mergeCell ref="W7:W8"/>
    <mergeCell ref="X7:X8"/>
    <mergeCell ref="Y7:Y8"/>
    <mergeCell ref="Z7:Z8"/>
  </mergeCells>
  <conditionalFormatting sqref="R8:R11">
    <cfRule type="containsText" dxfId="167" priority="355" operator="containsText" text="NO VALIDO">
      <formula>NOT(ISERROR(SEARCH("NO VALIDO",R8)))</formula>
    </cfRule>
    <cfRule type="cellIs" dxfId="166" priority="356" operator="greaterThan">
      <formula>0</formula>
    </cfRule>
  </conditionalFormatting>
  <conditionalFormatting sqref="W9:Y33">
    <cfRule type="cellIs" dxfId="165" priority="354" operator="lessThan">
      <formula>0</formula>
    </cfRule>
  </conditionalFormatting>
  <conditionalFormatting sqref="F29:H32 F8:F28 E8:E27">
    <cfRule type="cellIs" dxfId="164" priority="353" operator="equal">
      <formula>0</formula>
    </cfRule>
  </conditionalFormatting>
  <conditionalFormatting sqref="R12">
    <cfRule type="containsText" dxfId="163" priority="350" operator="containsText" text="NO VALIDO">
      <formula>NOT(ISERROR(SEARCH("NO VALIDO",R12)))</formula>
    </cfRule>
    <cfRule type="cellIs" dxfId="162" priority="351" operator="greaterThan">
      <formula>0</formula>
    </cfRule>
  </conditionalFormatting>
  <conditionalFormatting sqref="V9:V33">
    <cfRule type="top10" dxfId="161" priority="341" rank="1"/>
    <cfRule type="cellIs" dxfId="160" priority="349" operator="equal">
      <formula>70</formula>
    </cfRule>
  </conditionalFormatting>
  <conditionalFormatting sqref="W9:W33">
    <cfRule type="top10" dxfId="159" priority="340" rank="1"/>
    <cfRule type="top10" dxfId="158" priority="348" rank="1"/>
  </conditionalFormatting>
  <conditionalFormatting sqref="X9:X33">
    <cfRule type="top10" dxfId="157" priority="339" rank="1"/>
    <cfRule type="top10" dxfId="156" priority="347" rank="1"/>
  </conditionalFormatting>
  <conditionalFormatting sqref="Y9:Y33">
    <cfRule type="top10" dxfId="155" priority="338" rank="1"/>
    <cfRule type="top10" dxfId="154" priority="346" rank="1"/>
  </conditionalFormatting>
  <conditionalFormatting sqref="Z9:Z33">
    <cfRule type="top10" dxfId="153" priority="337" rank="1"/>
    <cfRule type="top10" dxfId="152" priority="342" rank="1"/>
    <cfRule type="cellIs" dxfId="151" priority="345" operator="lessThan">
      <formula>0</formula>
    </cfRule>
  </conditionalFormatting>
  <conditionalFormatting sqref="Z9:Z33">
    <cfRule type="top10" dxfId="150" priority="343" rank="1"/>
  </conditionalFormatting>
  <conditionalFormatting sqref="D10:D14 C7:E7 H7 D17 D22:D27">
    <cfRule type="containsText" dxfId="149" priority="336" operator="containsText" text="RECHAZADA">
      <formula>NOT(ISERROR(SEARCH("RECHAZADA",C7)))</formula>
    </cfRule>
  </conditionalFormatting>
  <conditionalFormatting sqref="D10:D14 D17 D22:D27">
    <cfRule type="containsText" dxfId="148" priority="335" operator="containsText" text="RECHAZADA">
      <formula>NOT(ISERROR(SEARCH("RECHAZADA",D10)))</formula>
    </cfRule>
  </conditionalFormatting>
  <conditionalFormatting sqref="D10:D14 D17 D22:D27">
    <cfRule type="containsText" dxfId="147" priority="334" operator="containsText" text="RECHAZADA">
      <formula>NOT(ISERROR(SEARCH("RECHAZADA",D10)))</formula>
    </cfRule>
  </conditionalFormatting>
  <conditionalFormatting sqref="D28">
    <cfRule type="containsText" dxfId="146" priority="333" operator="containsText" text="RECHAZADA">
      <formula>NOT(ISERROR(SEARCH("RECHAZADA",D28)))</formula>
    </cfRule>
  </conditionalFormatting>
  <conditionalFormatting sqref="D28">
    <cfRule type="containsText" dxfId="145" priority="332" operator="containsText" text="RECHAZADA">
      <formula>NOT(ISERROR(SEARCH("RECHAZADA",D28)))</formula>
    </cfRule>
  </conditionalFormatting>
  <conditionalFormatting sqref="D28">
    <cfRule type="containsText" dxfId="144" priority="331" operator="containsText" text="RECHAZADA">
      <formula>NOT(ISERROR(SEARCH("RECHAZADA",D28)))</formula>
    </cfRule>
  </conditionalFormatting>
  <conditionalFormatting sqref="C27">
    <cfRule type="containsText" dxfId="143" priority="330" operator="containsText" text="RECHAZADA">
      <formula>NOT(ISERROR(SEARCH("RECHAZADA",C27)))</formula>
    </cfRule>
  </conditionalFormatting>
  <conditionalFormatting sqref="C27">
    <cfRule type="containsText" dxfId="142" priority="329" operator="containsText" text="RECHAZADA">
      <formula>NOT(ISERROR(SEARCH("RECHAZADA",C27)))</formula>
    </cfRule>
  </conditionalFormatting>
  <conditionalFormatting sqref="C27">
    <cfRule type="containsText" dxfId="141" priority="328" operator="containsText" text="RECHAZADA">
      <formula>NOT(ISERROR(SEARCH("RECHAZADA",C27)))</formula>
    </cfRule>
  </conditionalFormatting>
  <conditionalFormatting sqref="E27">
    <cfRule type="containsText" dxfId="140" priority="327" operator="containsText" text="RECHAZADA">
      <formula>NOT(ISERROR(SEARCH("RECHAZADA",E27)))</formula>
    </cfRule>
  </conditionalFormatting>
  <conditionalFormatting sqref="E27">
    <cfRule type="containsText" dxfId="139" priority="326" operator="containsText" text="RECHAZADA">
      <formula>NOT(ISERROR(SEARCH("RECHAZADA",E27)))</formula>
    </cfRule>
  </conditionalFormatting>
  <conditionalFormatting sqref="E27">
    <cfRule type="containsText" dxfId="138" priority="325" operator="containsText" text="RECHAZADA">
      <formula>NOT(ISERROR(SEARCH("RECHAZADA",E27)))</formula>
    </cfRule>
  </conditionalFormatting>
  <conditionalFormatting sqref="G2">
    <cfRule type="containsText" dxfId="137" priority="168" operator="containsText" text="RECHAZADA">
      <formula>NOT(ISERROR(SEARCH("RECHAZADA",G2)))</formula>
    </cfRule>
  </conditionalFormatting>
  <conditionalFormatting sqref="G2">
    <cfRule type="containsText" dxfId="136" priority="167" operator="containsText" text="RECHAZADA">
      <formula>NOT(ISERROR(SEARCH("RECHAZADA",G2)))</formula>
    </cfRule>
  </conditionalFormatting>
  <conditionalFormatting sqref="G2">
    <cfRule type="containsText" dxfId="135" priority="166" operator="containsText" text="RECHAZADA">
      <formula>NOT(ISERROR(SEARCH("RECHAZADA",G2)))</formula>
    </cfRule>
  </conditionalFormatting>
  <conditionalFormatting sqref="H9">
    <cfRule type="containsText" dxfId="134" priority="120" operator="containsText" text="RECHAZADA">
      <formula>NOT(ISERROR(SEARCH("RECHAZADA",H9)))</formula>
    </cfRule>
  </conditionalFormatting>
  <conditionalFormatting sqref="H9">
    <cfRule type="containsText" dxfId="133" priority="119" operator="containsText" text="RECHAZADA">
      <formula>NOT(ISERROR(SEARCH("RECHAZADA",H9)))</formula>
    </cfRule>
  </conditionalFormatting>
  <conditionalFormatting sqref="H9">
    <cfRule type="containsText" dxfId="132" priority="118" operator="containsText" text="RECHAZADA">
      <formula>NOT(ISERROR(SEARCH("RECHAZADA",H9)))</formula>
    </cfRule>
  </conditionalFormatting>
  <conditionalFormatting sqref="H11">
    <cfRule type="containsText" dxfId="131" priority="114" operator="containsText" text="RECHAZADA">
      <formula>NOT(ISERROR(SEARCH("RECHAZADA",H11)))</formula>
    </cfRule>
  </conditionalFormatting>
  <conditionalFormatting sqref="H11">
    <cfRule type="containsText" dxfId="130" priority="113" operator="containsText" text="RECHAZADA">
      <formula>NOT(ISERROR(SEARCH("RECHAZADA",H11)))</formula>
    </cfRule>
  </conditionalFormatting>
  <conditionalFormatting sqref="H11">
    <cfRule type="containsText" dxfId="129" priority="112" operator="containsText" text="RECHAZADA">
      <formula>NOT(ISERROR(SEARCH("RECHAZADA",H11)))</formula>
    </cfRule>
  </conditionalFormatting>
  <conditionalFormatting sqref="H13">
    <cfRule type="containsText" dxfId="128" priority="108" operator="containsText" text="RECHAZADA">
      <formula>NOT(ISERROR(SEARCH("RECHAZADA",H13)))</formula>
    </cfRule>
  </conditionalFormatting>
  <conditionalFormatting sqref="H13">
    <cfRule type="containsText" dxfId="127" priority="107" operator="containsText" text="RECHAZADA">
      <formula>NOT(ISERROR(SEARCH("RECHAZADA",H13)))</formula>
    </cfRule>
  </conditionalFormatting>
  <conditionalFormatting sqref="H13">
    <cfRule type="containsText" dxfId="126" priority="106" operator="containsText" text="RECHAZADA">
      <formula>NOT(ISERROR(SEARCH("RECHAZADA",H13)))</formula>
    </cfRule>
  </conditionalFormatting>
  <conditionalFormatting sqref="H15">
    <cfRule type="containsText" dxfId="125" priority="102" operator="containsText" text="RECHAZADA">
      <formula>NOT(ISERROR(SEARCH("RECHAZADA",H15)))</formula>
    </cfRule>
  </conditionalFormatting>
  <conditionalFormatting sqref="H15">
    <cfRule type="containsText" dxfId="124" priority="101" operator="containsText" text="RECHAZADA">
      <formula>NOT(ISERROR(SEARCH("RECHAZADA",H15)))</formula>
    </cfRule>
  </conditionalFormatting>
  <conditionalFormatting sqref="H15">
    <cfRule type="containsText" dxfId="123" priority="100" operator="containsText" text="RECHAZADA">
      <formula>NOT(ISERROR(SEARCH("RECHAZADA",H15)))</formula>
    </cfRule>
  </conditionalFormatting>
  <conditionalFormatting sqref="H17">
    <cfRule type="containsText" dxfId="122" priority="96" operator="containsText" text="RECHAZADA">
      <formula>NOT(ISERROR(SEARCH("RECHAZADA",H17)))</formula>
    </cfRule>
  </conditionalFormatting>
  <conditionalFormatting sqref="H17">
    <cfRule type="containsText" dxfId="121" priority="95" operator="containsText" text="RECHAZADA">
      <formula>NOT(ISERROR(SEARCH("RECHAZADA",H17)))</formula>
    </cfRule>
  </conditionalFormatting>
  <conditionalFormatting sqref="H17">
    <cfRule type="containsText" dxfId="120" priority="94" operator="containsText" text="RECHAZADA">
      <formula>NOT(ISERROR(SEARCH("RECHAZADA",H17)))</formula>
    </cfRule>
  </conditionalFormatting>
  <conditionalFormatting sqref="H20">
    <cfRule type="containsText" dxfId="119" priority="90" operator="containsText" text="RECHAZADA">
      <formula>NOT(ISERROR(SEARCH("RECHAZADA",H20)))</formula>
    </cfRule>
  </conditionalFormatting>
  <conditionalFormatting sqref="H20">
    <cfRule type="containsText" dxfId="118" priority="89" operator="containsText" text="RECHAZADA">
      <formula>NOT(ISERROR(SEARCH("RECHAZADA",H20)))</formula>
    </cfRule>
  </conditionalFormatting>
  <conditionalFormatting sqref="H20">
    <cfRule type="containsText" dxfId="117" priority="88" operator="containsText" text="RECHAZADA">
      <formula>NOT(ISERROR(SEARCH("RECHAZADA",H20)))</formula>
    </cfRule>
  </conditionalFormatting>
  <conditionalFormatting sqref="H22">
    <cfRule type="containsText" dxfId="116" priority="84" operator="containsText" text="RECHAZADA">
      <formula>NOT(ISERROR(SEARCH("RECHAZADA",H22)))</formula>
    </cfRule>
  </conditionalFormatting>
  <conditionalFormatting sqref="H22">
    <cfRule type="containsText" dxfId="115" priority="83" operator="containsText" text="RECHAZADA">
      <formula>NOT(ISERROR(SEARCH("RECHAZADA",H22)))</formula>
    </cfRule>
  </conditionalFormatting>
  <conditionalFormatting sqref="H22">
    <cfRule type="containsText" dxfId="114" priority="82" operator="containsText" text="RECHAZADA">
      <formula>NOT(ISERROR(SEARCH("RECHAZADA",H22)))</formula>
    </cfRule>
  </conditionalFormatting>
  <conditionalFormatting sqref="H24">
    <cfRule type="containsText" dxfId="113" priority="78" operator="containsText" text="RECHAZADA">
      <formula>NOT(ISERROR(SEARCH("RECHAZADA",H24)))</formula>
    </cfRule>
  </conditionalFormatting>
  <conditionalFormatting sqref="H24">
    <cfRule type="containsText" dxfId="112" priority="77" operator="containsText" text="RECHAZADA">
      <formula>NOT(ISERROR(SEARCH("RECHAZADA",H24)))</formula>
    </cfRule>
  </conditionalFormatting>
  <conditionalFormatting sqref="H24">
    <cfRule type="containsText" dxfId="111" priority="76" operator="containsText" text="RECHAZADA">
      <formula>NOT(ISERROR(SEARCH("RECHAZADA",H24)))</formula>
    </cfRule>
  </conditionalFormatting>
  <conditionalFormatting sqref="H26">
    <cfRule type="containsText" dxfId="110" priority="72" operator="containsText" text="RECHAZADA">
      <formula>NOT(ISERROR(SEARCH("RECHAZADA",H26)))</formula>
    </cfRule>
  </conditionalFormatting>
  <conditionalFormatting sqref="H26">
    <cfRule type="containsText" dxfId="109" priority="71" operator="containsText" text="RECHAZADA">
      <formula>NOT(ISERROR(SEARCH("RECHAZADA",H26)))</formula>
    </cfRule>
  </conditionalFormatting>
  <conditionalFormatting sqref="H26">
    <cfRule type="containsText" dxfId="108" priority="70" operator="containsText" text="RECHAZADA">
      <formula>NOT(ISERROR(SEARCH("RECHAZADA",H26)))</formula>
    </cfRule>
  </conditionalFormatting>
  <conditionalFormatting sqref="H28">
    <cfRule type="containsText" dxfId="107" priority="66" operator="containsText" text="RECHAZADA">
      <formula>NOT(ISERROR(SEARCH("RECHAZADA",H28)))</formula>
    </cfRule>
  </conditionalFormatting>
  <conditionalFormatting sqref="H28">
    <cfRule type="containsText" dxfId="106" priority="65" operator="containsText" text="RECHAZADA">
      <formula>NOT(ISERROR(SEARCH("RECHAZADA",H28)))</formula>
    </cfRule>
  </conditionalFormatting>
  <conditionalFormatting sqref="H28">
    <cfRule type="containsText" dxfId="105" priority="64" operator="containsText" text="RECHAZADA">
      <formula>NOT(ISERROR(SEARCH("RECHAZADA",H28)))</formula>
    </cfRule>
  </conditionalFormatting>
  <conditionalFormatting sqref="G28">
    <cfRule type="containsText" dxfId="104" priority="264" operator="containsText" text="RECHAZADA">
      <formula>NOT(ISERROR(SEARCH("RECHAZADA",G28)))</formula>
    </cfRule>
  </conditionalFormatting>
  <conditionalFormatting sqref="G28">
    <cfRule type="containsText" dxfId="103" priority="263" operator="containsText" text="RECHAZADA">
      <formula>NOT(ISERROR(SEARCH("RECHAZADA",G28)))</formula>
    </cfRule>
  </conditionalFormatting>
  <conditionalFormatting sqref="G28">
    <cfRule type="containsText" dxfId="102" priority="262" operator="containsText" text="RECHAZADA">
      <formula>NOT(ISERROR(SEARCH("RECHAZADA",G28)))</formula>
    </cfRule>
  </conditionalFormatting>
  <conditionalFormatting sqref="G7">
    <cfRule type="containsText" dxfId="101" priority="204" operator="containsText" text="RECHAZADA">
      <formula>NOT(ISERROR(SEARCH("RECHAZADA",G7)))</formula>
    </cfRule>
  </conditionalFormatting>
  <conditionalFormatting sqref="G7">
    <cfRule type="containsText" dxfId="100" priority="203" operator="containsText" text="RECHAZADA">
      <formula>NOT(ISERROR(SEARCH("RECHAZADA",G7)))</formula>
    </cfRule>
  </conditionalFormatting>
  <conditionalFormatting sqref="G7">
    <cfRule type="containsText" dxfId="99" priority="202" operator="containsText" text="RECHAZADA">
      <formula>NOT(ISERROR(SEARCH("RECHAZADA",G7)))</formula>
    </cfRule>
  </conditionalFormatting>
  <conditionalFormatting sqref="G6">
    <cfRule type="containsText" dxfId="98" priority="201" operator="containsText" text="RECHAZADA">
      <formula>NOT(ISERROR(SEARCH("RECHAZADA",G6)))</formula>
    </cfRule>
  </conditionalFormatting>
  <conditionalFormatting sqref="G6">
    <cfRule type="containsText" dxfId="97" priority="200" operator="containsText" text="RECHAZADA">
      <formula>NOT(ISERROR(SEARCH("RECHAZADA",G6)))</formula>
    </cfRule>
  </conditionalFormatting>
  <conditionalFormatting sqref="G6">
    <cfRule type="containsText" dxfId="96" priority="199" operator="containsText" text="RECHAZADA">
      <formula>NOT(ISERROR(SEARCH("RECHAZADA",G6)))</formula>
    </cfRule>
  </conditionalFormatting>
  <conditionalFormatting sqref="G5">
    <cfRule type="containsText" dxfId="95" priority="198" operator="containsText" text="RECHAZADA">
      <formula>NOT(ISERROR(SEARCH("RECHAZADA",G5)))</formula>
    </cfRule>
  </conditionalFormatting>
  <conditionalFormatting sqref="G5">
    <cfRule type="containsText" dxfId="94" priority="197" operator="containsText" text="RECHAZADA">
      <formula>NOT(ISERROR(SEARCH("RECHAZADA",G5)))</formula>
    </cfRule>
  </conditionalFormatting>
  <conditionalFormatting sqref="G5">
    <cfRule type="containsText" dxfId="93" priority="196" operator="containsText" text="RECHAZADA">
      <formula>NOT(ISERROR(SEARCH("RECHAZADA",G5)))</formula>
    </cfRule>
  </conditionalFormatting>
  <conditionalFormatting sqref="G4">
    <cfRule type="containsText" dxfId="92" priority="195" operator="containsText" text="RECHAZADA">
      <formula>NOT(ISERROR(SEARCH("RECHAZADA",G4)))</formula>
    </cfRule>
  </conditionalFormatting>
  <conditionalFormatting sqref="G4">
    <cfRule type="containsText" dxfId="91" priority="194" operator="containsText" text="RECHAZADA">
      <formula>NOT(ISERROR(SEARCH("RECHAZADA",G4)))</formula>
    </cfRule>
  </conditionalFormatting>
  <conditionalFormatting sqref="G4">
    <cfRule type="containsText" dxfId="90" priority="193" operator="containsText" text="RECHAZADA">
      <formula>NOT(ISERROR(SEARCH("RECHAZADA",G4)))</formula>
    </cfRule>
  </conditionalFormatting>
  <conditionalFormatting sqref="H21">
    <cfRule type="containsText" dxfId="89" priority="87" operator="containsText" text="RECHAZADA">
      <formula>NOT(ISERROR(SEARCH("RECHAZADA",H21)))</formula>
    </cfRule>
  </conditionalFormatting>
  <conditionalFormatting sqref="H21">
    <cfRule type="containsText" dxfId="88" priority="86" operator="containsText" text="RECHAZADA">
      <formula>NOT(ISERROR(SEARCH("RECHAZADA",H21)))</formula>
    </cfRule>
  </conditionalFormatting>
  <conditionalFormatting sqref="H21">
    <cfRule type="containsText" dxfId="87" priority="85" operator="containsText" text="RECHAZADA">
      <formula>NOT(ISERROR(SEARCH("RECHAZADA",H21)))</formula>
    </cfRule>
  </conditionalFormatting>
  <conditionalFormatting sqref="H23">
    <cfRule type="containsText" dxfId="86" priority="81" operator="containsText" text="RECHAZADA">
      <formula>NOT(ISERROR(SEARCH("RECHAZADA",H23)))</formula>
    </cfRule>
  </conditionalFormatting>
  <conditionalFormatting sqref="H23">
    <cfRule type="containsText" dxfId="85" priority="80" operator="containsText" text="RECHAZADA">
      <formula>NOT(ISERROR(SEARCH("RECHAZADA",H23)))</formula>
    </cfRule>
  </conditionalFormatting>
  <conditionalFormatting sqref="H23">
    <cfRule type="containsText" dxfId="84" priority="79" operator="containsText" text="RECHAZADA">
      <formula>NOT(ISERROR(SEARCH("RECHAZADA",H23)))</formula>
    </cfRule>
  </conditionalFormatting>
  <conditionalFormatting sqref="H27">
    <cfRule type="containsText" dxfId="83" priority="63" operator="containsText" text="RECHAZADA">
      <formula>NOT(ISERROR(SEARCH("RECHAZADA",H27)))</formula>
    </cfRule>
  </conditionalFormatting>
  <conditionalFormatting sqref="H27">
    <cfRule type="containsText" dxfId="82" priority="62" operator="containsText" text="RECHAZADA">
      <formula>NOT(ISERROR(SEARCH("RECHAZADA",H27)))</formula>
    </cfRule>
  </conditionalFormatting>
  <conditionalFormatting sqref="H27">
    <cfRule type="containsText" dxfId="81" priority="61" operator="containsText" text="RECHAZADA">
      <formula>NOT(ISERROR(SEARCH("RECHAZADA",H27)))</formula>
    </cfRule>
  </conditionalFormatting>
  <conditionalFormatting sqref="G1">
    <cfRule type="containsText" dxfId="80" priority="171" operator="containsText" text="RECHAZADA">
      <formula>NOT(ISERROR(SEARCH("RECHAZADA",G1)))</formula>
    </cfRule>
  </conditionalFormatting>
  <conditionalFormatting sqref="G1">
    <cfRule type="containsText" dxfId="79" priority="170" operator="containsText" text="RECHAZADA">
      <formula>NOT(ISERROR(SEARCH("RECHAZADA",G1)))</formula>
    </cfRule>
  </conditionalFormatting>
  <conditionalFormatting sqref="G1">
    <cfRule type="containsText" dxfId="78" priority="169" operator="containsText" text="RECHAZADA">
      <formula>NOT(ISERROR(SEARCH("RECHAZADA",G1)))</formula>
    </cfRule>
  </conditionalFormatting>
  <conditionalFormatting sqref="G3">
    <cfRule type="containsText" dxfId="77" priority="165" operator="containsText" text="RECHAZADA">
      <formula>NOT(ISERROR(SEARCH("RECHAZADA",G3)))</formula>
    </cfRule>
  </conditionalFormatting>
  <conditionalFormatting sqref="G3">
    <cfRule type="containsText" dxfId="76" priority="164" operator="containsText" text="RECHAZADA">
      <formula>NOT(ISERROR(SEARCH("RECHAZADA",G3)))</formula>
    </cfRule>
  </conditionalFormatting>
  <conditionalFormatting sqref="G3">
    <cfRule type="containsText" dxfId="75" priority="163" operator="containsText" text="RECHAZADA">
      <formula>NOT(ISERROR(SEARCH("RECHAZADA",G3)))</formula>
    </cfRule>
  </conditionalFormatting>
  <conditionalFormatting sqref="H8">
    <cfRule type="containsText" dxfId="74" priority="123" operator="containsText" text="RECHAZADA">
      <formula>NOT(ISERROR(SEARCH("RECHAZADA",H8)))</formula>
    </cfRule>
  </conditionalFormatting>
  <conditionalFormatting sqref="H8:H18 H20:H28">
    <cfRule type="containsText" dxfId="73" priority="122" operator="containsText" text="RECHAZADA">
      <formula>NOT(ISERROR(SEARCH("RECHAZADA",H8)))</formula>
    </cfRule>
  </conditionalFormatting>
  <conditionalFormatting sqref="H8:H18 H20:H28">
    <cfRule type="containsText" dxfId="72" priority="121" operator="containsText" text="RECHAZADA">
      <formula>NOT(ISERROR(SEARCH("RECHAZADA",H8)))</formula>
    </cfRule>
  </conditionalFormatting>
  <conditionalFormatting sqref="H10">
    <cfRule type="containsText" dxfId="71" priority="117" operator="containsText" text="RECHAZADA">
      <formula>NOT(ISERROR(SEARCH("RECHAZADA",H10)))</formula>
    </cfRule>
  </conditionalFormatting>
  <conditionalFormatting sqref="H10">
    <cfRule type="containsText" dxfId="70" priority="116" operator="containsText" text="RECHAZADA">
      <formula>NOT(ISERROR(SEARCH("RECHAZADA",H10)))</formula>
    </cfRule>
  </conditionalFormatting>
  <conditionalFormatting sqref="H10">
    <cfRule type="containsText" dxfId="69" priority="115" operator="containsText" text="RECHAZADA">
      <formula>NOT(ISERROR(SEARCH("RECHAZADA",H10)))</formula>
    </cfRule>
  </conditionalFormatting>
  <conditionalFormatting sqref="H12">
    <cfRule type="containsText" dxfId="68" priority="111" operator="containsText" text="RECHAZADA">
      <formula>NOT(ISERROR(SEARCH("RECHAZADA",H12)))</formula>
    </cfRule>
  </conditionalFormatting>
  <conditionalFormatting sqref="H12">
    <cfRule type="containsText" dxfId="67" priority="110" operator="containsText" text="RECHAZADA">
      <formula>NOT(ISERROR(SEARCH("RECHAZADA",H12)))</formula>
    </cfRule>
  </conditionalFormatting>
  <conditionalFormatting sqref="H12">
    <cfRule type="containsText" dxfId="66" priority="109" operator="containsText" text="RECHAZADA">
      <formula>NOT(ISERROR(SEARCH("RECHAZADA",H12)))</formula>
    </cfRule>
  </conditionalFormatting>
  <conditionalFormatting sqref="H14">
    <cfRule type="containsText" dxfId="65" priority="105" operator="containsText" text="RECHAZADA">
      <formula>NOT(ISERROR(SEARCH("RECHAZADA",H14)))</formula>
    </cfRule>
  </conditionalFormatting>
  <conditionalFormatting sqref="H14">
    <cfRule type="containsText" dxfId="64" priority="104" operator="containsText" text="RECHAZADA">
      <formula>NOT(ISERROR(SEARCH("RECHAZADA",H14)))</formula>
    </cfRule>
  </conditionalFormatting>
  <conditionalFormatting sqref="H14">
    <cfRule type="containsText" dxfId="63" priority="103" operator="containsText" text="RECHAZADA">
      <formula>NOT(ISERROR(SEARCH("RECHAZADA",H14)))</formula>
    </cfRule>
  </conditionalFormatting>
  <conditionalFormatting sqref="H16">
    <cfRule type="containsText" dxfId="62" priority="99" operator="containsText" text="RECHAZADA">
      <formula>NOT(ISERROR(SEARCH("RECHAZADA",H16)))</formula>
    </cfRule>
  </conditionalFormatting>
  <conditionalFormatting sqref="H16">
    <cfRule type="containsText" dxfId="61" priority="98" operator="containsText" text="RECHAZADA">
      <formula>NOT(ISERROR(SEARCH("RECHAZADA",H16)))</formula>
    </cfRule>
  </conditionalFormatting>
  <conditionalFormatting sqref="H16">
    <cfRule type="containsText" dxfId="60" priority="97" operator="containsText" text="RECHAZADA">
      <formula>NOT(ISERROR(SEARCH("RECHAZADA",H16)))</formula>
    </cfRule>
  </conditionalFormatting>
  <conditionalFormatting sqref="H18">
    <cfRule type="containsText" dxfId="59" priority="93" operator="containsText" text="RECHAZADA">
      <formula>NOT(ISERROR(SEARCH("RECHAZADA",H18)))</formula>
    </cfRule>
  </conditionalFormatting>
  <conditionalFormatting sqref="H18">
    <cfRule type="containsText" dxfId="58" priority="92" operator="containsText" text="RECHAZADA">
      <formula>NOT(ISERROR(SEARCH("RECHAZADA",H18)))</formula>
    </cfRule>
  </conditionalFormatting>
  <conditionalFormatting sqref="H18">
    <cfRule type="containsText" dxfId="57" priority="91" operator="containsText" text="RECHAZADA">
      <formula>NOT(ISERROR(SEARCH("RECHAZADA",H18)))</formula>
    </cfRule>
  </conditionalFormatting>
  <conditionalFormatting sqref="H25">
    <cfRule type="containsText" dxfId="56" priority="75" operator="containsText" text="RECHAZADA">
      <formula>NOT(ISERROR(SEARCH("RECHAZADA",H25)))</formula>
    </cfRule>
  </conditionalFormatting>
  <conditionalFormatting sqref="H25">
    <cfRule type="containsText" dxfId="55" priority="74" operator="containsText" text="RECHAZADA">
      <formula>NOT(ISERROR(SEARCH("RECHAZADA",H25)))</formula>
    </cfRule>
  </conditionalFormatting>
  <conditionalFormatting sqref="H25">
    <cfRule type="containsText" dxfId="54" priority="73" operator="containsText" text="RECHAZADA">
      <formula>NOT(ISERROR(SEARCH("RECHAZADA",H25)))</formula>
    </cfRule>
  </conditionalFormatting>
  <conditionalFormatting sqref="H31:H32 F29:G32 I8:M8 I9:I17 F8:F28 E8:E27 J9:M32">
    <cfRule type="cellIs" dxfId="53" priority="2770" operator="greaterThan">
      <formula>$H$3</formula>
    </cfRule>
  </conditionalFormatting>
  <conditionalFormatting sqref="W9:Z33">
    <cfRule type="cellIs" dxfId="52" priority="2780" operator="equal">
      <formula>$H$2</formula>
    </cfRule>
  </conditionalFormatting>
  <conditionalFormatting sqref="D10:F14 D17:F17 E8:F9 E18:F21 E15:F16 D22:F27">
    <cfRule type="cellIs" dxfId="51" priority="60" operator="equal">
      <formula>"NO VÁLIDO"</formula>
    </cfRule>
    <cfRule type="cellIs" dxfId="50" priority="59" operator="equal">
      <formula>"NO VÁLIDO"</formula>
    </cfRule>
  </conditionalFormatting>
  <conditionalFormatting sqref="D20">
    <cfRule type="containsText" dxfId="49" priority="57" operator="containsText" text="RECHAZADA">
      <formula>NOT(ISERROR(SEARCH("RECHAZADA",D20)))</formula>
    </cfRule>
  </conditionalFormatting>
  <conditionalFormatting sqref="D20">
    <cfRule type="containsText" dxfId="48" priority="56" operator="containsText" text="RECHAZADA">
      <formula>NOT(ISERROR(SEARCH("RECHAZADA",D20)))</formula>
    </cfRule>
  </conditionalFormatting>
  <conditionalFormatting sqref="D20">
    <cfRule type="containsText" dxfId="47" priority="55" operator="containsText" text="RECHAZADA">
      <formula>NOT(ISERROR(SEARCH("RECHAZADA",D20)))</formula>
    </cfRule>
  </conditionalFormatting>
  <conditionalFormatting sqref="D20">
    <cfRule type="cellIs" dxfId="46" priority="54" operator="equal">
      <formula>"NO VÁLIDA"</formula>
    </cfRule>
  </conditionalFormatting>
  <conditionalFormatting sqref="D21">
    <cfRule type="containsText" dxfId="45" priority="53" operator="containsText" text="RECHAZADA">
      <formula>NOT(ISERROR(SEARCH("RECHAZADA",D21)))</formula>
    </cfRule>
  </conditionalFormatting>
  <conditionalFormatting sqref="D21">
    <cfRule type="containsText" dxfId="44" priority="52" operator="containsText" text="RECHAZADA">
      <formula>NOT(ISERROR(SEARCH("RECHAZADA",D21)))</formula>
    </cfRule>
  </conditionalFormatting>
  <conditionalFormatting sqref="D21">
    <cfRule type="containsText" dxfId="43" priority="51" operator="containsText" text="RECHAZADA">
      <formula>NOT(ISERROR(SEARCH("RECHAZADA",D21)))</formula>
    </cfRule>
  </conditionalFormatting>
  <conditionalFormatting sqref="D21">
    <cfRule type="cellIs" dxfId="42" priority="50" operator="equal">
      <formula>"NO VÁLIDA"</formula>
    </cfRule>
  </conditionalFormatting>
  <conditionalFormatting sqref="D16">
    <cfRule type="containsText" dxfId="41" priority="49" operator="containsText" text="RECHAZADA">
      <formula>NOT(ISERROR(SEARCH("RECHAZADA",D16)))</formula>
    </cfRule>
  </conditionalFormatting>
  <conditionalFormatting sqref="D16">
    <cfRule type="containsText" dxfId="40" priority="48" operator="containsText" text="RECHAZADA">
      <formula>NOT(ISERROR(SEARCH("RECHAZADA",D16)))</formula>
    </cfRule>
  </conditionalFormatting>
  <conditionalFormatting sqref="D16">
    <cfRule type="containsText" dxfId="39" priority="47" operator="containsText" text="RECHAZADA">
      <formula>NOT(ISERROR(SEARCH("RECHAZADA",D16)))</formula>
    </cfRule>
  </conditionalFormatting>
  <conditionalFormatting sqref="D16">
    <cfRule type="cellIs" dxfId="38" priority="46" operator="equal">
      <formula>"NO VÁLIDA"</formula>
    </cfRule>
  </conditionalFormatting>
  <conditionalFormatting sqref="D8">
    <cfRule type="containsText" dxfId="37" priority="45" operator="containsText" text="RECHAZADA">
      <formula>NOT(ISERROR(SEARCH("RECHAZADA",D8)))</formula>
    </cfRule>
  </conditionalFormatting>
  <conditionalFormatting sqref="D8">
    <cfRule type="containsText" dxfId="36" priority="44" operator="containsText" text="RECHAZADA">
      <formula>NOT(ISERROR(SEARCH("RECHAZADA",D8)))</formula>
    </cfRule>
  </conditionalFormatting>
  <conditionalFormatting sqref="D8">
    <cfRule type="containsText" dxfId="35" priority="43" operator="containsText" text="RECHAZADA">
      <formula>NOT(ISERROR(SEARCH("RECHAZADA",D8)))</formula>
    </cfRule>
  </conditionalFormatting>
  <conditionalFormatting sqref="D8">
    <cfRule type="cellIs" dxfId="34" priority="42" operator="equal">
      <formula>"NO VÁLIDA"</formula>
    </cfRule>
  </conditionalFormatting>
  <conditionalFormatting sqref="G8">
    <cfRule type="containsText" dxfId="33" priority="41" operator="containsText" text="RECHAZADA">
      <formula>NOT(ISERROR(SEARCH("RECHAZADA",G8)))</formula>
    </cfRule>
  </conditionalFormatting>
  <conditionalFormatting sqref="G8">
    <cfRule type="containsText" dxfId="32" priority="40" operator="containsText" text="RECHAZADA">
      <formula>NOT(ISERROR(SEARCH("RECHAZADA",G8)))</formula>
    </cfRule>
  </conditionalFormatting>
  <conditionalFormatting sqref="G8">
    <cfRule type="containsText" dxfId="31" priority="39" operator="containsText" text="RECHAZADA">
      <formula>NOT(ISERROR(SEARCH("RECHAZADA",G8)))</formula>
    </cfRule>
  </conditionalFormatting>
  <conditionalFormatting sqref="G8">
    <cfRule type="cellIs" dxfId="30" priority="38" operator="equal">
      <formula>"NO VÁLIDA"</formula>
    </cfRule>
  </conditionalFormatting>
  <conditionalFormatting sqref="G9:G27">
    <cfRule type="containsText" dxfId="29" priority="37" operator="containsText" text="RECHAZADA">
      <formula>NOT(ISERROR(SEARCH("RECHAZADA",G9)))</formula>
    </cfRule>
  </conditionalFormatting>
  <conditionalFormatting sqref="G9:G27">
    <cfRule type="containsText" dxfId="28" priority="36" operator="containsText" text="RECHAZADA">
      <formula>NOT(ISERROR(SEARCH("RECHAZADA",G9)))</formula>
    </cfRule>
  </conditionalFormatting>
  <conditionalFormatting sqref="G9:G27">
    <cfRule type="containsText" dxfId="27" priority="35" operator="containsText" text="RECHAZADA">
      <formula>NOT(ISERROR(SEARCH("RECHAZADA",G9)))</formula>
    </cfRule>
  </conditionalFormatting>
  <conditionalFormatting sqref="G9:G27">
    <cfRule type="cellIs" dxfId="26" priority="34" operator="equal">
      <formula>"NO VÁLIDA"</formula>
    </cfRule>
  </conditionalFormatting>
  <conditionalFormatting sqref="D9">
    <cfRule type="containsText" dxfId="25" priority="33" operator="containsText" text="RECHAZADA">
      <formula>NOT(ISERROR(SEARCH("RECHAZADA",D9)))</formula>
    </cfRule>
  </conditionalFormatting>
  <conditionalFormatting sqref="D9">
    <cfRule type="containsText" dxfId="24" priority="32" operator="containsText" text="RECHAZADA">
      <formula>NOT(ISERROR(SEARCH("RECHAZADA",D9)))</formula>
    </cfRule>
  </conditionalFormatting>
  <conditionalFormatting sqref="D9">
    <cfRule type="containsText" dxfId="23" priority="31" operator="containsText" text="RECHAZADA">
      <formula>NOT(ISERROR(SEARCH("RECHAZADA",D9)))</formula>
    </cfRule>
  </conditionalFormatting>
  <conditionalFormatting sqref="D9">
    <cfRule type="cellIs" dxfId="22" priority="30" operator="equal">
      <formula>"NO VÁLIDA"</formula>
    </cfRule>
  </conditionalFormatting>
  <conditionalFormatting sqref="H19">
    <cfRule type="containsText" dxfId="21" priority="25" operator="containsText" text="RECHAZADA">
      <formula>NOT(ISERROR(SEARCH("RECHAZADA",H19)))</formula>
    </cfRule>
  </conditionalFormatting>
  <conditionalFormatting sqref="H19">
    <cfRule type="containsText" dxfId="20" priority="24" operator="containsText" text="RECHAZADA">
      <formula>NOT(ISERROR(SEARCH("RECHAZADA",H19)))</formula>
    </cfRule>
  </conditionalFormatting>
  <conditionalFormatting sqref="H19">
    <cfRule type="containsText" dxfId="19" priority="23" operator="containsText" text="RECHAZADA">
      <formula>NOT(ISERROR(SEARCH("RECHAZADA",H19)))</formula>
    </cfRule>
  </conditionalFormatting>
  <conditionalFormatting sqref="H19">
    <cfRule type="cellIs" dxfId="18" priority="21" operator="equal">
      <formula>"NO VÁLIDO"</formula>
    </cfRule>
    <cfRule type="cellIs" dxfId="17" priority="22" operator="equal">
      <formula>"NO VÁLIDO"</formula>
    </cfRule>
  </conditionalFormatting>
  <conditionalFormatting sqref="D15">
    <cfRule type="containsText" dxfId="16" priority="20" operator="containsText" text="RECHAZADA">
      <formula>NOT(ISERROR(SEARCH("RECHAZADA",D15)))</formula>
    </cfRule>
  </conditionalFormatting>
  <conditionalFormatting sqref="D15">
    <cfRule type="containsText" dxfId="15" priority="19" operator="containsText" text="RECHAZADA">
      <formula>NOT(ISERROR(SEARCH("RECHAZADA",D15)))</formula>
    </cfRule>
  </conditionalFormatting>
  <conditionalFormatting sqref="D15">
    <cfRule type="containsText" dxfId="14" priority="18" operator="containsText" text="RECHAZADA">
      <formula>NOT(ISERROR(SEARCH("RECHAZADA",D15)))</formula>
    </cfRule>
  </conditionalFormatting>
  <conditionalFormatting sqref="D15">
    <cfRule type="cellIs" dxfId="13" priority="17" operator="equal">
      <formula>"NO VÁLIDA"</formula>
    </cfRule>
  </conditionalFormatting>
  <conditionalFormatting sqref="D18">
    <cfRule type="containsText" dxfId="12" priority="11" operator="containsText" text="RECHAZADA">
      <formula>NOT(ISERROR(SEARCH("RECHAZADA",D18)))</formula>
    </cfRule>
  </conditionalFormatting>
  <conditionalFormatting sqref="D18">
    <cfRule type="containsText" dxfId="11" priority="10" operator="containsText" text="RECHAZADA">
      <formula>NOT(ISERROR(SEARCH("RECHAZADA",D18)))</formula>
    </cfRule>
  </conditionalFormatting>
  <conditionalFormatting sqref="D18">
    <cfRule type="containsText" dxfId="10" priority="9" operator="containsText" text="RECHAZADA">
      <formula>NOT(ISERROR(SEARCH("RECHAZADA",D18)))</formula>
    </cfRule>
  </conditionalFormatting>
  <conditionalFormatting sqref="D18">
    <cfRule type="cellIs" dxfId="9" priority="8" operator="equal">
      <formula>"NO VÁLIDA"</formula>
    </cfRule>
  </conditionalFormatting>
  <conditionalFormatting sqref="D19">
    <cfRule type="containsText" dxfId="8" priority="7" operator="containsText" text="RECHAZADA">
      <formula>NOT(ISERROR(SEARCH("RECHAZADA",D19)))</formula>
    </cfRule>
  </conditionalFormatting>
  <conditionalFormatting sqref="D19">
    <cfRule type="containsText" dxfId="7" priority="6" operator="containsText" text="RECHAZADA">
      <formula>NOT(ISERROR(SEARCH("RECHAZADA",D19)))</formula>
    </cfRule>
  </conditionalFormatting>
  <conditionalFormatting sqref="D19">
    <cfRule type="containsText" dxfId="6" priority="5" operator="containsText" text="RECHAZADA">
      <formula>NOT(ISERROR(SEARCH("RECHAZADA",D19)))</formula>
    </cfRule>
  </conditionalFormatting>
  <conditionalFormatting sqref="D19">
    <cfRule type="cellIs" dxfId="5" priority="4" operator="equal">
      <formula>"NO VÁLIDA"</formula>
    </cfRule>
  </conditionalFormatting>
  <conditionalFormatting sqref="H22">
    <cfRule type="containsText" dxfId="4" priority="3" operator="containsText" text="RECHAZADA">
      <formula>NOT(ISERROR(SEARCH("RECHAZADA",H22)))</formula>
    </cfRule>
  </conditionalFormatting>
  <conditionalFormatting sqref="H22">
    <cfRule type="containsText" dxfId="3" priority="2" operator="containsText" text="RECHAZADA">
      <formula>NOT(ISERROR(SEARCH("RECHAZADA",H22)))</formula>
    </cfRule>
  </conditionalFormatting>
  <conditionalFormatting sqref="H22">
    <cfRule type="containsText" dxfId="2" priority="1" operator="containsText" text="RECHAZADA">
      <formula>NOT(ISERROR(SEARCH("RECHAZADA",H22)))</formula>
    </cfRule>
  </conditionalFormatting>
  <dataValidations disablePrompts="1" count="1">
    <dataValidation type="list" allowBlank="1" showInputMessage="1" showErrorMessage="1" sqref="F4:H4" xr:uid="{00000000-0002-0000-0100-000000000000}">
      <formula1>$A$27:$A$31</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O30"/>
  <sheetViews>
    <sheetView tabSelected="1" topLeftCell="D5" zoomScale="102" workbookViewId="0">
      <selection activeCell="D9" sqref="D9:O19"/>
    </sheetView>
  </sheetViews>
  <sheetFormatPr baseColWidth="10" defaultRowHeight="15" x14ac:dyDescent="0.25"/>
  <cols>
    <col min="1" max="1" width="2.140625" customWidth="1"/>
    <col min="2" max="2" width="18.28515625" customWidth="1"/>
    <col min="5" max="5" width="49.140625" style="31" customWidth="1"/>
    <col min="6" max="6" width="26.7109375" style="31" hidden="1" customWidth="1"/>
    <col min="7" max="7" width="17.42578125" customWidth="1"/>
    <col min="8" max="10" width="11.42578125" style="31"/>
    <col min="14" max="14" width="12.7109375" bestFit="1" customWidth="1"/>
  </cols>
  <sheetData>
    <row r="2" spans="2:15" x14ac:dyDescent="0.25">
      <c r="B2" s="297" t="s">
        <v>55</v>
      </c>
      <c r="C2" s="298" t="s">
        <v>56</v>
      </c>
      <c r="E2" s="300"/>
      <c r="F2" s="298" t="str">
        <f>+B4</f>
        <v>Oferta Economica</v>
      </c>
      <c r="G2" s="298"/>
      <c r="H2" s="298" t="str">
        <f>+B6</f>
        <v>Factor de Calidad</v>
      </c>
      <c r="I2" s="298"/>
      <c r="J2" s="298" t="str">
        <f>+B8</f>
        <v>Apoyo a la Industria Nacional</v>
      </c>
      <c r="K2" s="298"/>
      <c r="L2" s="298" t="str">
        <f>+B10</f>
        <v>Vinculacion de personas con discapacidad</v>
      </c>
      <c r="M2" s="298"/>
      <c r="N2" s="297" t="s">
        <v>57</v>
      </c>
      <c r="O2" s="298" t="s">
        <v>58</v>
      </c>
    </row>
    <row r="3" spans="2:15" ht="15" customHeight="1" x14ac:dyDescent="0.25">
      <c r="B3" s="297"/>
      <c r="C3" s="298"/>
      <c r="E3" s="300"/>
      <c r="F3" s="298"/>
      <c r="G3" s="298"/>
      <c r="H3" s="298"/>
      <c r="I3" s="298"/>
      <c r="J3" s="298" t="s">
        <v>59</v>
      </c>
      <c r="K3" s="298"/>
      <c r="L3" s="298" t="s">
        <v>60</v>
      </c>
      <c r="M3" s="298"/>
      <c r="N3" s="297"/>
      <c r="O3" s="298"/>
    </row>
    <row r="4" spans="2:15" x14ac:dyDescent="0.25">
      <c r="B4" s="298" t="s">
        <v>61</v>
      </c>
      <c r="C4" s="299">
        <v>70</v>
      </c>
      <c r="E4" s="300"/>
      <c r="F4" s="5" t="s">
        <v>62</v>
      </c>
      <c r="G4" s="5" t="s">
        <v>63</v>
      </c>
      <c r="H4" s="5" t="s">
        <v>28</v>
      </c>
      <c r="I4" s="5" t="s">
        <v>63</v>
      </c>
      <c r="J4" s="5" t="s">
        <v>28</v>
      </c>
      <c r="K4" s="5" t="s">
        <v>63</v>
      </c>
      <c r="L4" s="5" t="s">
        <v>28</v>
      </c>
      <c r="M4" s="5" t="s">
        <v>63</v>
      </c>
      <c r="N4" s="297"/>
      <c r="O4" s="298"/>
    </row>
    <row r="5" spans="2:15" x14ac:dyDescent="0.25">
      <c r="B5" s="298"/>
      <c r="C5" s="299"/>
      <c r="E5" s="30" t="str">
        <f>+'PROPUESTA ECONOMICA'!U9</f>
        <v>CONSORCIO LA PAZ</v>
      </c>
      <c r="F5" s="30" t="str">
        <f>+'PROPUESTA ECONOMICA'!$E$5</f>
        <v>MEDIANA CON VALOR ABSOLUTO</v>
      </c>
      <c r="G5" s="30">
        <f>+HLOOKUP(F5,'PROPUESTA ECONOMICA'!$V$7:$Z$33,3,FALSE)</f>
        <v>0</v>
      </c>
      <c r="H5" s="30" t="s">
        <v>67</v>
      </c>
      <c r="I5" s="30">
        <f t="shared" ref="I5:I29" si="0">+IF(H5="SI",$C$6,IF(H5="NO",0,""))</f>
        <v>0</v>
      </c>
      <c r="J5" s="30" t="s">
        <v>67</v>
      </c>
      <c r="K5" s="30">
        <f>+IF(J5="SI",$C$8,IF(J5="NO",0,""))</f>
        <v>0</v>
      </c>
      <c r="L5" s="30" t="s">
        <v>67</v>
      </c>
      <c r="M5" s="30">
        <f>+IF(L5="SI",$C$10,IF(L5="NO",0,""))</f>
        <v>0</v>
      </c>
      <c r="N5" s="1" t="str">
        <f t="shared" ref="N5:N29" si="1">IF(M5+K5+I5+G5&gt;0,M5+K5+I5+G5,"")</f>
        <v/>
      </c>
      <c r="O5" s="30" t="str">
        <f>IFERROR(+_xlfn.RANK.EQ(N5,$N$5:$N$29,0)," ")</f>
        <v xml:space="preserve"> </v>
      </c>
    </row>
    <row r="6" spans="2:15" x14ac:dyDescent="0.25">
      <c r="B6" s="298" t="s">
        <v>64</v>
      </c>
      <c r="C6" s="299">
        <v>19</v>
      </c>
      <c r="E6" s="30" t="str">
        <f>+'PROPUESTA ECONOMICA'!U10</f>
        <v>LYDCO INGENIERIA SAS 005</v>
      </c>
      <c r="F6" s="30" t="str">
        <f>+'PROPUESTA ECONOMICA'!$E$5</f>
        <v>MEDIANA CON VALOR ABSOLUTO</v>
      </c>
      <c r="G6" s="30">
        <f>+HLOOKUP(F6,'PROPUESTA ECONOMICA'!$V$7:$Z$33,4,FALSE)</f>
        <v>0</v>
      </c>
      <c r="H6" s="30" t="s">
        <v>67</v>
      </c>
      <c r="I6" s="30">
        <f t="shared" si="0"/>
        <v>0</v>
      </c>
      <c r="J6" s="30" t="s">
        <v>67</v>
      </c>
      <c r="K6" s="30">
        <f t="shared" ref="K6:K29" si="2">+IF(J6="SI",$C$8,IF(J6="NO",0,""))</f>
        <v>0</v>
      </c>
      <c r="L6" s="30" t="s">
        <v>67</v>
      </c>
      <c r="M6" s="30">
        <f t="shared" ref="M6:M29" si="3">+IF(L6="SI",$C$10,IF(L6="NO",0,""))</f>
        <v>0</v>
      </c>
      <c r="N6" s="1" t="str">
        <f t="shared" si="1"/>
        <v/>
      </c>
      <c r="O6" s="218" t="str">
        <f t="shared" ref="O6:O29" si="4">IFERROR(+_xlfn.RANK.EQ(N6,$N$5:$N$29,0)," ")</f>
        <v xml:space="preserve"> </v>
      </c>
    </row>
    <row r="7" spans="2:15" x14ac:dyDescent="0.25">
      <c r="B7" s="298"/>
      <c r="C7" s="299"/>
      <c r="E7" s="30" t="str">
        <f>+'PROPUESTA ECONOMICA'!U11</f>
        <v>GRD-FDLC-LP-005-2019</v>
      </c>
      <c r="F7" s="30" t="str">
        <f>+'PROPUESTA ECONOMICA'!$E$5</f>
        <v>MEDIANA CON VALOR ABSOLUTO</v>
      </c>
      <c r="G7" s="30">
        <f>+HLOOKUP(F7,'PROPUESTA ECONOMICA'!$V$7:$Z$33,5,FALSE)</f>
        <v>0</v>
      </c>
      <c r="H7" s="30" t="s">
        <v>67</v>
      </c>
      <c r="I7" s="30">
        <f t="shared" si="0"/>
        <v>0</v>
      </c>
      <c r="J7" s="30" t="s">
        <v>67</v>
      </c>
      <c r="K7" s="30">
        <f t="shared" si="2"/>
        <v>0</v>
      </c>
      <c r="L7" s="30" t="s">
        <v>67</v>
      </c>
      <c r="M7" s="30">
        <f t="shared" si="3"/>
        <v>0</v>
      </c>
      <c r="N7" s="1" t="str">
        <f t="shared" si="1"/>
        <v/>
      </c>
      <c r="O7" s="218" t="str">
        <f t="shared" si="4"/>
        <v xml:space="preserve"> </v>
      </c>
    </row>
    <row r="8" spans="2:15" x14ac:dyDescent="0.25">
      <c r="B8" s="298" t="s">
        <v>65</v>
      </c>
      <c r="C8" s="299">
        <v>10</v>
      </c>
      <c r="E8" s="30" t="str">
        <f>+'PROPUESTA ECONOMICA'!U12</f>
        <v>CONSORCIO CONSTRUVALOR</v>
      </c>
      <c r="F8" s="30" t="str">
        <f>+'PROPUESTA ECONOMICA'!$E$5</f>
        <v>MEDIANA CON VALOR ABSOLUTO</v>
      </c>
      <c r="G8" s="30">
        <f>+HLOOKUP(F8,'PROPUESTA ECONOMICA'!$V$7:$Z$33,6,FALSE)</f>
        <v>0</v>
      </c>
      <c r="H8" s="30" t="s">
        <v>67</v>
      </c>
      <c r="I8" s="30">
        <f t="shared" si="0"/>
        <v>0</v>
      </c>
      <c r="J8" s="30" t="s">
        <v>67</v>
      </c>
      <c r="K8" s="30">
        <f t="shared" si="2"/>
        <v>0</v>
      </c>
      <c r="L8" s="30" t="s">
        <v>67</v>
      </c>
      <c r="M8" s="30">
        <f t="shared" si="3"/>
        <v>0</v>
      </c>
      <c r="N8" s="1" t="str">
        <f t="shared" si="1"/>
        <v/>
      </c>
      <c r="O8" s="218" t="str">
        <f t="shared" si="4"/>
        <v xml:space="preserve"> </v>
      </c>
    </row>
    <row r="9" spans="2:15" x14ac:dyDescent="0.25">
      <c r="B9" s="298"/>
      <c r="C9" s="299"/>
      <c r="E9" s="30" t="str">
        <f>+'PROPUESTA ECONOMICA'!U13</f>
        <v>CONSORCIO CANDELARIA005
-2019 FDLC -LP005-2019</v>
      </c>
      <c r="F9" s="30" t="str">
        <f>+'PROPUESTA ECONOMICA'!$E$5</f>
        <v>MEDIANA CON VALOR ABSOLUTO</v>
      </c>
      <c r="G9" s="30">
        <f>+HLOOKUP(F9,'PROPUESTA ECONOMICA'!$V$7:$Z$33,7,FALSE)</f>
        <v>69.999999587955088</v>
      </c>
      <c r="H9" s="30" t="s">
        <v>67</v>
      </c>
      <c r="I9" s="30">
        <f t="shared" si="0"/>
        <v>0</v>
      </c>
      <c r="J9" s="30" t="s">
        <v>67</v>
      </c>
      <c r="K9" s="30">
        <f t="shared" si="2"/>
        <v>0</v>
      </c>
      <c r="L9" s="30" t="s">
        <v>67</v>
      </c>
      <c r="M9" s="30">
        <f t="shared" si="3"/>
        <v>0</v>
      </c>
      <c r="N9" s="1">
        <f t="shared" si="1"/>
        <v>69.999999587955088</v>
      </c>
      <c r="O9" s="218">
        <f t="shared" si="4"/>
        <v>2</v>
      </c>
    </row>
    <row r="10" spans="2:15" ht="15" customHeight="1" x14ac:dyDescent="0.25">
      <c r="B10" s="298" t="s">
        <v>66</v>
      </c>
      <c r="C10" s="299">
        <v>1</v>
      </c>
      <c r="E10" s="30" t="str">
        <f>+'PROPUESTA ECONOMICA'!U14</f>
        <v>FDLC-LP-005-2019-
CONSORCIO VIAS BOGOTA 2019</v>
      </c>
      <c r="F10" s="30" t="str">
        <f>+'PROPUESTA ECONOMICA'!$E$5</f>
        <v>MEDIANA CON VALOR ABSOLUTO</v>
      </c>
      <c r="G10" s="30">
        <f>+HLOOKUP(F10,'PROPUESTA ECONOMICA'!$V$7:$Z$33,8,FALSE)</f>
        <v>66.769082687222067</v>
      </c>
      <c r="H10" s="30" t="s">
        <v>67</v>
      </c>
      <c r="I10" s="30">
        <f t="shared" si="0"/>
        <v>0</v>
      </c>
      <c r="J10" s="30" t="s">
        <v>67</v>
      </c>
      <c r="K10" s="30">
        <f t="shared" si="2"/>
        <v>0</v>
      </c>
      <c r="L10" s="30" t="s">
        <v>67</v>
      </c>
      <c r="M10" s="30">
        <f t="shared" si="3"/>
        <v>0</v>
      </c>
      <c r="N10" s="1">
        <f t="shared" si="1"/>
        <v>66.769082687222067</v>
      </c>
      <c r="O10" s="218">
        <f t="shared" si="4"/>
        <v>3</v>
      </c>
    </row>
    <row r="11" spans="2:15" x14ac:dyDescent="0.25">
      <c r="B11" s="298"/>
      <c r="C11" s="299"/>
      <c r="E11" s="30" t="str">
        <f>+'PROPUESTA ECONOMICA'!U15</f>
        <v>CONSORCIO VIAL CANDELARIA</v>
      </c>
      <c r="F11" s="30" t="str">
        <f>+'PROPUESTA ECONOMICA'!$E$5</f>
        <v>MEDIANA CON VALOR ABSOLUTO</v>
      </c>
      <c r="G11" s="30">
        <f>+HLOOKUP(F11,'PROPUESTA ECONOMICA'!$V$7:$Z$33,9,FALSE)</f>
        <v>0</v>
      </c>
      <c r="H11" s="30" t="s">
        <v>67</v>
      </c>
      <c r="I11" s="30">
        <f t="shared" si="0"/>
        <v>0</v>
      </c>
      <c r="J11" s="30" t="s">
        <v>67</v>
      </c>
      <c r="K11" s="30">
        <f t="shared" si="2"/>
        <v>0</v>
      </c>
      <c r="L11" s="30" t="s">
        <v>67</v>
      </c>
      <c r="M11" s="30">
        <f t="shared" si="3"/>
        <v>0</v>
      </c>
      <c r="N11" s="1" t="str">
        <f t="shared" si="1"/>
        <v/>
      </c>
      <c r="O11" s="218" t="str">
        <f t="shared" si="4"/>
        <v xml:space="preserve"> </v>
      </c>
    </row>
    <row r="12" spans="2:15" x14ac:dyDescent="0.25">
      <c r="B12" s="298"/>
      <c r="C12" s="299"/>
      <c r="E12" s="30" t="str">
        <f>+'PROPUESTA ECONOMICA'!U16</f>
        <v>MSB FONDO LOCAL 
DE LA CANDELARIA</v>
      </c>
      <c r="F12" s="30" t="str">
        <f>+'PROPUESTA ECONOMICA'!$E$5</f>
        <v>MEDIANA CON VALOR ABSOLUTO</v>
      </c>
      <c r="G12" s="30">
        <f>+HLOOKUP(F12,'PROPUESTA ECONOMICA'!$V$7:$Z$33,10,FALSE)</f>
        <v>0</v>
      </c>
      <c r="H12" s="30" t="s">
        <v>67</v>
      </c>
      <c r="I12" s="30">
        <f t="shared" si="0"/>
        <v>0</v>
      </c>
      <c r="J12" s="30" t="s">
        <v>67</v>
      </c>
      <c r="K12" s="30">
        <f t="shared" si="2"/>
        <v>0</v>
      </c>
      <c r="L12" s="30" t="s">
        <v>67</v>
      </c>
      <c r="M12" s="30">
        <f t="shared" si="3"/>
        <v>0</v>
      </c>
      <c r="N12" s="1" t="str">
        <f t="shared" si="1"/>
        <v/>
      </c>
      <c r="O12" s="218" t="str">
        <f t="shared" si="4"/>
        <v xml:space="preserve"> </v>
      </c>
    </row>
    <row r="13" spans="2:15" x14ac:dyDescent="0.25">
      <c r="B13" s="2"/>
      <c r="E13" s="30" t="str">
        <f>+'PROPUESTA ECONOMICA'!U17</f>
        <v>FDLC-LP005-2019 CFD 
INGENIERIA</v>
      </c>
      <c r="F13" s="30" t="str">
        <f>+'PROPUESTA ECONOMICA'!$E$5</f>
        <v>MEDIANA CON VALOR ABSOLUTO</v>
      </c>
      <c r="G13" s="30">
        <f>+HLOOKUP(F13,'PROPUESTA ECONOMICA'!$V$7:$Z$33,11,FALSE)</f>
        <v>0</v>
      </c>
      <c r="H13" s="30" t="s">
        <v>67</v>
      </c>
      <c r="I13" s="30">
        <f t="shared" si="0"/>
        <v>0</v>
      </c>
      <c r="J13" s="30" t="s">
        <v>67</v>
      </c>
      <c r="K13" s="30">
        <f t="shared" si="2"/>
        <v>0</v>
      </c>
      <c r="L13" s="30" t="s">
        <v>67</v>
      </c>
      <c r="M13" s="30">
        <f t="shared" si="3"/>
        <v>0</v>
      </c>
      <c r="N13" s="1" t="str">
        <f t="shared" si="1"/>
        <v/>
      </c>
      <c r="O13" s="218" t="str">
        <f t="shared" si="4"/>
        <v xml:space="preserve"> </v>
      </c>
    </row>
    <row r="14" spans="2:15" x14ac:dyDescent="0.25">
      <c r="E14" s="30" t="str">
        <f>+'PROPUESTA ECONOMICA'!U18</f>
        <v>JEINCO FDLC -LP 005-2019</v>
      </c>
      <c r="F14" s="30" t="str">
        <f>+'PROPUESTA ECONOMICA'!$E$5</f>
        <v>MEDIANA CON VALOR ABSOLUTO</v>
      </c>
      <c r="G14" s="30">
        <f>+HLOOKUP(F14,'PROPUESTA ECONOMICA'!$V$7:$Z$33,12,FALSE)</f>
        <v>0</v>
      </c>
      <c r="H14" s="30" t="s">
        <v>67</v>
      </c>
      <c r="I14" s="30">
        <f t="shared" si="0"/>
        <v>0</v>
      </c>
      <c r="J14" s="30" t="s">
        <v>67</v>
      </c>
      <c r="K14" s="30">
        <f t="shared" si="2"/>
        <v>0</v>
      </c>
      <c r="L14" s="30" t="s">
        <v>67</v>
      </c>
      <c r="M14" s="30">
        <f t="shared" si="3"/>
        <v>0</v>
      </c>
      <c r="N14" s="1" t="str">
        <f t="shared" si="1"/>
        <v/>
      </c>
      <c r="O14" s="218" t="str">
        <f t="shared" si="4"/>
        <v xml:space="preserve"> </v>
      </c>
    </row>
    <row r="15" spans="2:15" x14ac:dyDescent="0.25">
      <c r="E15" s="30" t="str">
        <f>+'PROPUESTA ECONOMICA'!U19</f>
        <v>GAMMA 
INGENIEROS ARQUITECTOS</v>
      </c>
      <c r="F15" s="30" t="str">
        <f>+'PROPUESTA ECONOMICA'!$E$5</f>
        <v>MEDIANA CON VALOR ABSOLUTO</v>
      </c>
      <c r="G15" s="30">
        <f>+HLOOKUP(F15,'PROPUESTA ECONOMICA'!$V$7:$Z$33,13,FALSE)</f>
        <v>0</v>
      </c>
      <c r="H15" s="30" t="s">
        <v>67</v>
      </c>
      <c r="I15" s="30">
        <f t="shared" si="0"/>
        <v>0</v>
      </c>
      <c r="J15" s="30" t="s">
        <v>67</v>
      </c>
      <c r="K15" s="30">
        <f t="shared" si="2"/>
        <v>0</v>
      </c>
      <c r="L15" s="30" t="s">
        <v>67</v>
      </c>
      <c r="M15" s="30">
        <f t="shared" si="3"/>
        <v>0</v>
      </c>
      <c r="N15" s="1" t="str">
        <f t="shared" si="1"/>
        <v/>
      </c>
      <c r="O15" s="218" t="str">
        <f t="shared" si="4"/>
        <v xml:space="preserve"> </v>
      </c>
    </row>
    <row r="16" spans="2:15" x14ac:dyDescent="0.25">
      <c r="E16" s="30" t="str">
        <f>+'PROPUESTA ECONOMICA'!U20</f>
        <v>ESPACIO PUBLICO 
CANDELARIA EEI SAS</v>
      </c>
      <c r="F16" s="30" t="str">
        <f>+'PROPUESTA ECONOMICA'!$E$5</f>
        <v>MEDIANA CON VALOR ABSOLUTO</v>
      </c>
      <c r="G16" s="30">
        <f>+HLOOKUP(F16,'PROPUESTA ECONOMICA'!$V$7:$Z$33,14,FALSE)</f>
        <v>0</v>
      </c>
      <c r="H16" s="30" t="s">
        <v>67</v>
      </c>
      <c r="I16" s="30">
        <f t="shared" si="0"/>
        <v>0</v>
      </c>
      <c r="J16" s="30" t="s">
        <v>67</v>
      </c>
      <c r="K16" s="30">
        <f t="shared" si="2"/>
        <v>0</v>
      </c>
      <c r="L16" s="30" t="s">
        <v>67</v>
      </c>
      <c r="M16" s="30">
        <f t="shared" si="3"/>
        <v>0</v>
      </c>
      <c r="N16" s="1" t="str">
        <f t="shared" si="1"/>
        <v/>
      </c>
      <c r="O16" s="218" t="str">
        <f t="shared" si="4"/>
        <v xml:space="preserve"> </v>
      </c>
    </row>
    <row r="17" spans="5:15" x14ac:dyDescent="0.25">
      <c r="E17" s="30" t="str">
        <f>+'PROPUESTA ECONOMICA'!U21</f>
        <v>UT BOGOTA VIAL</v>
      </c>
      <c r="F17" s="30" t="str">
        <f>+'PROPUESTA ECONOMICA'!$E$5</f>
        <v>MEDIANA CON VALOR ABSOLUTO</v>
      </c>
      <c r="G17" s="30">
        <f>+HLOOKUP(F17,'PROPUESTA ECONOMICA'!$V$7:$Z$33,15,FALSE)</f>
        <v>0</v>
      </c>
      <c r="H17" s="30" t="s">
        <v>67</v>
      </c>
      <c r="I17" s="30">
        <f t="shared" si="0"/>
        <v>0</v>
      </c>
      <c r="J17" s="30" t="s">
        <v>67</v>
      </c>
      <c r="K17" s="30">
        <f t="shared" si="2"/>
        <v>0</v>
      </c>
      <c r="L17" s="30" t="s">
        <v>67</v>
      </c>
      <c r="M17" s="30">
        <f t="shared" si="3"/>
        <v>0</v>
      </c>
      <c r="N17" s="1" t="str">
        <f t="shared" si="1"/>
        <v/>
      </c>
      <c r="O17" s="218" t="str">
        <f t="shared" si="4"/>
        <v xml:space="preserve"> </v>
      </c>
    </row>
    <row r="18" spans="5:15" x14ac:dyDescent="0.25">
      <c r="E18" s="30" t="str">
        <f>+'PROPUESTA ECONOMICA'!U22</f>
        <v>CANDELARIA BYP</v>
      </c>
      <c r="F18" s="30" t="str">
        <f>+'PROPUESTA ECONOMICA'!$E$5</f>
        <v>MEDIANA CON VALOR ABSOLUTO</v>
      </c>
      <c r="G18" s="30">
        <f>+HLOOKUP(F18,'PROPUESTA ECONOMICA'!$V$7:$Z$33,16,FALSE)</f>
        <v>0</v>
      </c>
      <c r="H18" s="30" t="s">
        <v>67</v>
      </c>
      <c r="I18" s="30">
        <f t="shared" si="0"/>
        <v>0</v>
      </c>
      <c r="J18" s="30" t="s">
        <v>67</v>
      </c>
      <c r="K18" s="30">
        <f t="shared" si="2"/>
        <v>0</v>
      </c>
      <c r="L18" s="30" t="s">
        <v>67</v>
      </c>
      <c r="M18" s="30">
        <f t="shared" si="3"/>
        <v>0</v>
      </c>
      <c r="N18" s="1" t="str">
        <f t="shared" si="1"/>
        <v/>
      </c>
      <c r="O18" s="218" t="str">
        <f t="shared" si="4"/>
        <v xml:space="preserve"> </v>
      </c>
    </row>
    <row r="19" spans="5:15" x14ac:dyDescent="0.25">
      <c r="E19" s="30" t="str">
        <f>+'PROPUESTA ECONOMICA'!U23</f>
        <v>CON &amp; CON</v>
      </c>
      <c r="F19" s="30" t="str">
        <f>+'PROPUESTA ECONOMICA'!$E$5</f>
        <v>MEDIANA CON VALOR ABSOLUTO</v>
      </c>
      <c r="G19" s="30">
        <f>+HLOOKUP(F19,'PROPUESTA ECONOMICA'!$V$7:$Z$33,17,FALSE)</f>
        <v>70</v>
      </c>
      <c r="H19" s="30" t="s">
        <v>67</v>
      </c>
      <c r="I19" s="30">
        <f t="shared" si="0"/>
        <v>0</v>
      </c>
      <c r="J19" s="30" t="s">
        <v>67</v>
      </c>
      <c r="K19" s="30">
        <f t="shared" si="2"/>
        <v>0</v>
      </c>
      <c r="L19" s="30" t="s">
        <v>67</v>
      </c>
      <c r="M19" s="30">
        <f t="shared" si="3"/>
        <v>0</v>
      </c>
      <c r="N19" s="1">
        <f t="shared" si="1"/>
        <v>70</v>
      </c>
      <c r="O19" s="218">
        <f t="shared" si="4"/>
        <v>1</v>
      </c>
    </row>
    <row r="20" spans="5:15" x14ac:dyDescent="0.25">
      <c r="E20" s="30" t="str">
        <f>+'PROPUESTA ECONOMICA'!U24</f>
        <v>CONSORCIO VMJ-R&amp;E 
VIAS 2019 CALLE 10</v>
      </c>
      <c r="F20" s="30" t="str">
        <f>+'PROPUESTA ECONOMICA'!$E$5</f>
        <v>MEDIANA CON VALOR ABSOLUTO</v>
      </c>
      <c r="G20" s="30">
        <f>+HLOOKUP(F20,'PROPUESTA ECONOMICA'!$V$7:$Z$33,18,FALSE)</f>
        <v>0</v>
      </c>
      <c r="H20" s="30" t="s">
        <v>67</v>
      </c>
      <c r="I20" s="30">
        <f t="shared" si="0"/>
        <v>0</v>
      </c>
      <c r="J20" s="30" t="s">
        <v>67</v>
      </c>
      <c r="K20" s="30">
        <f t="shared" si="2"/>
        <v>0</v>
      </c>
      <c r="L20" s="30" t="s">
        <v>67</v>
      </c>
      <c r="M20" s="30">
        <f t="shared" si="3"/>
        <v>0</v>
      </c>
      <c r="N20" s="1" t="str">
        <f t="shared" si="1"/>
        <v/>
      </c>
      <c r="O20" s="218" t="str">
        <f t="shared" si="4"/>
        <v xml:space="preserve"> </v>
      </c>
    </row>
    <row r="21" spans="5:15" x14ac:dyDescent="0.25">
      <c r="E21" s="30" t="str">
        <f>+'PROPUESTA ECONOMICA'!U25</f>
        <v>UT ARCARO CANDELARIA</v>
      </c>
      <c r="F21" s="30" t="str">
        <f>+'PROPUESTA ECONOMICA'!$E$5</f>
        <v>MEDIANA CON VALOR ABSOLUTO</v>
      </c>
      <c r="G21" s="30">
        <f>+HLOOKUP(F21,'PROPUESTA ECONOMICA'!$V$7:$Z$33,19,FALSE)</f>
        <v>0</v>
      </c>
      <c r="H21" s="30" t="s">
        <v>67</v>
      </c>
      <c r="I21" s="30">
        <f t="shared" si="0"/>
        <v>0</v>
      </c>
      <c r="J21" s="30" t="s">
        <v>67</v>
      </c>
      <c r="K21" s="30">
        <f t="shared" si="2"/>
        <v>0</v>
      </c>
      <c r="L21" s="30" t="s">
        <v>67</v>
      </c>
      <c r="M21" s="30">
        <f t="shared" si="3"/>
        <v>0</v>
      </c>
      <c r="N21" s="1" t="str">
        <f t="shared" si="1"/>
        <v/>
      </c>
      <c r="O21" s="218" t="str">
        <f t="shared" si="4"/>
        <v xml:space="preserve"> </v>
      </c>
    </row>
    <row r="22" spans="5:15" x14ac:dyDescent="0.25">
      <c r="E22" s="30" t="str">
        <f>+'PROPUESTA ECONOMICA'!U26</f>
        <v>UT BJ</v>
      </c>
      <c r="F22" s="30" t="str">
        <f>+'PROPUESTA ECONOMICA'!$E$5</f>
        <v>MEDIANA CON VALOR ABSOLUTO</v>
      </c>
      <c r="G22" s="30">
        <f>+HLOOKUP(F22,'PROPUESTA ECONOMICA'!$V$7:$Z$33,20,FALSE)</f>
        <v>0</v>
      </c>
      <c r="H22" s="30" t="s">
        <v>67</v>
      </c>
      <c r="I22" s="30">
        <f t="shared" si="0"/>
        <v>0</v>
      </c>
      <c r="J22" s="30" t="s">
        <v>67</v>
      </c>
      <c r="K22" s="30">
        <f t="shared" si="2"/>
        <v>0</v>
      </c>
      <c r="L22" s="30" t="s">
        <v>67</v>
      </c>
      <c r="M22" s="30">
        <f t="shared" si="3"/>
        <v>0</v>
      </c>
      <c r="N22" s="1" t="str">
        <f t="shared" si="1"/>
        <v/>
      </c>
      <c r="O22" s="218" t="str">
        <f t="shared" si="4"/>
        <v xml:space="preserve"> </v>
      </c>
    </row>
    <row r="23" spans="5:15" x14ac:dyDescent="0.25">
      <c r="E23" s="30" t="str">
        <f>+'PROPUESTA ECONOMICA'!U27</f>
        <v>005-2019 CONSORCIO
 INGENIERIAIV</v>
      </c>
      <c r="F23" s="30" t="str">
        <f>+'PROPUESTA ECONOMICA'!$E$5</f>
        <v>MEDIANA CON VALOR ABSOLUTO</v>
      </c>
      <c r="G23" s="30">
        <f>+HLOOKUP(F23,'PROPUESTA ECONOMICA'!$V$7:$Z$33,21,FALSE)</f>
        <v>0</v>
      </c>
      <c r="H23" s="30" t="s">
        <v>67</v>
      </c>
      <c r="I23" s="30">
        <f t="shared" si="0"/>
        <v>0</v>
      </c>
      <c r="J23" s="30" t="s">
        <v>67</v>
      </c>
      <c r="K23" s="30">
        <f t="shared" si="2"/>
        <v>0</v>
      </c>
      <c r="L23" s="30" t="s">
        <v>67</v>
      </c>
      <c r="M23" s="30">
        <f t="shared" si="3"/>
        <v>0</v>
      </c>
      <c r="N23" s="1" t="str">
        <f t="shared" si="1"/>
        <v/>
      </c>
      <c r="O23" s="218" t="str">
        <f t="shared" si="4"/>
        <v xml:space="preserve"> </v>
      </c>
    </row>
    <row r="24" spans="5:15" x14ac:dyDescent="0.25">
      <c r="E24" s="30" t="str">
        <f>+'PROPUESTA ECONOMICA'!U28</f>
        <v>CONSORCIO DIR</v>
      </c>
      <c r="F24" s="30" t="str">
        <f>+'PROPUESTA ECONOMICA'!$E$5</f>
        <v>MEDIANA CON VALOR ABSOLUTO</v>
      </c>
      <c r="G24" s="30">
        <f>+HLOOKUP(F24,'PROPUESTA ECONOMICA'!$V$7:$Z$33,22,FALSE)</f>
        <v>0</v>
      </c>
      <c r="H24" s="30" t="s">
        <v>67</v>
      </c>
      <c r="I24" s="30">
        <f t="shared" si="0"/>
        <v>0</v>
      </c>
      <c r="J24" s="30" t="s">
        <v>67</v>
      </c>
      <c r="K24" s="30">
        <f t="shared" si="2"/>
        <v>0</v>
      </c>
      <c r="L24" s="30" t="s">
        <v>67</v>
      </c>
      <c r="M24" s="30">
        <f t="shared" si="3"/>
        <v>0</v>
      </c>
      <c r="N24" s="1" t="str">
        <f t="shared" si="1"/>
        <v/>
      </c>
      <c r="O24" s="218" t="str">
        <f t="shared" si="4"/>
        <v xml:space="preserve"> </v>
      </c>
    </row>
    <row r="25" spans="5:15" x14ac:dyDescent="0.25">
      <c r="E25" s="30" t="str">
        <f>+'PROPUESTA ECONOMICA'!U29</f>
        <v>PROPONENTE 21</v>
      </c>
      <c r="F25" s="30" t="str">
        <f>+'PROPUESTA ECONOMICA'!$E$5</f>
        <v>MEDIANA CON VALOR ABSOLUTO</v>
      </c>
      <c r="G25" s="30">
        <f>+HLOOKUP(F25,'PROPUESTA ECONOMICA'!$V$7:$Z$33,23,FALSE)</f>
        <v>0</v>
      </c>
      <c r="H25" s="30" t="s">
        <v>67</v>
      </c>
      <c r="I25" s="30">
        <f t="shared" si="0"/>
        <v>0</v>
      </c>
      <c r="J25" s="30" t="s">
        <v>67</v>
      </c>
      <c r="K25" s="30">
        <f t="shared" si="2"/>
        <v>0</v>
      </c>
      <c r="L25" s="30" t="s">
        <v>67</v>
      </c>
      <c r="M25" s="30">
        <f t="shared" si="3"/>
        <v>0</v>
      </c>
      <c r="N25" s="1" t="str">
        <f t="shared" si="1"/>
        <v/>
      </c>
      <c r="O25" s="218" t="str">
        <f t="shared" si="4"/>
        <v xml:space="preserve"> </v>
      </c>
    </row>
    <row r="26" spans="5:15" x14ac:dyDescent="0.25">
      <c r="E26" s="30" t="str">
        <f>+'PROPUESTA ECONOMICA'!U30</f>
        <v>PROPONENTE 22</v>
      </c>
      <c r="F26" s="30" t="str">
        <f>+'PROPUESTA ECONOMICA'!$E$5</f>
        <v>MEDIANA CON VALOR ABSOLUTO</v>
      </c>
      <c r="G26" s="30">
        <f>+HLOOKUP(F26,'PROPUESTA ECONOMICA'!$V$7:$Z$33,24,FALSE)</f>
        <v>0</v>
      </c>
      <c r="H26" s="30" t="s">
        <v>67</v>
      </c>
      <c r="I26" s="30">
        <f t="shared" si="0"/>
        <v>0</v>
      </c>
      <c r="J26" s="30" t="s">
        <v>67</v>
      </c>
      <c r="K26" s="30">
        <f t="shared" si="2"/>
        <v>0</v>
      </c>
      <c r="L26" s="30" t="s">
        <v>67</v>
      </c>
      <c r="M26" s="30">
        <f t="shared" si="3"/>
        <v>0</v>
      </c>
      <c r="N26" s="1" t="str">
        <f t="shared" si="1"/>
        <v/>
      </c>
      <c r="O26" s="218" t="str">
        <f t="shared" si="4"/>
        <v xml:space="preserve"> </v>
      </c>
    </row>
    <row r="27" spans="5:15" x14ac:dyDescent="0.25">
      <c r="E27" s="30" t="str">
        <f>+'PROPUESTA ECONOMICA'!U31</f>
        <v>PROPONENTE 23</v>
      </c>
      <c r="F27" s="30" t="str">
        <f>+'PROPUESTA ECONOMICA'!$E$5</f>
        <v>MEDIANA CON VALOR ABSOLUTO</v>
      </c>
      <c r="G27" s="30">
        <f>+HLOOKUP(F27,'PROPUESTA ECONOMICA'!$V$7:$Z$33,25,FALSE)</f>
        <v>0</v>
      </c>
      <c r="H27" s="30" t="s">
        <v>67</v>
      </c>
      <c r="I27" s="30">
        <f t="shared" si="0"/>
        <v>0</v>
      </c>
      <c r="J27" s="30" t="s">
        <v>67</v>
      </c>
      <c r="K27" s="30">
        <f t="shared" si="2"/>
        <v>0</v>
      </c>
      <c r="L27" s="30" t="s">
        <v>67</v>
      </c>
      <c r="M27" s="30">
        <f t="shared" si="3"/>
        <v>0</v>
      </c>
      <c r="N27" s="1" t="str">
        <f t="shared" si="1"/>
        <v/>
      </c>
      <c r="O27" s="218" t="str">
        <f t="shared" si="4"/>
        <v xml:space="preserve"> </v>
      </c>
    </row>
    <row r="28" spans="5:15" x14ac:dyDescent="0.25">
      <c r="E28" s="30" t="str">
        <f>+'PROPUESTA ECONOMICA'!U32</f>
        <v>PROPONENTE 24</v>
      </c>
      <c r="F28" s="30" t="str">
        <f>+'PROPUESTA ECONOMICA'!$E$5</f>
        <v>MEDIANA CON VALOR ABSOLUTO</v>
      </c>
      <c r="G28" s="30">
        <f>+HLOOKUP(F28,'PROPUESTA ECONOMICA'!$V$7:$Z$33,26,FALSE)</f>
        <v>0</v>
      </c>
      <c r="H28" s="30" t="s">
        <v>67</v>
      </c>
      <c r="I28" s="30">
        <f t="shared" si="0"/>
        <v>0</v>
      </c>
      <c r="J28" s="30" t="s">
        <v>67</v>
      </c>
      <c r="K28" s="30">
        <f t="shared" si="2"/>
        <v>0</v>
      </c>
      <c r="L28" s="30" t="s">
        <v>67</v>
      </c>
      <c r="M28" s="30">
        <f t="shared" si="3"/>
        <v>0</v>
      </c>
      <c r="N28" s="1" t="str">
        <f t="shared" si="1"/>
        <v/>
      </c>
      <c r="O28" s="218" t="str">
        <f t="shared" si="4"/>
        <v xml:space="preserve"> </v>
      </c>
    </row>
    <row r="29" spans="5:15" x14ac:dyDescent="0.25">
      <c r="E29" s="30" t="str">
        <f>+'PROPUESTA ECONOMICA'!U33</f>
        <v>PROPONENTE 25</v>
      </c>
      <c r="F29" s="30" t="str">
        <f>+'PROPUESTA ECONOMICA'!$E$5</f>
        <v>MEDIANA CON VALOR ABSOLUTO</v>
      </c>
      <c r="G29" s="30">
        <f>+HLOOKUP(F29,'PROPUESTA ECONOMICA'!$V$7:$Z$33,27,FALSE)</f>
        <v>0</v>
      </c>
      <c r="H29" s="30" t="s">
        <v>67</v>
      </c>
      <c r="I29" s="30">
        <f t="shared" si="0"/>
        <v>0</v>
      </c>
      <c r="J29" s="30" t="s">
        <v>67</v>
      </c>
      <c r="K29" s="30">
        <f t="shared" si="2"/>
        <v>0</v>
      </c>
      <c r="L29" s="30" t="s">
        <v>67</v>
      </c>
      <c r="M29" s="30">
        <f t="shared" si="3"/>
        <v>0</v>
      </c>
      <c r="N29" s="1" t="str">
        <f t="shared" si="1"/>
        <v/>
      </c>
      <c r="O29" s="218" t="str">
        <f t="shared" si="4"/>
        <v xml:space="preserve"> </v>
      </c>
    </row>
    <row r="30" spans="5:15" x14ac:dyDescent="0.25">
      <c r="E30"/>
    </row>
  </sheetData>
  <mergeCells count="17">
    <mergeCell ref="B8:B9"/>
    <mergeCell ref="C8:C9"/>
    <mergeCell ref="B10:B12"/>
    <mergeCell ref="C10:C12"/>
    <mergeCell ref="L2:M3"/>
    <mergeCell ref="N2:N4"/>
    <mergeCell ref="O2:O4"/>
    <mergeCell ref="B4:B5"/>
    <mergeCell ref="C4:C5"/>
    <mergeCell ref="B6:B7"/>
    <mergeCell ref="C6:C7"/>
    <mergeCell ref="B2:B3"/>
    <mergeCell ref="C2:C3"/>
    <mergeCell ref="E2:E4"/>
    <mergeCell ref="F2:G3"/>
    <mergeCell ref="H2:I3"/>
    <mergeCell ref="J2:K3"/>
  </mergeCells>
  <conditionalFormatting sqref="O5:O29">
    <cfRule type="cellIs" dxfId="1" priority="1" operator="equal">
      <formula>1</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Q26"/>
  <sheetViews>
    <sheetView view="pageBreakPreview" topLeftCell="C1" zoomScale="60" zoomScaleNormal="60" workbookViewId="0">
      <selection activeCell="C3" sqref="C3:O26"/>
    </sheetView>
  </sheetViews>
  <sheetFormatPr baseColWidth="10" defaultRowHeight="15" x14ac:dyDescent="0.25"/>
  <cols>
    <col min="1" max="1" width="5.28515625" customWidth="1"/>
    <col min="2" max="2" width="42.140625" customWidth="1"/>
    <col min="3" max="3" width="19" customWidth="1"/>
    <col min="4" max="5" width="23.140625" customWidth="1"/>
    <col min="6" max="6" width="17.85546875" customWidth="1"/>
    <col min="7" max="7" width="24.85546875" customWidth="1"/>
    <col min="8" max="8" width="32.42578125" customWidth="1"/>
    <col min="9" max="9" width="20" customWidth="1"/>
    <col min="10" max="10" width="22.42578125" customWidth="1"/>
    <col min="11" max="12" width="21.140625" customWidth="1"/>
    <col min="13" max="13" width="19" customWidth="1"/>
    <col min="14" max="14" width="22.7109375" customWidth="1"/>
    <col min="15" max="15" width="26.42578125" customWidth="1"/>
  </cols>
  <sheetData>
    <row r="2" spans="2:17" ht="59.25" customHeight="1" x14ac:dyDescent="0.25">
      <c r="B2" s="298" t="s">
        <v>26</v>
      </c>
      <c r="C2" s="298"/>
      <c r="D2" s="298"/>
      <c r="E2" s="298"/>
      <c r="F2" s="297"/>
      <c r="G2" s="297"/>
      <c r="H2" s="297"/>
      <c r="I2" s="297"/>
      <c r="J2" s="297"/>
      <c r="K2" s="297"/>
      <c r="L2" s="297"/>
      <c r="M2" s="297"/>
      <c r="N2" s="297"/>
      <c r="O2" s="36"/>
    </row>
    <row r="3" spans="2:17" ht="15" customHeight="1" x14ac:dyDescent="0.25">
      <c r="B3" s="303" t="s">
        <v>31</v>
      </c>
      <c r="C3" s="304" t="s">
        <v>73</v>
      </c>
      <c r="D3" s="298" t="s">
        <v>32</v>
      </c>
      <c r="E3" s="304" t="s">
        <v>72</v>
      </c>
      <c r="F3" s="298" t="s">
        <v>30</v>
      </c>
      <c r="G3" s="298" t="s">
        <v>70</v>
      </c>
      <c r="H3" s="301" t="s">
        <v>33</v>
      </c>
      <c r="I3" s="301" t="s">
        <v>17</v>
      </c>
      <c r="J3" s="301" t="s">
        <v>69</v>
      </c>
      <c r="K3" s="301" t="s">
        <v>16</v>
      </c>
      <c r="L3" s="301" t="str">
        <f>+J3</f>
        <v>OBSERVACION</v>
      </c>
      <c r="M3" s="301" t="s">
        <v>27</v>
      </c>
      <c r="N3" s="302" t="s">
        <v>18</v>
      </c>
      <c r="O3" s="309" t="s">
        <v>68</v>
      </c>
      <c r="Q3" s="2"/>
    </row>
    <row r="4" spans="2:17" ht="42.75" customHeight="1" x14ac:dyDescent="0.25">
      <c r="B4" s="303"/>
      <c r="C4" s="307"/>
      <c r="D4" s="298"/>
      <c r="E4" s="305"/>
      <c r="F4" s="298"/>
      <c r="G4" s="298"/>
      <c r="H4" s="302"/>
      <c r="I4" s="302"/>
      <c r="J4" s="301"/>
      <c r="K4" s="302"/>
      <c r="L4" s="301"/>
      <c r="M4" s="302"/>
      <c r="N4" s="302"/>
      <c r="O4" s="309"/>
    </row>
    <row r="5" spans="2:17" x14ac:dyDescent="0.25">
      <c r="B5" s="310" t="s">
        <v>0</v>
      </c>
      <c r="C5" s="307"/>
      <c r="D5" s="298"/>
      <c r="E5" s="305"/>
      <c r="F5" s="298"/>
      <c r="G5" s="298"/>
      <c r="H5" s="37" t="s">
        <v>12</v>
      </c>
      <c r="I5" s="37" t="s">
        <v>13</v>
      </c>
      <c r="J5" s="301"/>
      <c r="K5" s="37" t="s">
        <v>14</v>
      </c>
      <c r="L5" s="301"/>
      <c r="M5" s="37" t="s">
        <v>15</v>
      </c>
      <c r="N5" s="37">
        <v>100</v>
      </c>
      <c r="O5" s="309"/>
    </row>
    <row r="6" spans="2:17" ht="25.5" customHeight="1" x14ac:dyDescent="0.25">
      <c r="B6" s="310"/>
      <c r="C6" s="308"/>
      <c r="D6" s="298"/>
      <c r="E6" s="306"/>
      <c r="F6" s="298"/>
      <c r="G6" s="298"/>
      <c r="H6" s="34" t="s">
        <v>25</v>
      </c>
      <c r="I6" s="33"/>
      <c r="J6" s="301"/>
      <c r="K6" s="33"/>
      <c r="L6" s="301"/>
      <c r="M6" s="3"/>
      <c r="N6" s="3"/>
      <c r="O6" s="309"/>
    </row>
    <row r="7" spans="2:17" ht="18.75" x14ac:dyDescent="0.25">
      <c r="B7" s="48" t="s">
        <v>1</v>
      </c>
      <c r="C7" s="48" t="s">
        <v>28</v>
      </c>
      <c r="D7" s="47" t="s">
        <v>28</v>
      </c>
      <c r="E7" s="49" t="s">
        <v>28</v>
      </c>
      <c r="F7" s="38" t="s">
        <v>28</v>
      </c>
      <c r="G7" s="208">
        <v>19</v>
      </c>
      <c r="H7" s="39"/>
      <c r="I7" s="40">
        <v>10</v>
      </c>
      <c r="J7" s="40"/>
      <c r="K7" s="35">
        <v>1</v>
      </c>
      <c r="L7" s="35"/>
      <c r="M7" s="245">
        <f>+VLOOKUP(B7,PUNTAJE!$E$5:$G$29,3,FALSE)</f>
        <v>0</v>
      </c>
      <c r="N7" s="246">
        <f t="shared" ref="N7:N26" si="0">+I7+K7+M7+G7</f>
        <v>30</v>
      </c>
      <c r="O7" s="32">
        <f t="shared" ref="O7:O26" si="1">+_xlfn.RANK.EQ(N7,$N$7:$N$26,0)</f>
        <v>4</v>
      </c>
    </row>
    <row r="8" spans="2:17" ht="49.5" customHeight="1" x14ac:dyDescent="0.25">
      <c r="B8" s="48" t="s">
        <v>2</v>
      </c>
      <c r="C8" s="48" t="s">
        <v>28</v>
      </c>
      <c r="D8" s="4" t="s">
        <v>28</v>
      </c>
      <c r="E8" s="47" t="s">
        <v>28</v>
      </c>
      <c r="F8" s="38" t="s">
        <v>28</v>
      </c>
      <c r="G8" s="38">
        <v>19</v>
      </c>
      <c r="H8" s="39"/>
      <c r="I8" s="40">
        <v>10</v>
      </c>
      <c r="J8" s="40"/>
      <c r="K8" s="41"/>
      <c r="L8" s="41"/>
      <c r="M8" s="245">
        <f>+VLOOKUP(B8,PUNTAJE!$E$5:$G$29,3,FALSE)</f>
        <v>0</v>
      </c>
      <c r="N8" s="246">
        <f t="shared" si="0"/>
        <v>29</v>
      </c>
      <c r="O8" s="32">
        <f t="shared" si="1"/>
        <v>13</v>
      </c>
    </row>
    <row r="9" spans="2:17" ht="45" x14ac:dyDescent="0.25">
      <c r="B9" s="48" t="s">
        <v>3</v>
      </c>
      <c r="C9" s="48" t="s">
        <v>28</v>
      </c>
      <c r="D9" s="4" t="s">
        <v>28</v>
      </c>
      <c r="E9" s="47" t="s">
        <v>28</v>
      </c>
      <c r="F9" s="38" t="s">
        <v>28</v>
      </c>
      <c r="G9" s="38">
        <v>19</v>
      </c>
      <c r="H9" s="39"/>
      <c r="I9" s="42">
        <v>0</v>
      </c>
      <c r="J9" s="42" t="s">
        <v>19</v>
      </c>
      <c r="K9" s="41">
        <v>1</v>
      </c>
      <c r="L9" s="41"/>
      <c r="M9" s="245">
        <f>+VLOOKUP(B9,PUNTAJE!$E$5:$G$29,3,FALSE)</f>
        <v>0</v>
      </c>
      <c r="N9" s="246">
        <f t="shared" si="0"/>
        <v>20</v>
      </c>
      <c r="O9" s="32">
        <f t="shared" si="1"/>
        <v>19</v>
      </c>
    </row>
    <row r="10" spans="2:17" ht="18.75" x14ac:dyDescent="0.25">
      <c r="B10" s="48" t="s">
        <v>4</v>
      </c>
      <c r="C10" s="48" t="s">
        <v>28</v>
      </c>
      <c r="D10" s="4" t="s">
        <v>28</v>
      </c>
      <c r="E10" s="47" t="s">
        <v>28</v>
      </c>
      <c r="F10" s="38" t="s">
        <v>28</v>
      </c>
      <c r="G10" s="38">
        <v>19</v>
      </c>
      <c r="H10" s="39"/>
      <c r="I10" s="41">
        <v>10</v>
      </c>
      <c r="J10" s="40"/>
      <c r="K10" s="41">
        <v>1</v>
      </c>
      <c r="L10" s="41"/>
      <c r="M10" s="245">
        <f>+VLOOKUP(B10,PUNTAJE!$E$5:$G$29,3,FALSE)</f>
        <v>0</v>
      </c>
      <c r="N10" s="246">
        <f t="shared" si="0"/>
        <v>30</v>
      </c>
      <c r="O10" s="32">
        <f t="shared" si="1"/>
        <v>4</v>
      </c>
    </row>
    <row r="11" spans="2:17" ht="30" x14ac:dyDescent="0.25">
      <c r="B11" s="50" t="s">
        <v>20</v>
      </c>
      <c r="C11" s="48" t="s">
        <v>28</v>
      </c>
      <c r="D11" s="4" t="s">
        <v>28</v>
      </c>
      <c r="E11" s="47" t="s">
        <v>28</v>
      </c>
      <c r="F11" s="38" t="s">
        <v>28</v>
      </c>
      <c r="G11" s="38">
        <v>19</v>
      </c>
      <c r="H11" s="43"/>
      <c r="I11" s="41">
        <v>10</v>
      </c>
      <c r="J11" s="41"/>
      <c r="K11" s="41">
        <v>1</v>
      </c>
      <c r="L11" s="41"/>
      <c r="M11" s="245">
        <f>+VLOOKUP(B11,PUNTAJE!$E$5:$G$29,3,FALSE)</f>
        <v>69.999999587955088</v>
      </c>
      <c r="N11" s="246">
        <f t="shared" si="0"/>
        <v>99.999999587955088</v>
      </c>
      <c r="O11" s="32">
        <f t="shared" si="1"/>
        <v>2</v>
      </c>
    </row>
    <row r="12" spans="2:17" ht="30" x14ac:dyDescent="0.25">
      <c r="B12" s="50" t="s">
        <v>21</v>
      </c>
      <c r="C12" s="48" t="s">
        <v>28</v>
      </c>
      <c r="D12" s="4" t="s">
        <v>28</v>
      </c>
      <c r="E12" s="47" t="s">
        <v>28</v>
      </c>
      <c r="F12" s="38" t="s">
        <v>28</v>
      </c>
      <c r="G12" s="38">
        <v>19</v>
      </c>
      <c r="H12" s="39"/>
      <c r="I12" s="41">
        <v>10</v>
      </c>
      <c r="J12" s="41"/>
      <c r="K12" s="41">
        <v>1</v>
      </c>
      <c r="L12" s="41"/>
      <c r="M12" s="245">
        <f>+VLOOKUP(B12,PUNTAJE!$E$5:$G$29,3,FALSE)</f>
        <v>66.769082687222067</v>
      </c>
      <c r="N12" s="246">
        <f t="shared" si="0"/>
        <v>96.769082687222067</v>
      </c>
      <c r="O12" s="32">
        <f t="shared" si="1"/>
        <v>3</v>
      </c>
    </row>
    <row r="13" spans="2:17" ht="18.75" x14ac:dyDescent="0.25">
      <c r="B13" s="48" t="s">
        <v>5</v>
      </c>
      <c r="C13" s="48" t="s">
        <v>28</v>
      </c>
      <c r="D13" s="4" t="s">
        <v>28</v>
      </c>
      <c r="E13" s="47" t="s">
        <v>28</v>
      </c>
      <c r="F13" s="38" t="s">
        <v>28</v>
      </c>
      <c r="G13" s="38">
        <v>19</v>
      </c>
      <c r="H13" s="39"/>
      <c r="I13" s="35">
        <v>10</v>
      </c>
      <c r="J13" s="35"/>
      <c r="K13" s="35"/>
      <c r="L13" s="44"/>
      <c r="M13" s="245">
        <f>+VLOOKUP(B13,PUNTAJE!$E$5:$G$29,3,FALSE)</f>
        <v>0</v>
      </c>
      <c r="N13" s="246">
        <f t="shared" si="0"/>
        <v>29</v>
      </c>
      <c r="O13" s="32">
        <f t="shared" si="1"/>
        <v>13</v>
      </c>
    </row>
    <row r="14" spans="2:17" ht="30" x14ac:dyDescent="0.25">
      <c r="B14" s="50" t="s">
        <v>24</v>
      </c>
      <c r="C14" s="48" t="s">
        <v>28</v>
      </c>
      <c r="D14" s="4" t="s">
        <v>28</v>
      </c>
      <c r="E14" s="47" t="s">
        <v>28</v>
      </c>
      <c r="F14" s="46" t="s">
        <v>28</v>
      </c>
      <c r="G14" s="46">
        <v>19</v>
      </c>
      <c r="H14" s="39"/>
      <c r="I14" s="41">
        <v>10</v>
      </c>
      <c r="J14" s="40"/>
      <c r="K14" s="40"/>
      <c r="L14" s="40"/>
      <c r="M14" s="245">
        <f>+VLOOKUP(B14,PUNTAJE!$E$5:$G$29,3,FALSE)</f>
        <v>0</v>
      </c>
      <c r="N14" s="246">
        <f t="shared" si="0"/>
        <v>29</v>
      </c>
      <c r="O14" s="32">
        <f t="shared" si="1"/>
        <v>13</v>
      </c>
    </row>
    <row r="15" spans="2:17" ht="31.5" customHeight="1" x14ac:dyDescent="0.25">
      <c r="B15" s="51" t="s">
        <v>74</v>
      </c>
      <c r="C15" s="52" t="s">
        <v>29</v>
      </c>
      <c r="D15" s="4" t="s">
        <v>28</v>
      </c>
      <c r="E15" s="210" t="s">
        <v>28</v>
      </c>
      <c r="F15" s="38" t="s">
        <v>28</v>
      </c>
      <c r="G15" s="209">
        <v>0</v>
      </c>
      <c r="H15" s="39"/>
      <c r="I15" s="35"/>
      <c r="J15" s="35"/>
      <c r="K15" s="41"/>
      <c r="L15" s="41"/>
      <c r="M15" s="245">
        <f>+VLOOKUP(B15,PUNTAJE!$E$5:$G$29,3,FALSE)</f>
        <v>0</v>
      </c>
      <c r="N15" s="246">
        <f t="shared" si="0"/>
        <v>0</v>
      </c>
      <c r="O15" s="32">
        <f t="shared" si="1"/>
        <v>20</v>
      </c>
    </row>
    <row r="16" spans="2:17" ht="32.25" customHeight="1" x14ac:dyDescent="0.25">
      <c r="B16" s="48" t="s">
        <v>6</v>
      </c>
      <c r="C16" s="48" t="s">
        <v>76</v>
      </c>
      <c r="D16" s="53" t="s">
        <v>28</v>
      </c>
      <c r="E16" s="53" t="s">
        <v>28</v>
      </c>
      <c r="F16" s="38" t="s">
        <v>28</v>
      </c>
      <c r="G16" s="38">
        <v>19</v>
      </c>
      <c r="H16" s="43"/>
      <c r="I16" s="41">
        <v>10</v>
      </c>
      <c r="J16" s="41"/>
      <c r="K16" s="41">
        <v>1</v>
      </c>
      <c r="L16" s="41"/>
      <c r="M16" s="245">
        <f>+VLOOKUP(B16,PUNTAJE!$E$5:$G$29,3,FALSE)</f>
        <v>0</v>
      </c>
      <c r="N16" s="246">
        <f t="shared" si="0"/>
        <v>30</v>
      </c>
      <c r="O16" s="32">
        <f t="shared" si="1"/>
        <v>4</v>
      </c>
    </row>
    <row r="17" spans="2:15" ht="33.75" customHeight="1" x14ac:dyDescent="0.25">
      <c r="B17" s="50" t="s">
        <v>75</v>
      </c>
      <c r="C17" s="48" t="s">
        <v>28</v>
      </c>
      <c r="D17" s="4" t="s">
        <v>28</v>
      </c>
      <c r="E17" s="47" t="s">
        <v>28</v>
      </c>
      <c r="F17" s="38" t="s">
        <v>28</v>
      </c>
      <c r="G17" s="38">
        <v>19</v>
      </c>
      <c r="H17" s="39"/>
      <c r="I17" s="35">
        <v>10</v>
      </c>
      <c r="J17" s="35"/>
      <c r="K17" s="41">
        <v>1</v>
      </c>
      <c r="L17" s="41"/>
      <c r="M17" s="245">
        <f>+VLOOKUP(B17,PUNTAJE!$E$5:$G$29,3,FALSE)</f>
        <v>0</v>
      </c>
      <c r="N17" s="246">
        <f t="shared" si="0"/>
        <v>30</v>
      </c>
      <c r="O17" s="32">
        <f t="shared" si="1"/>
        <v>4</v>
      </c>
    </row>
    <row r="18" spans="2:15" ht="30" x14ac:dyDescent="0.25">
      <c r="B18" s="50" t="s">
        <v>77</v>
      </c>
      <c r="C18" s="50" t="s">
        <v>28</v>
      </c>
      <c r="D18" s="4" t="s">
        <v>28</v>
      </c>
      <c r="E18" s="47" t="s">
        <v>28</v>
      </c>
      <c r="F18" s="38" t="s">
        <v>28</v>
      </c>
      <c r="G18" s="38">
        <v>19</v>
      </c>
      <c r="H18" s="39"/>
      <c r="I18" s="41">
        <v>10</v>
      </c>
      <c r="J18" s="41"/>
      <c r="K18" s="41">
        <v>1</v>
      </c>
      <c r="L18" s="41"/>
      <c r="M18" s="245">
        <f>+VLOOKUP(B18,PUNTAJE!$E$5:$G$29,3,FALSE)</f>
        <v>0</v>
      </c>
      <c r="N18" s="246">
        <f t="shared" si="0"/>
        <v>30</v>
      </c>
      <c r="O18" s="32">
        <f t="shared" si="1"/>
        <v>4</v>
      </c>
    </row>
    <row r="19" spans="2:15" ht="18.75" x14ac:dyDescent="0.25">
      <c r="B19" s="48" t="s">
        <v>7</v>
      </c>
      <c r="C19" s="48" t="s">
        <v>28</v>
      </c>
      <c r="D19" s="4" t="s">
        <v>28</v>
      </c>
      <c r="E19" s="47" t="s">
        <v>28</v>
      </c>
      <c r="F19" s="38" t="s">
        <v>28</v>
      </c>
      <c r="G19" s="38">
        <v>19</v>
      </c>
      <c r="H19" s="43"/>
      <c r="I19" s="35">
        <v>10</v>
      </c>
      <c r="J19" s="42"/>
      <c r="K19" s="41">
        <v>1</v>
      </c>
      <c r="L19" s="41"/>
      <c r="M19" s="245">
        <f>+VLOOKUP(B19,PUNTAJE!$E$5:$G$29,3,FALSE)</f>
        <v>0</v>
      </c>
      <c r="N19" s="246">
        <f t="shared" si="0"/>
        <v>30</v>
      </c>
      <c r="O19" s="32">
        <f t="shared" si="1"/>
        <v>4</v>
      </c>
    </row>
    <row r="20" spans="2:15" ht="18.75" x14ac:dyDescent="0.25">
      <c r="B20" s="48" t="s">
        <v>8</v>
      </c>
      <c r="C20" s="48" t="s">
        <v>28</v>
      </c>
      <c r="D20" s="4" t="s">
        <v>28</v>
      </c>
      <c r="E20" s="47" t="s">
        <v>28</v>
      </c>
      <c r="F20" s="38" t="s">
        <v>28</v>
      </c>
      <c r="G20" s="38">
        <v>19</v>
      </c>
      <c r="H20" s="39"/>
      <c r="I20" s="41">
        <v>10</v>
      </c>
      <c r="J20" s="41"/>
      <c r="K20" s="41">
        <v>1</v>
      </c>
      <c r="L20" s="41"/>
      <c r="M20" s="245">
        <f>+VLOOKUP(B20,PUNTAJE!$E$5:$G$29,3,FALSE)</f>
        <v>0</v>
      </c>
      <c r="N20" s="246">
        <f t="shared" si="0"/>
        <v>30</v>
      </c>
      <c r="O20" s="32">
        <f t="shared" si="1"/>
        <v>4</v>
      </c>
    </row>
    <row r="21" spans="2:15" ht="18.75" x14ac:dyDescent="0.25">
      <c r="B21" s="48" t="s">
        <v>9</v>
      </c>
      <c r="C21" s="48" t="s">
        <v>28</v>
      </c>
      <c r="D21" s="4" t="s">
        <v>28</v>
      </c>
      <c r="E21" s="47" t="s">
        <v>28</v>
      </c>
      <c r="F21" s="38" t="s">
        <v>28</v>
      </c>
      <c r="G21" s="38">
        <v>19</v>
      </c>
      <c r="H21" s="43"/>
      <c r="I21" s="41">
        <v>10</v>
      </c>
      <c r="J21" s="41"/>
      <c r="K21" s="41">
        <v>1</v>
      </c>
      <c r="L21" s="41"/>
      <c r="M21" s="245">
        <f>+VLOOKUP(B21,PUNTAJE!$E$5:$G$29,3,FALSE)</f>
        <v>70</v>
      </c>
      <c r="N21" s="246">
        <f t="shared" si="0"/>
        <v>100</v>
      </c>
      <c r="O21" s="32">
        <f t="shared" si="1"/>
        <v>1</v>
      </c>
    </row>
    <row r="22" spans="2:15" ht="30" x14ac:dyDescent="0.25">
      <c r="B22" s="50" t="s">
        <v>22</v>
      </c>
      <c r="C22" s="50" t="s">
        <v>28</v>
      </c>
      <c r="D22" s="4" t="s">
        <v>28</v>
      </c>
      <c r="E22" s="47" t="s">
        <v>28</v>
      </c>
      <c r="F22" s="38" t="s">
        <v>28</v>
      </c>
      <c r="G22" s="38">
        <v>19</v>
      </c>
      <c r="H22" s="39"/>
      <c r="I22" s="41">
        <v>10</v>
      </c>
      <c r="J22" s="41"/>
      <c r="K22" s="41"/>
      <c r="L22" s="41"/>
      <c r="M22" s="245">
        <f>+VLOOKUP(B22,PUNTAJE!$E$5:$G$29,3,FALSE)</f>
        <v>0</v>
      </c>
      <c r="N22" s="246">
        <f t="shared" si="0"/>
        <v>29</v>
      </c>
      <c r="O22" s="32">
        <f t="shared" si="1"/>
        <v>13</v>
      </c>
    </row>
    <row r="23" spans="2:15" ht="18.75" x14ac:dyDescent="0.25">
      <c r="B23" s="48" t="s">
        <v>10</v>
      </c>
      <c r="C23" s="48" t="s">
        <v>28</v>
      </c>
      <c r="D23" s="4" t="s">
        <v>28</v>
      </c>
      <c r="E23" s="47" t="s">
        <v>28</v>
      </c>
      <c r="F23" s="38" t="s">
        <v>28</v>
      </c>
      <c r="G23" s="38">
        <v>19</v>
      </c>
      <c r="H23" s="39"/>
      <c r="I23" s="41">
        <v>10</v>
      </c>
      <c r="J23" s="41"/>
      <c r="K23" s="41">
        <v>1</v>
      </c>
      <c r="L23" s="41"/>
      <c r="M23" s="245">
        <f>+VLOOKUP(B23,PUNTAJE!$E$5:$G$29,3,FALSE)</f>
        <v>0</v>
      </c>
      <c r="N23" s="246">
        <f t="shared" si="0"/>
        <v>30</v>
      </c>
      <c r="O23" s="32">
        <f t="shared" si="1"/>
        <v>4</v>
      </c>
    </row>
    <row r="24" spans="2:15" ht="18.75" x14ac:dyDescent="0.25">
      <c r="B24" s="48" t="s">
        <v>11</v>
      </c>
      <c r="C24" s="48" t="s">
        <v>28</v>
      </c>
      <c r="D24" s="4" t="s">
        <v>28</v>
      </c>
      <c r="E24" s="47" t="s">
        <v>28</v>
      </c>
      <c r="F24" s="38" t="s">
        <v>28</v>
      </c>
      <c r="G24" s="38">
        <v>19</v>
      </c>
      <c r="H24" s="39"/>
      <c r="I24" s="41">
        <v>10</v>
      </c>
      <c r="J24" s="41"/>
      <c r="K24" s="41"/>
      <c r="L24" s="41"/>
      <c r="M24" s="245">
        <f>+VLOOKUP(B24,PUNTAJE!$E$5:$G$29,3,FALSE)</f>
        <v>0</v>
      </c>
      <c r="N24" s="246">
        <f t="shared" si="0"/>
        <v>29</v>
      </c>
      <c r="O24" s="32">
        <f t="shared" si="1"/>
        <v>13</v>
      </c>
    </row>
    <row r="25" spans="2:15" ht="30" x14ac:dyDescent="0.25">
      <c r="B25" s="50" t="s">
        <v>23</v>
      </c>
      <c r="C25" s="50" t="s">
        <v>28</v>
      </c>
      <c r="D25" s="4" t="s">
        <v>28</v>
      </c>
      <c r="E25" s="47" t="s">
        <v>28</v>
      </c>
      <c r="F25" s="38" t="s">
        <v>28</v>
      </c>
      <c r="G25" s="38">
        <v>19</v>
      </c>
      <c r="H25" s="39"/>
      <c r="I25" s="41">
        <v>10</v>
      </c>
      <c r="J25" s="40"/>
      <c r="K25" s="44"/>
      <c r="L25" s="44"/>
      <c r="M25" s="245">
        <f>+VLOOKUP(B25,PUNTAJE!$E$5:$G$29,3,FALSE)</f>
        <v>0</v>
      </c>
      <c r="N25" s="246">
        <f t="shared" si="0"/>
        <v>29</v>
      </c>
      <c r="O25" s="32">
        <f t="shared" si="1"/>
        <v>13</v>
      </c>
    </row>
    <row r="26" spans="2:15" ht="33.75" customHeight="1" x14ac:dyDescent="0.25">
      <c r="B26" s="50" t="s">
        <v>71</v>
      </c>
      <c r="C26" s="50" t="s">
        <v>28</v>
      </c>
      <c r="D26" s="47" t="s">
        <v>28</v>
      </c>
      <c r="E26" s="210" t="s">
        <v>28</v>
      </c>
      <c r="F26" s="46" t="s">
        <v>28</v>
      </c>
      <c r="G26" s="209">
        <v>19</v>
      </c>
      <c r="H26" s="39"/>
      <c r="I26" s="41">
        <v>10</v>
      </c>
      <c r="J26" s="40"/>
      <c r="K26" s="35">
        <v>1</v>
      </c>
      <c r="L26" s="44"/>
      <c r="M26" s="245">
        <f>+VLOOKUP(B26,PUNTAJE!$E$5:$G$29,3,FALSE)</f>
        <v>0</v>
      </c>
      <c r="N26" s="246">
        <f t="shared" si="0"/>
        <v>30</v>
      </c>
      <c r="O26" s="32">
        <f t="shared" si="1"/>
        <v>4</v>
      </c>
    </row>
  </sheetData>
  <mergeCells count="16">
    <mergeCell ref="O3:O6"/>
    <mergeCell ref="G3:G6"/>
    <mergeCell ref="J3:J6"/>
    <mergeCell ref="L3:L6"/>
    <mergeCell ref="B5:B6"/>
    <mergeCell ref="B2:N2"/>
    <mergeCell ref="H3:H4"/>
    <mergeCell ref="I3:I4"/>
    <mergeCell ref="K3:K4"/>
    <mergeCell ref="N3:N4"/>
    <mergeCell ref="B3:B4"/>
    <mergeCell ref="M3:M4"/>
    <mergeCell ref="D3:D6"/>
    <mergeCell ref="F3:F6"/>
    <mergeCell ref="E3:E6"/>
    <mergeCell ref="C3:C6"/>
  </mergeCells>
  <conditionalFormatting sqref="O7:O26">
    <cfRule type="top10" dxfId="0" priority="1" bottom="1" rank="1"/>
  </conditionalFormatting>
  <pageMargins left="0.7" right="0.7" top="0.75" bottom="0.75" header="0.3" footer="0.3"/>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VERIFICACIÓN ARITMÉTICA</vt:lpstr>
      <vt:lpstr>PROPUESTA ECONOMICA</vt:lpstr>
      <vt:lpstr>PUNTAJE</vt:lpstr>
      <vt:lpstr>PONDERABLES</vt:lpstr>
      <vt:lpstr>PONDERABLES!Área_de_impresión</vt:lpstr>
      <vt:lpstr>'VERIFICACIÓN ARITMÉTICA'!Área_de_impresión</vt:lpstr>
      <vt:lpstr>H427.</vt:lpstr>
      <vt:lpstr>'VERIFICACIÓN ARITMÉTICA'!Títulos_a_imprimir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CRIX</dc:creator>
  <cp:lastModifiedBy>johana</cp:lastModifiedBy>
  <cp:lastPrinted>2019-07-10T12:41:49Z</cp:lastPrinted>
  <dcterms:created xsi:type="dcterms:W3CDTF">2019-06-14T20:22:39Z</dcterms:created>
  <dcterms:modified xsi:type="dcterms:W3CDTF">2019-07-11T22:38:18Z</dcterms:modified>
</cp:coreProperties>
</file>