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6750" firstSheet="4" activeTab="4"/>
  </bookViews>
  <sheets>
    <sheet name="Hoja1" sheetId="1" state="hidden" r:id="rId1"/>
    <sheet name="DOTACION POR ASOCIACION" sheetId="9" state="hidden" r:id="rId2"/>
    <sheet name="Hoja V1" sheetId="3" state="hidden" r:id="rId3"/>
    <sheet name="Hoja V2" sheetId="4" state="hidden" r:id="rId4"/>
    <sheet name="PRESUPUESTO proceso" sheetId="12" r:id="rId5"/>
    <sheet name="PRESUPUESTO 2" sheetId="11" state="hidden" r:id="rId6"/>
    <sheet name="ESTUDIO DE MERCADO" sheetId="7" state="hidden" r:id="rId7"/>
    <sheet name="Hoja2" sheetId="2" state="hidden" r:id="rId8"/>
    <sheet name="Hoja3" sheetId="6" state="hidden" r:id="rId9"/>
    <sheet name="LABORATORIO " sheetId="10" state="hidden" r:id="rId10"/>
    <sheet name="NECESIDADES" sheetId="5" state="hidden" r:id="rId11"/>
  </sheets>
  <definedNames>
    <definedName name="_xlnm.Print_Area" localSheetId="6">'ESTUDIO DE MERCADO'!$A$1:$L$48</definedName>
    <definedName name="_xlnm.Print_Area" localSheetId="2">'Hoja V1'!$A$1:$H$54</definedName>
    <definedName name="_xlnm.Print_Area" localSheetId="3">'Hoja V2'!$A$1:$G$53</definedName>
    <definedName name="_xlnm.Print_Area" localSheetId="10">NECESIDADES!$A$1:$F$45</definedName>
    <definedName name="_xlnm.Print_Area" localSheetId="5">'PRESUPUESTO 2'!$A$1:$G$55</definedName>
    <definedName name="_xlnm.Print_Area" localSheetId="4">'PRESUPUESTO proceso'!$A$1:$F$54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8" i="12" l="1"/>
  <c r="H51" i="12" s="1"/>
  <c r="G47" i="12"/>
  <c r="F46" i="12"/>
  <c r="G46" i="12" s="1"/>
  <c r="F43" i="12"/>
  <c r="G43" i="12" s="1"/>
  <c r="F42" i="12"/>
  <c r="G42" i="12" s="1"/>
  <c r="F41" i="12"/>
  <c r="G41" i="12" s="1"/>
  <c r="F40" i="12"/>
  <c r="G40" i="12" s="1"/>
  <c r="F39" i="12"/>
  <c r="G39" i="12" s="1"/>
  <c r="F38" i="12"/>
  <c r="G38" i="12" s="1"/>
  <c r="F37" i="12"/>
  <c r="G37" i="12" s="1"/>
  <c r="F36" i="12"/>
  <c r="G36" i="12" s="1"/>
  <c r="G35" i="12"/>
  <c r="G34" i="12"/>
  <c r="G33" i="12"/>
  <c r="G32" i="12"/>
  <c r="G31" i="12"/>
  <c r="G30" i="12"/>
  <c r="G29" i="12"/>
  <c r="G28" i="12"/>
  <c r="G27" i="12"/>
  <c r="G26" i="12"/>
  <c r="G23" i="12"/>
  <c r="G22" i="12"/>
  <c r="G21" i="12"/>
  <c r="F20" i="12"/>
  <c r="G20" i="12" s="1"/>
  <c r="F17" i="12"/>
  <c r="G17" i="12" s="1"/>
  <c r="G16" i="12"/>
  <c r="G15" i="12"/>
  <c r="F9" i="12"/>
  <c r="G9" i="12" s="1"/>
  <c r="G19" i="12" l="1"/>
  <c r="I18" i="12"/>
  <c r="G8" i="12"/>
  <c r="F49" i="11"/>
  <c r="I48" i="11"/>
  <c r="I52" i="11" s="1"/>
  <c r="F47" i="11"/>
  <c r="G47" i="11" s="1"/>
  <c r="H47" i="11" s="1"/>
  <c r="F46" i="11"/>
  <c r="G46" i="11" s="1"/>
  <c r="H46" i="11" s="1"/>
  <c r="F45" i="11"/>
  <c r="G45" i="11" s="1"/>
  <c r="H45" i="11" s="1"/>
  <c r="E43" i="11"/>
  <c r="F43" i="11" s="1"/>
  <c r="G43" i="11" s="1"/>
  <c r="H43" i="11" s="1"/>
  <c r="E42" i="11"/>
  <c r="F42" i="11" s="1"/>
  <c r="G42" i="11" s="1"/>
  <c r="H42" i="11" s="1"/>
  <c r="E41" i="11"/>
  <c r="F41" i="11" s="1"/>
  <c r="G41" i="11" s="1"/>
  <c r="H41" i="11" s="1"/>
  <c r="E40" i="11"/>
  <c r="F40" i="11" s="1"/>
  <c r="G40" i="11" s="1"/>
  <c r="H40" i="11" s="1"/>
  <c r="E39" i="11"/>
  <c r="F39" i="11" s="1"/>
  <c r="G39" i="11" s="1"/>
  <c r="H39" i="11" s="1"/>
  <c r="E38" i="11"/>
  <c r="F38" i="11" s="1"/>
  <c r="G38" i="11" s="1"/>
  <c r="H38" i="11" s="1"/>
  <c r="E37" i="11"/>
  <c r="F37" i="11" s="1"/>
  <c r="G37" i="11" s="1"/>
  <c r="H37" i="11" s="1"/>
  <c r="E36" i="11"/>
  <c r="F36" i="11" s="1"/>
  <c r="G36" i="11" s="1"/>
  <c r="H36" i="11" s="1"/>
  <c r="E35" i="11"/>
  <c r="F35" i="11" s="1"/>
  <c r="G35" i="11" s="1"/>
  <c r="H35" i="11" s="1"/>
  <c r="E34" i="11"/>
  <c r="F34" i="11" s="1"/>
  <c r="G34" i="11" s="1"/>
  <c r="H34" i="11" s="1"/>
  <c r="E33" i="11"/>
  <c r="F33" i="11" s="1"/>
  <c r="G33" i="11" s="1"/>
  <c r="H33" i="11" s="1"/>
  <c r="E32" i="11"/>
  <c r="F32" i="11" s="1"/>
  <c r="G32" i="11" s="1"/>
  <c r="H32" i="11" s="1"/>
  <c r="E31" i="11"/>
  <c r="F31" i="11" s="1"/>
  <c r="G31" i="11" s="1"/>
  <c r="H31" i="11" s="1"/>
  <c r="E30" i="11"/>
  <c r="F30" i="11" s="1"/>
  <c r="G30" i="11" s="1"/>
  <c r="H30" i="11" s="1"/>
  <c r="E29" i="11"/>
  <c r="F29" i="11" s="1"/>
  <c r="G29" i="11" s="1"/>
  <c r="H29" i="11" s="1"/>
  <c r="E28" i="11"/>
  <c r="F28" i="11" s="1"/>
  <c r="G28" i="11" s="1"/>
  <c r="H28" i="11" s="1"/>
  <c r="E27" i="11"/>
  <c r="F27" i="11" s="1"/>
  <c r="G27" i="11" s="1"/>
  <c r="H27" i="11" s="1"/>
  <c r="E26" i="11"/>
  <c r="F26" i="11" s="1"/>
  <c r="G26" i="11" s="1"/>
  <c r="H26" i="11" s="1"/>
  <c r="E25" i="11"/>
  <c r="F25" i="11" s="1"/>
  <c r="G25" i="11" s="1"/>
  <c r="H25" i="11" s="1"/>
  <c r="F24" i="11"/>
  <c r="E23" i="11"/>
  <c r="F23" i="11" s="1"/>
  <c r="G23" i="11" s="1"/>
  <c r="H23" i="11" s="1"/>
  <c r="E22" i="11"/>
  <c r="F22" i="11" s="1"/>
  <c r="G22" i="11" s="1"/>
  <c r="H22" i="11" s="1"/>
  <c r="E21" i="11"/>
  <c r="F21" i="11" s="1"/>
  <c r="G21" i="11" s="1"/>
  <c r="H21" i="11" s="1"/>
  <c r="E20" i="11"/>
  <c r="F20" i="11" s="1"/>
  <c r="G20" i="11" s="1"/>
  <c r="H20" i="11" s="1"/>
  <c r="E19" i="11"/>
  <c r="F19" i="11" s="1"/>
  <c r="G19" i="11" s="1"/>
  <c r="H19" i="11" s="1"/>
  <c r="F17" i="11"/>
  <c r="G17" i="11" s="1"/>
  <c r="H17" i="11" s="1"/>
  <c r="F16" i="11"/>
  <c r="G16" i="11" s="1"/>
  <c r="H16" i="11" s="1"/>
  <c r="F15" i="11"/>
  <c r="G15" i="11" s="1"/>
  <c r="H15" i="11" s="1"/>
  <c r="F14" i="11"/>
  <c r="G14" i="11" s="1"/>
  <c r="H14" i="11" s="1"/>
  <c r="G13" i="11"/>
  <c r="F9" i="11"/>
  <c r="G9" i="11" s="1"/>
  <c r="H9" i="11" s="1"/>
  <c r="F8" i="11"/>
  <c r="G8" i="11" s="1"/>
  <c r="H8" i="11" s="1"/>
  <c r="B6" i="10"/>
  <c r="B7" i="10" s="1"/>
  <c r="B8" i="10" s="1"/>
  <c r="B9" i="10" s="1"/>
  <c r="B10" i="10" s="1"/>
  <c r="B11" i="10" s="1"/>
  <c r="B12" i="10" s="1"/>
  <c r="B13" i="10" s="1"/>
  <c r="B14" i="10" s="1"/>
  <c r="B15" i="10" s="1"/>
  <c r="B16" i="10" s="1"/>
  <c r="B17" i="10" s="1"/>
  <c r="B18" i="10" s="1"/>
  <c r="B19" i="10" s="1"/>
  <c r="B20" i="10" s="1"/>
  <c r="B21" i="10" s="1"/>
  <c r="B22" i="10" s="1"/>
  <c r="B23" i="10" s="1"/>
  <c r="B32" i="9"/>
  <c r="B31" i="9"/>
  <c r="B30" i="9"/>
  <c r="B29" i="9"/>
  <c r="G26" i="9"/>
  <c r="G24" i="9"/>
  <c r="G20" i="9"/>
  <c r="G21" i="9" s="1"/>
  <c r="G18" i="9"/>
  <c r="L25" i="9"/>
  <c r="E56" i="1"/>
  <c r="C25" i="9"/>
  <c r="G45" i="12" l="1"/>
  <c r="G14" i="12"/>
  <c r="G48" i="12" s="1"/>
  <c r="F48" i="12"/>
  <c r="I7" i="12"/>
  <c r="G25" i="12"/>
  <c r="I24" i="12"/>
  <c r="F18" i="11"/>
  <c r="F44" i="11"/>
  <c r="H20" i="9"/>
  <c r="G7" i="11"/>
  <c r="G18" i="11"/>
  <c r="J18" i="11" s="1"/>
  <c r="G44" i="11"/>
  <c r="F7" i="11"/>
  <c r="F5" i="11" s="1"/>
  <c r="F48" i="11" s="1"/>
  <c r="G24" i="11"/>
  <c r="J24" i="11" s="1"/>
  <c r="H48" i="11"/>
  <c r="F13" i="11"/>
  <c r="F11" i="11" s="1"/>
  <c r="G49" i="11"/>
  <c r="G19" i="9"/>
  <c r="H18" i="9"/>
  <c r="H21" i="9"/>
  <c r="G22" i="9"/>
  <c r="H22" i="9" s="1"/>
  <c r="H24" i="9"/>
  <c r="G25" i="9"/>
  <c r="H25" i="9" s="1"/>
  <c r="H26" i="9"/>
  <c r="G27" i="9"/>
  <c r="H27" i="9" s="1"/>
  <c r="F7" i="4"/>
  <c r="F8" i="4"/>
  <c r="I11" i="12" l="1"/>
  <c r="F49" i="12"/>
  <c r="F50" i="12" s="1"/>
  <c r="F50" i="11"/>
  <c r="G50" i="11" s="1"/>
  <c r="F51" i="11"/>
  <c r="J7" i="11"/>
  <c r="G5" i="11"/>
  <c r="G11" i="11"/>
  <c r="H19" i="9"/>
  <c r="G23" i="9"/>
  <c r="H23" i="9" s="1"/>
  <c r="Q54" i="1"/>
  <c r="E63" i="1"/>
  <c r="E62" i="1"/>
  <c r="E61" i="1"/>
  <c r="E60" i="1"/>
  <c r="E59" i="1"/>
  <c r="E58" i="1"/>
  <c r="E57" i="1"/>
  <c r="E55" i="1"/>
  <c r="E54" i="1"/>
  <c r="E53" i="1"/>
  <c r="O29" i="1"/>
  <c r="O10" i="1"/>
  <c r="N10" i="1"/>
  <c r="O16" i="1"/>
  <c r="N16" i="1"/>
  <c r="P16" i="1" s="1"/>
  <c r="P10" i="1"/>
  <c r="N26" i="1"/>
  <c r="N29" i="1" s="1"/>
  <c r="J11" i="11" l="1"/>
  <c r="G48" i="11"/>
  <c r="G51" i="11" s="1"/>
  <c r="H28" i="9"/>
  <c r="O30" i="1"/>
  <c r="N30" i="1"/>
  <c r="P29" i="1"/>
  <c r="P30" i="1" s="1"/>
  <c r="N55" i="1" s="1"/>
  <c r="E64" i="1"/>
  <c r="F12" i="1"/>
  <c r="G12" i="1" s="1"/>
  <c r="F12" i="4"/>
  <c r="F27" i="1"/>
  <c r="F28" i="1" s="1"/>
  <c r="F26" i="1"/>
  <c r="G26" i="1" s="1"/>
  <c r="F17" i="1"/>
  <c r="G17" i="1" s="1"/>
  <c r="F24" i="1"/>
  <c r="G24" i="1" s="1"/>
  <c r="F47" i="4"/>
  <c r="J15" i="7"/>
  <c r="I15" i="7"/>
  <c r="H15" i="7"/>
  <c r="J9" i="7" l="1"/>
  <c r="I9" i="7"/>
  <c r="H9" i="7"/>
  <c r="I41" i="7"/>
  <c r="H41" i="7"/>
  <c r="E41" i="7"/>
  <c r="F41" i="7" s="1"/>
  <c r="I40" i="7"/>
  <c r="H40" i="7"/>
  <c r="E40" i="7"/>
  <c r="F40" i="7" s="1"/>
  <c r="H39" i="7"/>
  <c r="E39" i="7"/>
  <c r="F39" i="7" s="1"/>
  <c r="I38" i="7"/>
  <c r="H38" i="7"/>
  <c r="E38" i="7"/>
  <c r="F38" i="7" s="1"/>
  <c r="I37" i="7"/>
  <c r="H37" i="7"/>
  <c r="E37" i="7"/>
  <c r="F37" i="7" s="1"/>
  <c r="H36" i="7"/>
  <c r="E36" i="7"/>
  <c r="F36" i="7" s="1"/>
  <c r="H35" i="7"/>
  <c r="E35" i="7"/>
  <c r="F35" i="7" s="1"/>
  <c r="I34" i="7"/>
  <c r="H34" i="7"/>
  <c r="E34" i="7"/>
  <c r="F34" i="7" s="1"/>
  <c r="I33" i="7"/>
  <c r="H33" i="7"/>
  <c r="E33" i="7"/>
  <c r="F33" i="7" s="1"/>
  <c r="H32" i="7"/>
  <c r="E32" i="7"/>
  <c r="F32" i="7" s="1"/>
  <c r="H31" i="7"/>
  <c r="E31" i="7"/>
  <c r="F31" i="7" s="1"/>
  <c r="H30" i="7"/>
  <c r="E30" i="7"/>
  <c r="F30" i="7" s="1"/>
  <c r="I29" i="7"/>
  <c r="H29" i="7"/>
  <c r="E29" i="7"/>
  <c r="F29" i="7" s="1"/>
  <c r="I28" i="7"/>
  <c r="H28" i="7"/>
  <c r="E28" i="7"/>
  <c r="F28" i="7" s="1"/>
  <c r="H27" i="7"/>
  <c r="E27" i="7"/>
  <c r="F27" i="7" s="1"/>
  <c r="I26" i="7"/>
  <c r="H26" i="7"/>
  <c r="E26" i="7"/>
  <c r="F26" i="7" s="1"/>
  <c r="I25" i="7"/>
  <c r="H25" i="7"/>
  <c r="E25" i="7"/>
  <c r="F25" i="7" s="1"/>
  <c r="H24" i="7"/>
  <c r="E24" i="7"/>
  <c r="F24" i="7" s="1"/>
  <c r="I23" i="7"/>
  <c r="H23" i="7"/>
  <c r="E23" i="7"/>
  <c r="F23" i="7" s="1"/>
  <c r="F22" i="7" s="1"/>
  <c r="H21" i="7"/>
  <c r="E21" i="7"/>
  <c r="F21" i="7" s="1"/>
  <c r="H20" i="7"/>
  <c r="E20" i="7"/>
  <c r="F20" i="7" s="1"/>
  <c r="H19" i="7"/>
  <c r="E19" i="7"/>
  <c r="F19" i="7" s="1"/>
  <c r="H18" i="7"/>
  <c r="E18" i="7"/>
  <c r="F18" i="7" s="1"/>
  <c r="H17" i="7"/>
  <c r="E17" i="7"/>
  <c r="F17" i="7" s="1"/>
  <c r="F16" i="7"/>
  <c r="F14" i="7"/>
  <c r="F13" i="7"/>
  <c r="F12" i="7"/>
  <c r="F11" i="7"/>
  <c r="F10" i="7" s="1"/>
  <c r="F8" i="7"/>
  <c r="F7" i="7"/>
  <c r="F6" i="7"/>
  <c r="F5" i="7" s="1"/>
  <c r="F9" i="7" l="1"/>
  <c r="F42" i="7"/>
  <c r="F15" i="4" l="1"/>
  <c r="G15" i="4" s="1"/>
  <c r="H15" i="4" s="1"/>
  <c r="G28" i="1"/>
  <c r="G27" i="1"/>
  <c r="G22" i="1"/>
  <c r="G20" i="1"/>
  <c r="I46" i="4" l="1"/>
  <c r="I50" i="4" s="1"/>
  <c r="F45" i="4"/>
  <c r="G45" i="4" s="1"/>
  <c r="H45" i="4" s="1"/>
  <c r="F67" i="1"/>
  <c r="R54" i="1" l="1"/>
  <c r="T74" i="1" l="1"/>
  <c r="U74" i="1" s="1"/>
  <c r="V74" i="1" s="1"/>
  <c r="W74" i="1" s="1"/>
  <c r="W75" i="1" s="1"/>
  <c r="N71" i="1" l="1"/>
  <c r="O70" i="1" s="1"/>
  <c r="N58" i="1" s="1"/>
  <c r="O58" i="1" s="1"/>
  <c r="N78" i="1"/>
  <c r="O76" i="1" s="1"/>
  <c r="N62" i="1" s="1"/>
  <c r="O62" i="1" s="1"/>
  <c r="O69" i="1" l="1"/>
  <c r="N57" i="1" s="1"/>
  <c r="O57" i="1" s="1"/>
  <c r="O75" i="1"/>
  <c r="N61" i="1" s="1"/>
  <c r="O61" i="1" s="1"/>
  <c r="O77" i="1"/>
  <c r="N63" i="1" s="1"/>
  <c r="O63" i="1" s="1"/>
  <c r="O74" i="1"/>
  <c r="N60" i="1" s="1"/>
  <c r="O60" i="1" s="1"/>
  <c r="O64" i="1" s="1"/>
  <c r="F44" i="4" l="1"/>
  <c r="G44" i="4" s="1"/>
  <c r="H44" i="4" s="1"/>
  <c r="F43" i="4"/>
  <c r="F42" i="4" s="1"/>
  <c r="F45" i="6"/>
  <c r="G45" i="6" s="1"/>
  <c r="F44" i="6"/>
  <c r="G44" i="6" s="1"/>
  <c r="F43" i="6"/>
  <c r="G43" i="6" s="1"/>
  <c r="F42" i="6"/>
  <c r="G42" i="6" s="1"/>
  <c r="F41" i="6"/>
  <c r="G41" i="6" s="1"/>
  <c r="F22" i="6"/>
  <c r="G22" i="6" s="1"/>
  <c r="F40" i="6"/>
  <c r="G40" i="6" s="1"/>
  <c r="F39" i="6"/>
  <c r="G39" i="6" s="1"/>
  <c r="F38" i="6"/>
  <c r="G38" i="6" s="1"/>
  <c r="F37" i="6"/>
  <c r="G37" i="6" s="1"/>
  <c r="F36" i="6"/>
  <c r="G36" i="6" s="1"/>
  <c r="F35" i="6"/>
  <c r="G35" i="6" s="1"/>
  <c r="F34" i="6"/>
  <c r="G34" i="6" s="1"/>
  <c r="F33" i="6"/>
  <c r="G33" i="6" s="1"/>
  <c r="F32" i="6"/>
  <c r="G32" i="6" s="1"/>
  <c r="F31" i="6"/>
  <c r="G31" i="6" s="1"/>
  <c r="F30" i="6"/>
  <c r="G30" i="6" s="1"/>
  <c r="F29" i="6"/>
  <c r="G29" i="6" s="1"/>
  <c r="F28" i="6"/>
  <c r="G28" i="6" s="1"/>
  <c r="F27" i="6"/>
  <c r="G27" i="6" s="1"/>
  <c r="F26" i="6"/>
  <c r="G26" i="6" s="1"/>
  <c r="F25" i="6"/>
  <c r="G25" i="6" s="1"/>
  <c r="F24" i="6"/>
  <c r="G24" i="6" s="1"/>
  <c r="F23" i="6"/>
  <c r="G23" i="6" s="1"/>
  <c r="E41" i="4"/>
  <c r="E40" i="4"/>
  <c r="E39" i="4"/>
  <c r="E38" i="4"/>
  <c r="E37" i="4"/>
  <c r="E36" i="4"/>
  <c r="E35" i="4"/>
  <c r="E34" i="4"/>
  <c r="E33" i="4"/>
  <c r="E32" i="4"/>
  <c r="E31" i="4"/>
  <c r="F31" i="4" s="1"/>
  <c r="E30" i="4"/>
  <c r="F30" i="4" s="1"/>
  <c r="E29" i="4"/>
  <c r="E28" i="4"/>
  <c r="F28" i="4" s="1"/>
  <c r="E27" i="4"/>
  <c r="E26" i="4"/>
  <c r="E25" i="4"/>
  <c r="E24" i="4"/>
  <c r="E23" i="4"/>
  <c r="E21" i="4"/>
  <c r="E20" i="4"/>
  <c r="E19" i="4"/>
  <c r="E18" i="4"/>
  <c r="E17" i="4"/>
  <c r="F19" i="1"/>
  <c r="F21" i="1" l="1"/>
  <c r="G19" i="1"/>
  <c r="F25" i="1"/>
  <c r="G25" i="1" s="1"/>
  <c r="G43" i="4"/>
  <c r="G46" i="6"/>
  <c r="S29" i="1"/>
  <c r="R29" i="1"/>
  <c r="S16" i="1"/>
  <c r="R16" i="1"/>
  <c r="T16" i="1" s="1"/>
  <c r="S10" i="1"/>
  <c r="R10" i="1"/>
  <c r="T10" i="1" s="1"/>
  <c r="G42" i="4" l="1"/>
  <c r="H29" i="9" s="1"/>
  <c r="H43" i="4"/>
  <c r="F23" i="1"/>
  <c r="G23" i="1" s="1"/>
  <c r="G21" i="1"/>
  <c r="G16" i="1" s="1"/>
  <c r="R30" i="1"/>
  <c r="S30" i="1"/>
  <c r="T29" i="1"/>
  <c r="T30" i="1" s="1"/>
  <c r="E67" i="1"/>
  <c r="N52" i="1" s="1"/>
  <c r="N24" i="3" l="1"/>
  <c r="N25" i="3" s="1"/>
  <c r="F7" i="5" l="1"/>
  <c r="F8" i="5"/>
  <c r="F16" i="5"/>
  <c r="F17" i="5"/>
  <c r="F18" i="5"/>
  <c r="F20" i="5"/>
  <c r="F22" i="5"/>
  <c r="F23" i="5"/>
  <c r="F24" i="5"/>
  <c r="F26" i="5"/>
  <c r="F27" i="5"/>
  <c r="F28" i="5"/>
  <c r="F29" i="5"/>
  <c r="F30" i="5"/>
  <c r="F31" i="5"/>
  <c r="F32" i="5"/>
  <c r="F33" i="5"/>
  <c r="F34" i="5"/>
  <c r="F35" i="5"/>
  <c r="F36" i="5"/>
  <c r="F37" i="5"/>
  <c r="F38" i="5"/>
  <c r="F39" i="5"/>
  <c r="F40" i="5"/>
  <c r="F41" i="5"/>
  <c r="F42" i="5"/>
  <c r="F43" i="5"/>
  <c r="F44" i="5"/>
  <c r="F21" i="5"/>
  <c r="F12" i="5"/>
  <c r="F25" i="5" l="1"/>
  <c r="F6" i="5"/>
  <c r="F5" i="5" s="1"/>
  <c r="F11" i="5"/>
  <c r="F10" i="5" s="1"/>
  <c r="F15" i="5"/>
  <c r="F19" i="5"/>
  <c r="F14" i="5" l="1"/>
  <c r="F45" i="5" s="1"/>
  <c r="F41" i="4"/>
  <c r="G41" i="4" s="1"/>
  <c r="H41" i="4" s="1"/>
  <c r="F40" i="4"/>
  <c r="G40" i="4" s="1"/>
  <c r="H40" i="4" s="1"/>
  <c r="F39" i="4"/>
  <c r="G39" i="4" s="1"/>
  <c r="H39" i="4" s="1"/>
  <c r="F38" i="4"/>
  <c r="G38" i="4" s="1"/>
  <c r="H38" i="4" s="1"/>
  <c r="F37" i="4"/>
  <c r="G37" i="4" s="1"/>
  <c r="H37" i="4" s="1"/>
  <c r="F36" i="4"/>
  <c r="G36" i="4" s="1"/>
  <c r="H36" i="4" s="1"/>
  <c r="F35" i="4"/>
  <c r="G35" i="4" s="1"/>
  <c r="H35" i="4" s="1"/>
  <c r="F34" i="4"/>
  <c r="G34" i="4" s="1"/>
  <c r="H34" i="4" s="1"/>
  <c r="F33" i="4"/>
  <c r="G33" i="4" s="1"/>
  <c r="H33" i="4" s="1"/>
  <c r="F32" i="4"/>
  <c r="G32" i="4" s="1"/>
  <c r="H32" i="4" s="1"/>
  <c r="G31" i="4"/>
  <c r="H31" i="4" s="1"/>
  <c r="G30" i="4"/>
  <c r="H30" i="4" s="1"/>
  <c r="F29" i="4"/>
  <c r="G29" i="4" s="1"/>
  <c r="H29" i="4" s="1"/>
  <c r="G28" i="4"/>
  <c r="H28" i="4" s="1"/>
  <c r="F27" i="4"/>
  <c r="G27" i="4" s="1"/>
  <c r="H27" i="4" s="1"/>
  <c r="F26" i="4"/>
  <c r="G26" i="4" s="1"/>
  <c r="H26" i="4" s="1"/>
  <c r="F25" i="4"/>
  <c r="G25" i="4" s="1"/>
  <c r="H25" i="4" s="1"/>
  <c r="F24" i="4"/>
  <c r="G24" i="4" s="1"/>
  <c r="H24" i="4" s="1"/>
  <c r="F23" i="4"/>
  <c r="F21" i="4"/>
  <c r="G21" i="4" s="1"/>
  <c r="H21" i="4" s="1"/>
  <c r="F20" i="4"/>
  <c r="G20" i="4" s="1"/>
  <c r="H20" i="4" s="1"/>
  <c r="F19" i="4"/>
  <c r="G19" i="4" s="1"/>
  <c r="H19" i="4" s="1"/>
  <c r="F18" i="4"/>
  <c r="G18" i="4" s="1"/>
  <c r="H18" i="4" s="1"/>
  <c r="F17" i="4"/>
  <c r="F14" i="4"/>
  <c r="G14" i="4" s="1"/>
  <c r="H14" i="4" s="1"/>
  <c r="F13" i="4"/>
  <c r="G8" i="4"/>
  <c r="H8" i="4" s="1"/>
  <c r="F6" i="4"/>
  <c r="F16" i="4" l="1"/>
  <c r="F6" i="1" s="1"/>
  <c r="G13" i="4"/>
  <c r="H13" i="4" s="1"/>
  <c r="F11" i="4"/>
  <c r="G23" i="4"/>
  <c r="F22" i="4"/>
  <c r="G47" i="4"/>
  <c r="H30" i="9" s="1"/>
  <c r="G17" i="4"/>
  <c r="G7" i="4"/>
  <c r="F5" i="4"/>
  <c r="G12" i="4"/>
  <c r="F53" i="3"/>
  <c r="G53" i="3" s="1"/>
  <c r="F52" i="3"/>
  <c r="G52" i="3" s="1"/>
  <c r="F51" i="3"/>
  <c r="G51" i="3" s="1"/>
  <c r="F50" i="3"/>
  <c r="G50" i="3" s="1"/>
  <c r="G11" i="4" l="1"/>
  <c r="H12" i="4"/>
  <c r="G6" i="4"/>
  <c r="J6" i="4" s="1"/>
  <c r="G12" i="9" s="1"/>
  <c r="H7" i="4"/>
  <c r="G16" i="4"/>
  <c r="J16" i="4" s="1"/>
  <c r="G7" i="9" s="1"/>
  <c r="H17" i="4"/>
  <c r="F9" i="1"/>
  <c r="F7" i="1"/>
  <c r="F8" i="1" s="1"/>
  <c r="G22" i="4"/>
  <c r="J22" i="4" s="1"/>
  <c r="G10" i="9" s="1"/>
  <c r="H10" i="9" s="1"/>
  <c r="H23" i="4"/>
  <c r="F10" i="4"/>
  <c r="F46" i="4" s="1"/>
  <c r="F48" i="4" s="1"/>
  <c r="G48" i="4" s="1"/>
  <c r="H31" i="9" s="1"/>
  <c r="G9" i="1"/>
  <c r="F49" i="3"/>
  <c r="G49" i="3" s="1"/>
  <c r="F48" i="3"/>
  <c r="G48" i="3" s="1"/>
  <c r="F47" i="3"/>
  <c r="G47" i="3" s="1"/>
  <c r="F46" i="3"/>
  <c r="G46" i="3" s="1"/>
  <c r="F45" i="3"/>
  <c r="G45" i="3" s="1"/>
  <c r="F44" i="3"/>
  <c r="G44" i="3" s="1"/>
  <c r="F43" i="3"/>
  <c r="G43" i="3" s="1"/>
  <c r="F42" i="3"/>
  <c r="G42" i="3" s="1"/>
  <c r="F41" i="3"/>
  <c r="G41" i="3" s="1"/>
  <c r="F40" i="3"/>
  <c r="G40" i="3" s="1"/>
  <c r="F39" i="3"/>
  <c r="G39" i="3" s="1"/>
  <c r="F38" i="3"/>
  <c r="G38" i="3" s="1"/>
  <c r="F37" i="3"/>
  <c r="G37" i="3" s="1"/>
  <c r="H7" i="9" l="1"/>
  <c r="G8" i="9"/>
  <c r="H12" i="9"/>
  <c r="G13" i="9"/>
  <c r="H46" i="4"/>
  <c r="G10" i="4"/>
  <c r="G5" i="4"/>
  <c r="F27" i="3"/>
  <c r="G27" i="3" s="1"/>
  <c r="H13" i="9" l="1"/>
  <c r="G14" i="9"/>
  <c r="H8" i="9"/>
  <c r="H11" i="9" s="1"/>
  <c r="G9" i="9"/>
  <c r="H9" i="9" s="1"/>
  <c r="F49" i="4"/>
  <c r="F36" i="3"/>
  <c r="G36" i="3" s="1"/>
  <c r="F35" i="3"/>
  <c r="H34" i="3"/>
  <c r="F33" i="3"/>
  <c r="G33" i="3" s="1"/>
  <c r="F32" i="3"/>
  <c r="G32" i="3" s="1"/>
  <c r="F31" i="3"/>
  <c r="G31" i="3" s="1"/>
  <c r="F30" i="3"/>
  <c r="G30" i="3" s="1"/>
  <c r="F29" i="3"/>
  <c r="H28" i="3"/>
  <c r="F26" i="3"/>
  <c r="G26" i="3" s="1"/>
  <c r="F25" i="3"/>
  <c r="H19" i="3"/>
  <c r="H18" i="3" s="1"/>
  <c r="F24" i="3"/>
  <c r="H23" i="3"/>
  <c r="H22" i="3" s="1"/>
  <c r="E20" i="3"/>
  <c r="F20" i="3"/>
  <c r="G20" i="3" s="1"/>
  <c r="G19" i="3" s="1"/>
  <c r="G18" i="3" s="1"/>
  <c r="F16" i="3"/>
  <c r="G16" i="3" s="1"/>
  <c r="F15" i="3"/>
  <c r="G15" i="3" s="1"/>
  <c r="F14" i="3"/>
  <c r="G9" i="3"/>
  <c r="H6" i="3"/>
  <c r="F10" i="3"/>
  <c r="F11" i="3"/>
  <c r="H11" i="3" s="1"/>
  <c r="F12" i="3"/>
  <c r="H12" i="3" s="1"/>
  <c r="F8" i="3"/>
  <c r="G8" i="3" s="1"/>
  <c r="F7" i="3"/>
  <c r="F28" i="3" l="1"/>
  <c r="F6" i="3"/>
  <c r="H14" i="9"/>
  <c r="G15" i="9"/>
  <c r="H10" i="3"/>
  <c r="F9" i="3"/>
  <c r="F19" i="3"/>
  <c r="F18" i="3" s="1"/>
  <c r="F13" i="3"/>
  <c r="F5" i="3" s="1"/>
  <c r="G29" i="3"/>
  <c r="G28" i="3" s="1"/>
  <c r="G35" i="3"/>
  <c r="G34" i="3" s="1"/>
  <c r="F34" i="3"/>
  <c r="G25" i="3"/>
  <c r="F23" i="3"/>
  <c r="G24" i="3"/>
  <c r="G7" i="3"/>
  <c r="G6" i="3" s="1"/>
  <c r="G13" i="3"/>
  <c r="H14" i="3"/>
  <c r="H13" i="3" s="1"/>
  <c r="H9" i="3"/>
  <c r="H5" i="3" s="1"/>
  <c r="H54" i="3" s="1"/>
  <c r="F22" i="3" l="1"/>
  <c r="H15" i="9"/>
  <c r="G16" i="9"/>
  <c r="H16" i="9" s="1"/>
  <c r="H17" i="9"/>
  <c r="H32" i="9" s="1"/>
  <c r="F54" i="3"/>
  <c r="G5" i="3"/>
  <c r="G23" i="3"/>
  <c r="G22" i="3" s="1"/>
  <c r="G54" i="3" s="1"/>
  <c r="G36" i="1" l="1"/>
  <c r="F13" i="1"/>
  <c r="G13" i="1" s="1"/>
  <c r="G24" i="2"/>
  <c r="G35" i="2"/>
  <c r="G35" i="1"/>
  <c r="F15" i="1" l="1"/>
  <c r="G15" i="1" s="1"/>
  <c r="G37" i="1"/>
  <c r="G15" i="2"/>
  <c r="H24" i="2"/>
  <c r="C29" i="2"/>
  <c r="C6" i="2" s="1"/>
  <c r="G29" i="2"/>
  <c r="H35" i="2"/>
  <c r="G6" i="1"/>
  <c r="H6" i="2" l="1"/>
  <c r="F14" i="1"/>
  <c r="G14" i="1" s="1"/>
  <c r="G10" i="1" s="1"/>
  <c r="G6" i="2"/>
  <c r="E6" i="2" s="1"/>
  <c r="G8" i="1"/>
  <c r="G7" i="1"/>
  <c r="G5" i="1" l="1"/>
  <c r="G29" i="1" s="1"/>
  <c r="G46" i="4"/>
  <c r="G49" i="4" s="1"/>
</calcChain>
</file>

<file path=xl/sharedStrings.xml><?xml version="1.0" encoding="utf-8"?>
<sst xmlns="http://schemas.openxmlformats.org/spreadsheetml/2006/main" count="1073" uniqueCount="296">
  <si>
    <t>ITEM</t>
  </si>
  <si>
    <t>EQUIPO Y/O MAQUINARIA</t>
  </si>
  <si>
    <t>MUNICIPIOS BENEFICIADOS</t>
  </si>
  <si>
    <t>CANTIDAD</t>
  </si>
  <si>
    <t>VALOR UNITARIO</t>
  </si>
  <si>
    <t>VALOR TOTAL</t>
  </si>
  <si>
    <t>N</t>
  </si>
  <si>
    <t>EN FORMULACION</t>
  </si>
  <si>
    <t xml:space="preserve">MUNICIPIO </t>
  </si>
  <si>
    <t>Acevedo</t>
  </si>
  <si>
    <t>Agrado</t>
  </si>
  <si>
    <t>Aipe</t>
  </si>
  <si>
    <t>Algeciras</t>
  </si>
  <si>
    <t>Altamira</t>
  </si>
  <si>
    <t>Baraya</t>
  </si>
  <si>
    <t>Campoalegre</t>
  </si>
  <si>
    <t>Colombia</t>
  </si>
  <si>
    <t>Elias</t>
  </si>
  <si>
    <t>Garzón</t>
  </si>
  <si>
    <t>Gigante</t>
  </si>
  <si>
    <t>Guadalupe</t>
  </si>
  <si>
    <t>Hobo</t>
  </si>
  <si>
    <t>Iquira</t>
  </si>
  <si>
    <t>Isnos</t>
  </si>
  <si>
    <t>La argentina</t>
  </si>
  <si>
    <t>La Plata</t>
  </si>
  <si>
    <t>Nátaga</t>
  </si>
  <si>
    <t>Neiva</t>
  </si>
  <si>
    <t>Oporapa</t>
  </si>
  <si>
    <t>Paicol</t>
  </si>
  <si>
    <t>Palermo</t>
  </si>
  <si>
    <t>Palestina</t>
  </si>
  <si>
    <t>Pital</t>
  </si>
  <si>
    <t>Pitalito</t>
  </si>
  <si>
    <t>Rivera</t>
  </si>
  <si>
    <t>Saladoblanco</t>
  </si>
  <si>
    <t>San Agustín</t>
  </si>
  <si>
    <t>Santa Maria</t>
  </si>
  <si>
    <t>Suaza</t>
  </si>
  <si>
    <t>Tarqui</t>
  </si>
  <si>
    <t>Tello</t>
  </si>
  <si>
    <t>Teruel</t>
  </si>
  <si>
    <t>Tesalia</t>
  </si>
  <si>
    <t>Timaná</t>
  </si>
  <si>
    <t>Villavieja</t>
  </si>
  <si>
    <t>Yaguará</t>
  </si>
  <si>
    <t>PROGRAMA 10: DOTACION MAQUINARIA Y EQUIPOS PARA LA TRANSFORMACION DE PRODUCTOS AGROPECUARIOS (SILOS, TORREFACTORAS, EMPACADORAS, PLANTA DE PILADORA DE ARROZ)</t>
  </si>
  <si>
    <t>#</t>
  </si>
  <si>
    <t xml:space="preserve">Estado </t>
  </si>
  <si>
    <t>Valor</t>
  </si>
  <si>
    <t xml:space="preserve">Valor cofinanciado Munipio </t>
  </si>
  <si>
    <t xml:space="preserve">Aporte del Dpto </t>
  </si>
  <si>
    <t xml:space="preserve">Beneficiarios  </t>
  </si>
  <si>
    <t>IQUIRA</t>
  </si>
  <si>
    <t>LA PLATA</t>
  </si>
  <si>
    <t>PALERMO</t>
  </si>
  <si>
    <t>PITAL</t>
  </si>
  <si>
    <t>SAN AGUSTIN</t>
  </si>
  <si>
    <t>SANTA MARIA</t>
  </si>
  <si>
    <t>TELLO</t>
  </si>
  <si>
    <t>TORREFACTORA Y LABORATORIO</t>
  </si>
  <si>
    <t xml:space="preserve">TORREFACTORA </t>
  </si>
  <si>
    <t>SILOS DE 1 TON/DIA</t>
  </si>
  <si>
    <t>EMPACADORA DE FRIJOL Y EMPAQUES</t>
  </si>
  <si>
    <t xml:space="preserve">CENTRAL DE BENEFICIO HUMEDO </t>
  </si>
  <si>
    <t>TARQUI COOCENTRAL</t>
  </si>
  <si>
    <t>SISTEMAS DE SECADO</t>
  </si>
  <si>
    <t>PITALITO CADEFIHUILA</t>
  </si>
  <si>
    <t>CENTRALES DE BENEFICIO</t>
  </si>
  <si>
    <t>SILOS DE 2 TON/DIA</t>
  </si>
  <si>
    <t>TORREFACTORAS Y LABORATORIO</t>
  </si>
  <si>
    <t>SILOS</t>
  </si>
  <si>
    <t>EMPACADORAS DE FRIJOL</t>
  </si>
  <si>
    <t>Revisión y Estructuración proyecto "DOTACION DE MAQUINARIA Y EQUIPOS A PRODUCTORES DE CAFÉ, FRIJOL Y ARROZ PARA LA TRANSFORMACION DE PRODUCTOS AGROPECUARIOS EN EL DEPARTAMENTO DEL HUILA".</t>
  </si>
  <si>
    <t>No. De Beneficiarios</t>
  </si>
  <si>
    <t>No. Asociaciones</t>
  </si>
  <si>
    <t>DESCRIPCION</t>
  </si>
  <si>
    <t>UNIDAD</t>
  </si>
  <si>
    <t>APORTE GOBERNACION</t>
  </si>
  <si>
    <t>APORTE FENEALCE</t>
  </si>
  <si>
    <t>EQUIPOS PARA FRIJOL</t>
  </si>
  <si>
    <t>SUMINISTRO DE EMPAQUETADORAS DE FRIJOL. 30 EMPAQUES X MINUTO DE 500 O 1000 GR</t>
  </si>
  <si>
    <t>UND</t>
  </si>
  <si>
    <t>KG</t>
  </si>
  <si>
    <t>EMPAQUE - BOLSA PLASTICA TUBULAR IMPRESA POR AMBAS CARAS A CUATRO TINTAS PARA EMPACADO DE FRIJOL EN PRESENTACION DE BOLSAX500GR BOLSA X 1000 GR</t>
  </si>
  <si>
    <t>MES</t>
  </si>
  <si>
    <t>ASISTENCIA TECNICA</t>
  </si>
  <si>
    <t>TALLERES DE FORTALECIMIENTO DE CAPACIDADES SOCIO-EMPRESARIALES A LOS BENEFICIARIOS DEL PROYECTO. PROFESIONAL SOCIOEMPRESARIAL.</t>
  </si>
  <si>
    <t>CAPACITACIÓN A LOS AGRICULTORES EN MANEJO DEL CULTIVO DE FRIJOL. PROFESIONAL EN AGRONOMÍA.</t>
  </si>
  <si>
    <t xml:space="preserve">TALLER EN EL QUE SE ABORDAN LOS TEMAS SOCIOEMPRESARIAL, ORGANIZACIONAL, LÍDERAZGO, MOTIVACIONAL, MERCADEO Y COMERCIALIZACIÓN. ASÍ COMO EL MANEJO DEL CULTIVO DE FRIJOL SIEMBRA DE FRIJOL, NUTRICIÓN DEL CULTIVO, CONTROL DE MALEZAS, CONTROL INTEGRADO DE PLAGAS Y CONTROL PREVENTIVO DE ENFERMEDADES DEL CULTIVO. </t>
  </si>
  <si>
    <t>ACTIVIDADES DE APOYO A LA COMERCIALIZACIÓN</t>
  </si>
  <si>
    <t>UNA (1) RUEDA DE NEGOCIO CON AGRICULTORES DE FRIJOL, ASOCIACIONES  Y LA INDUSTRIA Y/O COMERCIALIZADORES DE LA REGIÓN.</t>
  </si>
  <si>
    <t>PAGO REGISTRO SANITTARIO INVIMA PARA EMPAQUETADO Y COMERCIALIZACIÓN DE FRIJOL.</t>
  </si>
  <si>
    <t>CARACTERIZACIÓN COMERCIAL DE LOS PRODUCTORES Y SU RED DE COMERCIALIZACIÓN DE FRIJOL A NIVEL LOCAL - DOCUMENTO.</t>
  </si>
  <si>
    <t>I</t>
  </si>
  <si>
    <t>PRODUCTO FRIJOL</t>
  </si>
  <si>
    <t>II</t>
  </si>
  <si>
    <t>PRODUCTO CAFÉ</t>
  </si>
  <si>
    <t>PRESUPUESTO</t>
  </si>
  <si>
    <t>PRODUCTO ARROZ</t>
  </si>
  <si>
    <t>APORTE ASOJUNCAL</t>
  </si>
  <si>
    <t>PLANTA COMPACTA DEPILADORA DE ARROZ CON CAPACIDAD MINIMA DE 1000 KG/HORA, A 220 V.  (MIN.- 24 TON/DIA). SOBRE PLATAFORMA DE ACERO</t>
  </si>
  <si>
    <t>EQUIPOS PARA ARROZ</t>
  </si>
  <si>
    <t>EQUIPOS PARA SECADO DE CAFÉ</t>
  </si>
  <si>
    <t>SISTEMA DE SECADO PARA PERGAMINO HUMEDO DE CAFÉ TIPO ROTATIVO Y/O DE TORRE CON CAPACIADAD PARA 1 TONELADA DE PERGAMINO SECO</t>
  </si>
  <si>
    <t>SISTEMA DE SECADO PARA PERGAMINO HUMEDO DE CAFÉ TIPO ROTATIVO Y/O DE TORRE CON CAPACIADAD PARA 2 TONELADA DE PERGAMINO SECO</t>
  </si>
  <si>
    <t>SILOS DE 3 TON/DIA</t>
  </si>
  <si>
    <t>EQUIPOS PARA TOSTION</t>
  </si>
  <si>
    <t>TRILLADORA DE CAFÉ PERGAMINO SECO DE FLUJO CONTINUO, CAPACIDAD 150 KG/Hr, MOTOR 2,0 HP A 1750 RPM MONOFAASICO (110V-220V) 60Hz; SWITCH ON - OFF; DIMENSIONES 130CM(ALTO) X 20 CM(ANCHO) X 70CM(PROFUNDIDAD); EN ACERO INOXIDABLE, PINTURA ELECTROSTATICA Y CROMO</t>
  </si>
  <si>
    <t>MOLINO PARA CAFÉ, CAPACIDAD 30 KG/Hr; MOTOR 3/4 HP 120V 60Hz 9AMP, SWITCH ON-OFF SISTEMA DE SEGURIDAD PARA ENCENDIDO CON BOLSA UBICADA; 69,1CM (ALTO) X 18,8CM (ANCHO) X 40,4CM (PROFUNDIDAD); EN ACERO INOXIDABLE, ACERO AL CARBON Y PLASTICO; INCLUYE ACCESORIOS</t>
  </si>
  <si>
    <t>SELLADORA AUTOMATICA DE CALOR CONSTANTE PARA BOLSAS PLASTICAS; CAPCIADAD 25 BOLSAS X MINUTO; REDUCTOR 40 W MONOFASICO 110V 60Hz; CON CONTROLADOR DE TEMPERATURA, SWITCH ON-OFF; 35CM (ALTO) X 30CM (ANCHO) X 40CM (PROFUNDIDAD); PINTURA ELECTROSTATICA Y BRONCE; PESO 8 KG. INCLUYE ACCESORIOS</t>
  </si>
  <si>
    <t>ZARANDA SELECCIONADOR POR TAMAÑO PARA CAFÉ TIPO ALMENDRA; CAPCAIDAD 600 KG/Hr; MOTOR 3/4 HP 1750 RPM MONOFASICO (110V-220V) 60 Hz; 100CM (ALTO) X 80CM (ANCHO) X 200CM (PROFUNDIDAD); ZARANDAS EN ALUMINIO INOCUO, ACERO INOXIDABLE Y PINTURA ELECTROSTATICA; PESO 100 KG. INCLUYE ACCESORIOS</t>
  </si>
  <si>
    <t>TOSTADORA PARA CAFÉ A GAS PROPANO, CAPCIDAD DE 6KG POR BACHE (15-20 MINUTOS) A 110V - 60Hz, CON TABLERO ELECTRICO CON INDICADOR DE TEMPERATURA, ON-OFF MOTORES. DIMENSION 110CM(ALTO) X 77CM(ANCHO) X 115CM(PRODUNDIDAD), EN ACERO INOXDABLE QUE CUMPLA NORMA PARA ALIMENTOS. PESO MAX. 100KG. INCLUYE ACCESORIOS</t>
  </si>
  <si>
    <t>EQUIPOS PARA LABORATORIO DE CAFÉ</t>
  </si>
  <si>
    <t>SILOS CADEFIHUILA Y COOCENTRAL</t>
  </si>
  <si>
    <t>BALANZA ELECTRONICA DE PRESICION (0,1 - 1000 Gr)</t>
  </si>
  <si>
    <t>DETERMINADOR DE HUMEDAD PARA VARIOS GRANOS, CON INDICACION DE % DE HUMEDAD Y TEMPERATURA DE LA MUESTRA EN FORMA DIGITAL</t>
  </si>
  <si>
    <t>TOSTADORA LABORARTORIO PARA CAFÉ A GAS PROPANO, CAPACIADAD 80-100 GR DE CAFÉ VERDE ALMENDRA</t>
  </si>
  <si>
    <t>MOLINO PARA CAFÉ, CAPACIDAD TOLVA 2 LBS, MOLIENDA RAPIDA 2 LBS/60 SEGUNDOS, CON AJUSTE PARA GRANULOMETRIAS DIFERENTES, 120 V 1320W 11 Amp, 17,8CM (ANCHO) X 87,2CM (ALTO) X 40,2CM (PROFUNDIDAD)</t>
  </si>
  <si>
    <t>CAFETERA CON COMPONENTES INTERNOS EN ACERO INOXIDABLE, CON CAPACIADAD PARA TERMOS DE 1,9 A 2,5 L; 110V 1320W 11 Amp; CAPCAIDAD 14,4 L/HORA</t>
  </si>
  <si>
    <t>CALENTADOR DE AGUA, CAPACIDAD 2 GLN; 110V 1800W 15 Amp; PESO 10,4 KG; 18CM (ANCHO) X 61CM (ALTO) X 36,3CM (PROFUNDIDAD)</t>
  </si>
  <si>
    <t>SISTEMA FILTRANTE, CAPACIDAD DE FILTRACION DE AGUA 5 GPM (18,9 Lpm); PRESION DEL AGUA 10-125 PSI. (certificado NSF / ANSI Standard 53 para reducir quistes como Cryptosporidium y Giardia por medios mecánicos; acreditado por la ISO 17025 sobre la capacidad para reducir el 99.999% de Pseudomonas diminuta, siguiendo el ASTM F838-05 y sobre filtros de grado esterilizante con el protocolo para la validación de 0.2 μm.)</t>
  </si>
  <si>
    <t>JARRA TERMO 1,9 L; EN ACERO INOXIDABLE, MANIJA PLASTICA; PESO 1,5 KG; 18,4CM (ALTO) X 16,5CM (ANCHO)</t>
  </si>
  <si>
    <t xml:space="preserve">LIMPIADOR EQUIPOS DE CAFÉ; PRESENTACION 120 TABLETAS; 1 TABLETA PARA 6 L DE AGUA LIMPIA </t>
  </si>
  <si>
    <t>KIT NARIZ DEL CAFÉ; 36 FRASCOS CON AROMAS</t>
  </si>
  <si>
    <t xml:space="preserve">CUCHARA CATACION SENCILLA EN ACERO INOXIDABLE; DIAMETRO 4 CM; MANGO 10,5CM </t>
  </si>
  <si>
    <t>CUCHARA PARA MUESTRA DE TOSTADORA; EN ACERO INOXIDABLE</t>
  </si>
  <si>
    <t>CRONOMETRO DIGITAL PARA LABORATORIO; Max cuenta regresiva 99 min 59 Seg.</t>
  </si>
  <si>
    <t>TERMOHIGROMETRO DIGITAL</t>
  </si>
  <si>
    <t>BANDEJA PARA MUESTRA DE CAFÉ, CAPCIDAD 150 A 200 GR</t>
  </si>
  <si>
    <t>SONDA CHUZO PARA CAFÉ PERGAMINO SECO, 1 1/4" (DIAMETRO) X 75 CM (LARGO); EN CROMO</t>
  </si>
  <si>
    <t>COLORIMETRO DIGITAL PARA CAFÉ</t>
  </si>
  <si>
    <t xml:space="preserve">JUEGO DE MALLAS O TAMICES (7 TAMICES DE 12/64” – 13/64”– 14/64”  – 15/64” – 16/64”  -17/64”– 18/64”), EN Coll rolled calibre 22 y bordes en madera; INCLUYE Malla 0 o base y tapa </t>
  </si>
  <si>
    <t>MOMOGENIZADOR TIPO BOERNER; FABRICADO EN Bronce y Acero inoxidable; CAPACIDAD Pergamino: 10 kg, Almendra: 3 kg.</t>
  </si>
  <si>
    <t>TOTAL IVA INCLUIDO</t>
  </si>
  <si>
    <t>FORMATO CARACERIZACION</t>
  </si>
  <si>
    <t>FORMATO CONCERTACION</t>
  </si>
  <si>
    <t>ENVIADOS</t>
  </si>
  <si>
    <t>RECIBIDOS</t>
  </si>
  <si>
    <t>X</t>
  </si>
  <si>
    <t>Apoyo a la supervisón</t>
  </si>
  <si>
    <t xml:space="preserve">MES </t>
  </si>
  <si>
    <t>TOTAL GENERAL</t>
  </si>
  <si>
    <t>SISTEMA DE SECADO PARA PERGAMINO HUMEDO DE CAFÉ TIPO ROTATIVO Y/O DE TORRE CON CAPACIADAD PARA 3 TONELADA DE PERGAMINO SECO</t>
  </si>
  <si>
    <t>TRILLADORA DE CAFÉ PERGAMINO SECO DE FLUJO CONTINUO, CAPACIDAD 180 KG/Hr, MOTOR 1,5 HP A 1750 RPM MONOFASICO (110V-220V) 60Hz; SWITCH ON - OFF; DIMENSIONES 133CM(ALTO) X 40 CM(ANCHO) X 90CM(PROFUNDIDAD); EN ACERO INOXIDABLE, PINTURA ELECTROSTATICA Y CROMO</t>
  </si>
  <si>
    <t>ZARANDA SELECCIONADOR POR TAMAÑO PARA CAFÉ TIPO ALMENDRA; CAPCAIDAD 100-300 KG/Hr; MOTOR 3/4 HP 1750 RPM MONOFASICO (110V-220V) 60 Hz; 104CM (ALTO) X 88CM (ANCHO) X 180CM (PROFUNDIDAD); ZARANDAS EN ALUMINIO INOCUO, ACERO INOXIDABLE Y PINTURA ELECTROSTATICA; PESO 100 KG. INCLUYE ACCESORIOS</t>
  </si>
  <si>
    <t>SUMINISTRO DE EMPAQUETADORAS DE FRIJOL. 30 EMPAQUES X MINUTO DE 500 O 1000 GR, Incluye Sirel para impresión de alta velocidad Y diseño de publicidad para empaque en polietileno</t>
  </si>
  <si>
    <t>EMPAQUE - BOLSA PLASTICA TUBULAR DE BAJA DENSIDAD DE 6" ANCHO IMPRESA POR AMBAS CARAS A CUATRO TINTAS PARA EMPACADO DE FRIJOL EN PRESENTACION DE BOLSAX500GR BOLSA X 1000 GR</t>
  </si>
  <si>
    <t>SELLADORA AUTOMATICA DE CALOR CONSTANTE PARA BOLSAS PLASTICAS; CAPCIADAD 25 BOLSAS X MINUTO; REDUCTOR 40 W MONOFASICO 110V 60Hz; CON CONTROLADOR DE TEMPERATURA, SWITCH ON-OFF; 25CM (ALTO) X 18CM (ANCHO) X 25CM (PROFUNDIDAD); PINTURA ELECTROSTATICA Y BRONCE; PESO 8 KG. INCLUYE ACCESORIOS</t>
  </si>
  <si>
    <t>ACEVEDO</t>
  </si>
  <si>
    <t xml:space="preserve">TERUEL </t>
  </si>
  <si>
    <t xml:space="preserve">COLOMBIA </t>
  </si>
  <si>
    <t xml:space="preserve">NEIVA </t>
  </si>
  <si>
    <t xml:space="preserve">TIMANA </t>
  </si>
  <si>
    <t>HOMOGENIZADOR TIPO BOERNER; FABRICADO EN Bronce y Acero inoxidable; CAPACIDAD Pergamino: 10 kg, Almendra: 3 kg.</t>
  </si>
  <si>
    <t>PITALITO</t>
  </si>
  <si>
    <t>TARQUI</t>
  </si>
  <si>
    <t>BENEFICIARIOS</t>
  </si>
  <si>
    <t>AREA SEMBRADA</t>
  </si>
  <si>
    <t>LABORATORIO</t>
  </si>
  <si>
    <t>TALLERES INMCAFF</t>
  </si>
  <si>
    <t>NUEVA DIRECCION</t>
  </si>
  <si>
    <t>CALLE 72b No 83a-10 sur</t>
  </si>
  <si>
    <t>Tel: 3133999739</t>
  </si>
  <si>
    <t>NIT. 80245515-4 REGIMEN SIMPLIFICADO</t>
  </si>
  <si>
    <t>Bogotá</t>
  </si>
  <si>
    <t xml:space="preserve">TEL/FAC: </t>
  </si>
  <si>
    <t>CIUDAD:        NEIVA</t>
  </si>
  <si>
    <t>CONTACTO: DILBERTO TRUJILLO DUSSAN</t>
  </si>
  <si>
    <t xml:space="preserve">CORREO:       sec.agricultura@huila.gov.co  </t>
  </si>
  <si>
    <t>CLIENTE:        SECRETARIA DE AGRICULTURA Y MINERIA - GOB. HUILA</t>
  </si>
  <si>
    <t>OFERTA</t>
  </si>
  <si>
    <t>FECHA:</t>
  </si>
  <si>
    <t>Nuestra compañía pone a disposición de sus clientes equipos diseñados y elaborados con talento humano altamente calificado, materiales de alta calidad y su bien mas preciado la experiencia que va del principio al final del ciclo productivo del café, para que potencialicen su portafolio de negocios.</t>
  </si>
  <si>
    <t>Apreciados Señores, a continuacion pongo a su consideracion la siguiente oferta:</t>
  </si>
  <si>
    <t>EQUIPOS DE LABORATORIO Y DE PROCESAMIENTO PARA CAFÉ</t>
  </si>
  <si>
    <t>Plazo de Entrega</t>
  </si>
  <si>
    <t>Forma de Pago</t>
  </si>
  <si>
    <t>Garantia por Fabricación</t>
  </si>
  <si>
    <t>Validez de la Oferta</t>
  </si>
  <si>
    <t>1 año por defectos de fabricación</t>
  </si>
  <si>
    <t>30 días</t>
  </si>
  <si>
    <t>El despacho se efectuará desde fábrica dentro de los 105 Dias habiles siguientes a la fecha de recibo en orden del giro directo, y orden de compra.</t>
  </si>
  <si>
    <t>50% primer pago
50% Al momento de la entrega
Los pagos deberán hacerse a nombre de: WILMER PAEZ AGUIRRE en Bancolombia cuenta de ahorros No 10081542096</t>
  </si>
  <si>
    <t xml:space="preserve">VALOR TOTAL DE LA OFERTA IVA INLCUIDO              </t>
  </si>
  <si>
    <t>AIU</t>
  </si>
  <si>
    <t>%</t>
  </si>
  <si>
    <t>MIN</t>
  </si>
  <si>
    <t>LBS</t>
  </si>
  <si>
    <t>KG/HR</t>
  </si>
  <si>
    <t>KG/DIA</t>
  </si>
  <si>
    <t>KG/MES</t>
  </si>
  <si>
    <t>T/AÑO</t>
  </si>
  <si>
    <t>FRIJOL</t>
  </si>
  <si>
    <t>FORTALECIMIENTO TÉCNICO PARA LA TRANSFORMACION DE PRODUCTOS AGROPECUARIOS DE LOS SECTORES CAFETERO y CEREALERO MEDIANTE LA DOTACIÓN DE ACTIVOS PRODUCTIVOS A PEQUEÑOS Y MEDIANOS PRODUCTORES EN EL DEPARTAMENTO DEL HUILA</t>
  </si>
  <si>
    <t>Sonido, video beam, micrófonos inalámbricos y equipos necesarios para el desarrollo 
del evento un día</t>
  </si>
  <si>
    <t>REFRIGERIOS PARA 100 PERSONAS JORNADA MAÑANA Y TARDE</t>
  </si>
  <si>
    <t>AUDITORIO SALON CAPCIDAD 100 PERSONAS (MESAS Y SILLAS)</t>
  </si>
  <si>
    <t>PUBLICIDAD DEL EVENTO (1 PASACALLE 6MTS X 1 MTS Y 25 PENDONES 1 MTS X 1,2 MTS - BANNER FULL COLOR)</t>
  </si>
  <si>
    <t>ASOPRIMAVERAL</t>
  </si>
  <si>
    <t>AGROMESON</t>
  </si>
  <si>
    <t xml:space="preserve">ACEVEDO </t>
  </si>
  <si>
    <t>APROJUN</t>
  </si>
  <si>
    <t>JOVENES CAFETEROS DE TERUEL</t>
  </si>
  <si>
    <t>ASOCIACION DE PRODUTORES LA VICTORIA</t>
  </si>
  <si>
    <t>ASOPROGRESO</t>
  </si>
  <si>
    <t>MUJERES CAFETERAS DEL NOROCCIDENTE DEL HUILA</t>
  </si>
  <si>
    <t>AMURAPAZ</t>
  </si>
  <si>
    <t>FENALCE</t>
  </si>
  <si>
    <t>SILOS DE 5 TON/DIA</t>
  </si>
  <si>
    <t>JOTA GALLO</t>
  </si>
  <si>
    <t>SISTEMA DE SECADO PARA PERGAMINO HUMEDO DE CAFÉ TIPO TORRE CON CAPACIADAD PARA 1 TONELADA (80@) C.P.S (Café Pergamino Seco)</t>
  </si>
  <si>
    <t>SISTEMA DE SECADO PARA PERGAMINO HUMEDO DE CAFÉ TIPO ROTATIVO CON CAPACIADAD PARA 2 TONELADA (160@) C.P.S (Café Pergamino Seco)</t>
  </si>
  <si>
    <t>SISTEMA DE SECADO PARA PERGAMINO HUMEDO DE CAFÉ TIPO DE TORRE CON CAPACIADAD PARA 3 TONELADA (240@) C.P.S (Café Pergamino Seco)</t>
  </si>
  <si>
    <t>SISTEMA DE SECADO PARA PERGAMINO HUMEDO DE CAFÉ TIPO DE TORRE CON CAPACIADAD PARA 5 TONELADA (400@) C.P.S (Café Pergamino Seco)</t>
  </si>
  <si>
    <t>AGROCIVILES DE TORRE</t>
  </si>
  <si>
    <t>AGROCIVILES ROTATIVO</t>
  </si>
  <si>
    <t>JULIO 2022/298</t>
  </si>
  <si>
    <t>PROMAIN INGENIERIA</t>
  </si>
  <si>
    <t>JOSERREGO</t>
  </si>
  <si>
    <t>MAQUINAS AGROINDUSTRIALES</t>
  </si>
  <si>
    <t>INSAK SAS</t>
  </si>
  <si>
    <t>PROVEEDORES QUE OFERTARON</t>
  </si>
  <si>
    <t>CRITERIOS DE SELECCIÓN</t>
  </si>
  <si>
    <t>OFERTA SELECCIONADA</t>
  </si>
  <si>
    <t>ANALISIS DE LA OFERTA</t>
  </si>
  <si>
    <t>RESULTADO DEL ANALISIS</t>
  </si>
  <si>
    <t>ESTUDIO DE MERCADO</t>
  </si>
  <si>
    <t>CUADRO COMPARATIVO Y ESTUDIO DE MERCADO PARA LOS EQUIPOS Y ELEMENTOS A SUMINISTRAR EN EL MARCO DEL PROYECTO: FORTALECIMIENTO TÉCNICO PARA LA TRANSFORMACION DE PRODUCTOS AGROPECUARIOS DE LOS SECTORES CAFETERO y CEREALERO MEDIANTE LA DOTACIÓN DE ACTIVOS PRODUCTIVOS A PEQUEÑOS Y MEDIANOS PRODUCTORES EN EL DEPARTAMENTO DEL HUILA</t>
  </si>
  <si>
    <t>PRESUPUESTO DE EQUIPOS Y ELEMENTOS PARA EL PROYECTO: FORTALECIMIENTO TÉCNICO PARA LA TRANSFORMACION DE PRODUCTOS AGROPECUARIOS DE LOS SECTORES CAFETERO y CEREALERO MEDIANTE LA DOTACIÓN DE ACTIVOS PRODUCTIVOS A PEQUEÑOS Y MEDIANOS PRODUCTORES EN EL DEPARTAMENTO DEL HUILA</t>
  </si>
  <si>
    <t>TOTAL COSTO DIRECTO</t>
  </si>
  <si>
    <t>1. Las tres (3) cotizaciones corresponden a los requerimientos definidos en el Presupuesto del proyecto y corresponde a equipos fabricados en acero inoxidable identificados como los necesarios para ser utilizados en el proyecto. 
2. El valor de los precios ofrecidos incluye la carga impositiva legal en el caso que aplique.
3. Los valores cotizados por cada uno de los oferentes  difieren  considerablemente, y deben ser considerados a la hora de seleccionar la mejor cotización, conforme las especificaciones técnicas difieren en cada propuesta, lo cual indica tambien un factor a tener en cuenta.
4. Las condiciones cotizadas difieren entre sí en cuanto a lugar de entrega de los equipos, uno cotiza con entregas en los municipios beneficiados y las otras dos en el sitio de fabricación, los tiempos de validez de oferta son diferentes,  los precios presentan variaciones considerables; algunas ofrecen garantias hasta de 6 mese por defectos de fabricación elemento a tener en cuenta como valor agregado, algunos ofrecen kit de repuestos como valor agregado, servicio de intalación y capacitación en operación incluido dentro del costo, para tener en cuenta en la selección.
5. Dos de las empresas no cotizan el suministro de empaques.</t>
  </si>
  <si>
    <t xml:space="preserve">1. Las tres (3) cotizaciones corresponden a los requerimientos definidos en el Presupuesto del proyecto identificados como los necesarios para ser utilizados en el proyecto, sin embargo con diferentes formas de operación cada uno, una empresa presenta dos (2) ofertas con equipos diferentes para el mismo fin y con las mismas capacidades de secado, la otra con capacidades superiores a las solicitadas. 
2. El valor de los precios ofrecidos incluye la carga impositiva legal en el caso que aplique.
3. Los valores cotizados por cada uno de los oferentes  difieren  considerablemente, y deben ser considerados a la hora de seleccionar la mejor cotización, conforme las especificaciones técnicas difieren en cada propuesta, lo cual indica tambien un factor a tener en cuenta.
4. Las condiciones cotizadas difieren entre sí en cuanto a lugar de entrega de los equipos, uno cotiza con entregas en los municipios beneficiados y las otras dos en el sitio de fabricación (Neiva - Huila), los tiempos de validez de oferta son iguales,  los precios presentan variaciones considerables; ninguna empresa ofrece garantia por defectos de fabricación elemento a tener en cuenta como valor agregado, Un proponente ofrece servicio de intalación y capacitación en operación incluido dentro del costo para tener en cuenta en la selección.
</t>
  </si>
  <si>
    <t xml:space="preserve">
1. Solo (1) Una de las (3) cotizaciones corresponden a la totalidad de los requerimientos definidos en el Presupuesto del proyecto que fueron identificados como los necesarios para ser utilizados en el proyecto, una cotiza algunos elementos y la tercera solo cotiza un equipo. 
2. El valor de los precios ofrecidos incluye la carga impositiva legal en el caso que aplique.
3. Los valores cotizados por cada uno de los oferentes  difieren  considerablemente, y deben ser considerados a la hora de seleccionar la mejor cotización, conforme las especificaciones técnicas varian para algunos productos, es decir se deben tener en cuenta cada una de las caracteristicas definidas para poder tomar decisiones.
4. Las condiciones cotizadas difieren entre sí en cuanto a lugar de entrega de los equipos, uno cotiza con entregas en en las instalaciones del cliente y las otras dos en el sitio de fabricación, los tiempos de validez de oferta son diferentes para todos,  los precios presentan variaciones considerables; algunas ofrecen garantias hasta de 2 año por defectos de fabricación elemento a tener en cuenta como valor agregado.</t>
  </si>
  <si>
    <r>
      <t xml:space="preserve">
</t>
    </r>
    <r>
      <rPr>
        <sz val="8"/>
        <rFont val="Calibri"/>
        <family val="2"/>
        <scheme val="minor"/>
      </rPr>
      <t xml:space="preserve">Una vez revisadas y analizadas cada una de las cotizaciones presentadas se realiza la selección de la que fuera más favorable para el proyecto.
</t>
    </r>
    <r>
      <rPr>
        <sz val="8"/>
        <color rgb="FFFF0000"/>
        <rFont val="Calibri"/>
        <family val="2"/>
        <scheme val="minor"/>
      </rPr>
      <t xml:space="preserve">
</t>
    </r>
    <r>
      <rPr>
        <sz val="8"/>
        <rFont val="Calibri"/>
        <family val="2"/>
        <scheme val="minor"/>
      </rPr>
      <t xml:space="preserve">Se evalua y comparan los precios ofertados y las condiciones particulares de cada uno Vs el valor estimado de presupuesto para su adquisición. De lo anterior, se pudo establecer que la oferta mas favorable para la institución y para el proyecto es la cotización presentada por la firma </t>
    </r>
    <r>
      <rPr>
        <b/>
        <sz val="8"/>
        <rFont val="Calibri"/>
        <family val="2"/>
        <scheme val="minor"/>
      </rPr>
      <t>TALLERES INMCAFF</t>
    </r>
    <r>
      <rPr>
        <sz val="8"/>
        <rFont val="Calibri"/>
        <family val="2"/>
        <scheme val="minor"/>
      </rPr>
      <t xml:space="preserve"> en razón  a que  es la cotización de menor valor, y los equipos propuestos son los que cumplen con las caracteristicas técnicas solicitadas por la institución.</t>
    </r>
  </si>
  <si>
    <r>
      <t xml:space="preserve">Una vez revisadas y analizadas cada una de las cotizaciones presentadas se realiza la selección de la que fuera más favorable para el proyecto.
Se evalua y comparan los precios ofertados y las condiciones particulares de cada uno Vs el valor estimado de presupuesto para su adquisición. De lo anterior, se pudo establecer que la oferta mas favorable para la institución y para el proyecto es la cotización presentada por la firma </t>
    </r>
    <r>
      <rPr>
        <b/>
        <sz val="8"/>
        <color theme="1"/>
        <rFont val="Calibri"/>
        <family val="2"/>
        <scheme val="minor"/>
      </rPr>
      <t>AGROCIVILES</t>
    </r>
    <r>
      <rPr>
        <sz val="8"/>
        <color theme="1"/>
        <rFont val="Calibri"/>
        <family val="2"/>
        <scheme val="minor"/>
      </rPr>
      <t xml:space="preserve"> en razón  a que  Es la cotización de menor valor con cobertura local, lo que facilita adecuado seguimiento a la operación de los equipos.</t>
    </r>
  </si>
  <si>
    <r>
      <t xml:space="preserve">Una vez revisadas y analizadas cada una de las cotizaciones presentadas se realiza la selección de la que fuera más favorable para el proyecto.
Se evalua y comparan los precios ofertados y las condiciones particulares de cada uno Vs el valor estimado de presupuesto para su adquisición. De lo anterior, se pudo establecer que la oferta mas favorable para la institución y para el proyecto es la cotización presentada por la firma </t>
    </r>
    <r>
      <rPr>
        <b/>
        <sz val="8"/>
        <color theme="1"/>
        <rFont val="Calibri"/>
        <family val="2"/>
        <scheme val="minor"/>
      </rPr>
      <t xml:space="preserve">JOSERREGO SAS  </t>
    </r>
    <r>
      <rPr>
        <sz val="8"/>
        <color theme="1"/>
        <rFont val="Calibri"/>
        <family val="2"/>
        <scheme val="minor"/>
      </rPr>
      <t>en razón  a que precisan qué se encargan de los costos de transporte para entrega de los elementos a adquirir, Es la cotización de menor valor con cobertura de garantia sobre defectos de fabricación de los elementos hasta por Seis (6) meses.</t>
    </r>
  </si>
  <si>
    <t>TECNOLOGÍA EN MAQUINARIA DE EMPAQUE - TME</t>
  </si>
  <si>
    <t>ASOBOQUERON</t>
  </si>
  <si>
    <t xml:space="preserve">ALIMUCAES </t>
  </si>
  <si>
    <t>COLOMBIA (EL PLAYON)</t>
  </si>
  <si>
    <t>COLOMBIA (BOQUERON)</t>
  </si>
  <si>
    <t>ZAHO</t>
  </si>
  <si>
    <t>ATCH</t>
  </si>
  <si>
    <t>MUJERES EMPRENDEDORAS DE TERUEL</t>
  </si>
  <si>
    <t xml:space="preserve">PALERMO </t>
  </si>
  <si>
    <t xml:space="preserve">ASOPROSAM </t>
  </si>
  <si>
    <t xml:space="preserve">NEIVA (AIPECITO) </t>
  </si>
  <si>
    <t>H</t>
  </si>
  <si>
    <t>M</t>
  </si>
  <si>
    <t>SISTEMA DE SECADO PARA PERGAMINO HUMEDO DE CAFÉ TIPO TORRE CON CAPACIADAD PARA 2 TONELADA (160@) C.P.S (Café Pergamino Seco)</t>
  </si>
  <si>
    <t>MUNICPIOS</t>
  </si>
  <si>
    <t>LOCALIZACION ESPECIFICA</t>
  </si>
  <si>
    <t>Victoria, Corinto, Rosario, Santo Domingo, El Carmen, La Esmeralda, Primavera, Villanueva, Marticas, Las Mercedes, Horizonte, Minas, Bolivar, Los Angeles</t>
  </si>
  <si>
    <t>El Vergel, La lindosa, Bajo San Pedro, El Jordán, El Mirador, Alto San Pedro, El Dorado, La Lupa, Alto Paraguay, Los Pinos, Horizonte, Guasimos, El Libano, La Florida, Alto Pinares, Brisas del Carmen, Ospina Perez</t>
  </si>
  <si>
    <t>Yarumal, Primavera, Beberrecio, Corrales, La Maria, Estambul, La Floresta, Arrayanes, Rio Iquira, Pedernal, Gualpi, San José,  Alto Primavera, Paraiso, Portachuelo, Sinai, Yarumal</t>
  </si>
  <si>
    <t>Las Mercedes, Zaragoza, El Playón, Armenia, Bernaza, San Ambrosio, Potrero Grande, Azucaral, Boquerón, El Valle, Antillas, Holanda, El Paraiso, Santa Ana, Nueva Granada, San Emilio</t>
  </si>
  <si>
    <t>Santa Marta, Buenos Aires, El Porvenir, El Roble, San Miguel</t>
  </si>
  <si>
    <t>El Recreo, Alto Carmelo, Alto Líbano, Los Olivos, Campoalegre, La Florida, Uvital</t>
  </si>
  <si>
    <t>Lavaderos, La Argelia, Arauca 1, Las Delicias</t>
  </si>
  <si>
    <t>El Jaho, El Quebradon, San Isidro, San Francisco, Valencia de la Paz, El Jardin, Nazared, Rio Iquira,</t>
  </si>
  <si>
    <t>Las Juntas, El Jordan</t>
  </si>
  <si>
    <t>Canoas, Primavera, Palestina, Los Alpes, San Miguel, Aipecito</t>
  </si>
  <si>
    <t xml:space="preserve">La Primavera, San Miguel, San José, Canaan, El Placer, El Cedral, Santa Helena, Los Andes, La Neira, El Cisne, Los Pinos, La Esmeralda, Santa Librada, El Placer, El Vergel, La María, El Milan, Bache, El Censo, Mirador, El Encanto, </t>
  </si>
  <si>
    <t>San Marcos, Palmito, Cascajal, Santa Barbara, Pantanos, Diviso</t>
  </si>
  <si>
    <t>Crecer en el desarrollo de su actividad productiva y mejorar las condiciones de calidad de vida de sus asociados</t>
  </si>
  <si>
    <t>Le asiste la responsabilidad e velar por el eficiente desarrollo de la actividad productiva a la que se dedica, como aporte a la economia regional independientemente de quienes sean sus asociados, articulando así la politica que desarrolla el departamento y la nación.</t>
  </si>
  <si>
    <t>NOMBRE DE ASOCIACIONES</t>
  </si>
  <si>
    <t>ASOCIACION DE PRODUCTORES PRIMAVERAL “ASOPRIMAVERAL”.</t>
  </si>
  <si>
    <t>ASOCIACION DE MUJERES CAFETERAS DEL MUNICIPIO DE PALERMO – NOROCCIDENTE DEL HUILA “ASOMUCAFE”</t>
  </si>
  <si>
    <t>“ASOCIACION JOVENES CAFETEROS DE TERUEL”</t>
  </si>
  <si>
    <t>“GRUPO ASOCIATIVO DE CAFETEROS LA VICTORIA”</t>
  </si>
  <si>
    <t>FEDERACIÓN NACIONAL DE CULTIVADORES DE CEREALES, LEGUMINOSAS Y SOYA “FENALCE”</t>
  </si>
  <si>
    <t>EQUIPOS DE SECADO</t>
  </si>
  <si>
    <t>“ASOCIACION Y ALIANZA DE MUJERES CAFETERAS DE COLOMBIA – ALIMUCAES”</t>
  </si>
  <si>
    <t>“GRUPO ASOCIATIVO DE CAFETEROS DE CAFÉ ESPECIAL EL BOQUERON”</t>
  </si>
  <si>
    <t>“ASOCIACION DE MUJERES CAFETERAS AGRARIAS EL PROGRESO DE VALENCIA DE LA PAZ – ASOMCAV”</t>
  </si>
  <si>
    <t>“ASOCIACION DE PRODUCTORES AGROPECUARIOS LAS JUNTAS DEL MUNICIPIO DE TELLO – APROJUN”</t>
  </si>
  <si>
    <t>“ASOCIACION AGROPECUARIA EL MEZON DE NEIVA – AGROMEZON”</t>
  </si>
  <si>
    <t>“ASOCIACION AGROPECUARIA ZAHO”</t>
  </si>
  <si>
    <t>“ASOCIACION DE MUJERES RURALES DE AIPECITO POR LA PAZ - AMURAPAZ”</t>
  </si>
  <si>
    <t>“ASOCIACION DE MUJERES EMPRENDEDORAS AGROPECUARIAS DEL MUNICIPIO DE TERUEL - EMCATE”</t>
  </si>
  <si>
    <t>“ASOCIACION DE PRODUCTORES AGROPECUARIOS BUSCANDO CALIDAD DE VIDA DEL MUNICIPIO DE TIMANA – ASOPROSAM”</t>
  </si>
  <si>
    <t>“ASOCIACION DE TRABAJADORES CAMPESINOS DEL HUILA SUB DIRECTIVA PALERMO - ATCH”</t>
  </si>
  <si>
    <t>TIPOS Y CANTIDAD DE EQUIPOS POR ASOCIACION DE PRODUCTORES</t>
  </si>
  <si>
    <t>MUNICIPIO</t>
  </si>
  <si>
    <t>NUMERO DE PRODUCTORES POR MUNICIPIO</t>
  </si>
  <si>
    <t>ING. FREDDY ALEXANDER GONZALEZ BARRERA</t>
  </si>
  <si>
    <t>Profesional de Apoyo SEDAM</t>
  </si>
  <si>
    <t xml:space="preserve">REALIZAR 20 TALLERES SOBRE MANEJO SOCIOEMPRESARIAL, ORGANIZACIONAL, LÍDERAZGO, MERCADEO Y COMERCIALIZACIÓN DE PRODUCTOS AGROPECUARIOS. (2 TALLERES POR BENEFICIARIO CON UNA DURACION DE 4 HORAS CON UN MAXIMO DE 35 PARTICIPANTES POR TALLER) </t>
  </si>
  <si>
    <t>OBTENER EL REGISTRO SANITTARIO INVIMA PARA EMPAQUETADO Y COMERCIALIZACIÓN DE FRIJOL.</t>
  </si>
  <si>
    <t>REALIZAR UNA (1) RUEDA DE NEGOCIOS CON LA PARTICIPACION DE 50 PRODUCTORES DE CAFÉ Y FRIJOL VINCULADOS A LOS GRUPOS ASOCIATIVOS BENEFICIADOS (SUMINISTRAR AUDITORIO, REFRIGERIOS, AYUDAS AUDIOVISULAES, PUBLICIDAD DIGITAL E IMPRESA)</t>
  </si>
  <si>
    <t>OCTUBRE 31 SOCIALIZACION PROYECTO CAFÉ Y FRIJOL A LAS 10 AM EN LA SECRETARIA DE AGRICULTURA</t>
  </si>
  <si>
    <t>FREDY RODRIGUEZ</t>
  </si>
  <si>
    <t>5 ASOCIACIONES MUNICIPIO DE SANTA MARIA  "ZAHO"</t>
  </si>
  <si>
    <t>Administración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</si>
</sst>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_-&quot;$&quot;\ * #,##0.00_-;\-&quot;$&quot;\ * #,##0.00_-;_-&quot;$&quot;\ * &quot;-&quot;??_-;_-@_-"/>
    <numFmt numFmtId="165" formatCode="_-&quot;$&quot;\ * #,##0_-;\-&quot;$&quot;\ * #,##0_-;_-&quot;$&quot;\ * &quot;-&quot;??_-;_-@_-"/>
    <numFmt numFmtId="166" formatCode="_-&quot;$&quot;\ * #,##0.0_-;\-&quot;$&quot;\ * #,##0.0_-;_-&quot;$&quot;\ * &quot;-&quot;??_-;_-@_-"/>
    <numFmt numFmtId="167" formatCode="_-* #,##0.0_-;\-* #,##0.0_-;_-* &quot;-&quot;??_-;_-@_-"/>
    <numFmt numFmtId="168" formatCode="0.0000"/>
  </numFmts>
  <fonts count="33" x14ac:knownFonts="1">
    <font>
      <sz val="11"/>
      <color theme="1"/>
      <name val="Calibri"/>
      <family val="2"/>
      <scheme val="minor"/>
    </font>
    <font>
      <sz val="11"/>
      <color theme="1"/>
      <name val="Calibri"/>
      <family val="2"/>
      <scheme val="minor"/>
    </font>
    <font>
      <b/>
      <sz val="11"/>
      <color theme="1"/>
      <name val="Calibri"/>
      <family val="2"/>
      <scheme val="minor"/>
    </font>
    <font>
      <b/>
      <sz val="11"/>
      <color rgb="FFFFFFFF"/>
      <name val="Calibri"/>
      <family val="2"/>
      <scheme val="minor"/>
    </font>
    <font>
      <sz val="11"/>
      <color rgb="FFFFFFFF"/>
      <name val="Calibri"/>
      <family val="2"/>
      <scheme val="minor"/>
    </font>
    <font>
      <b/>
      <sz val="12"/>
      <color theme="1"/>
      <name val="Calibri"/>
      <family val="2"/>
      <scheme val="minor"/>
    </font>
    <font>
      <sz val="9"/>
      <color theme="1"/>
      <name val="Calibri"/>
      <family val="2"/>
      <scheme val="minor"/>
    </font>
    <font>
      <b/>
      <sz val="8"/>
      <color theme="1"/>
      <name val="Calibri"/>
      <family val="2"/>
      <scheme val="minor"/>
    </font>
    <font>
      <sz val="8"/>
      <color theme="1"/>
      <name val="Calibri"/>
      <family val="2"/>
      <scheme val="minor"/>
    </font>
    <font>
      <b/>
      <sz val="10"/>
      <color rgb="FFFF0000"/>
      <name val="Calibri"/>
      <family val="2"/>
      <scheme val="minor"/>
    </font>
    <font>
      <b/>
      <sz val="10"/>
      <color theme="1"/>
      <name val="Calibri"/>
      <family val="2"/>
      <scheme val="minor"/>
    </font>
    <font>
      <sz val="10"/>
      <color rgb="FFFF0000"/>
      <name val="Calibri"/>
      <family val="2"/>
      <scheme val="minor"/>
    </font>
    <font>
      <sz val="10"/>
      <color theme="1"/>
      <name val="Calibri"/>
      <family val="2"/>
      <scheme val="minor"/>
    </font>
    <font>
      <sz val="10"/>
      <name val="Calibri"/>
      <family val="2"/>
      <scheme val="minor"/>
    </font>
    <font>
      <b/>
      <sz val="10"/>
      <name val="Calibri"/>
      <family val="2"/>
      <scheme val="minor"/>
    </font>
    <font>
      <b/>
      <sz val="10"/>
      <color theme="9" tint="-0.499984740745262"/>
      <name val="Calibri"/>
      <family val="2"/>
      <scheme val="minor"/>
    </font>
    <font>
      <b/>
      <sz val="8"/>
      <name val="Calibri"/>
      <family val="2"/>
      <scheme val="minor"/>
    </font>
    <font>
      <sz val="8"/>
      <name val="Calibri"/>
      <family val="2"/>
      <scheme val="minor"/>
    </font>
    <font>
      <b/>
      <sz val="11"/>
      <color rgb="FF0000FF"/>
      <name val="Arial Narrow"/>
      <family val="2"/>
    </font>
    <font>
      <sz val="11"/>
      <color theme="1"/>
      <name val="Arial Narrow"/>
      <family val="2"/>
    </font>
    <font>
      <b/>
      <sz val="11"/>
      <color theme="1"/>
      <name val="Arial Narrow"/>
      <family val="2"/>
    </font>
    <font>
      <sz val="11"/>
      <name val="Arial Narrow"/>
      <family val="2"/>
    </font>
    <font>
      <sz val="10"/>
      <color theme="1"/>
      <name val="Arial Narrow"/>
      <family val="2"/>
    </font>
    <font>
      <sz val="9"/>
      <color theme="1"/>
      <name val="Arial Narrow"/>
      <family val="2"/>
    </font>
    <font>
      <b/>
      <sz val="9"/>
      <color theme="1"/>
      <name val="Calibri"/>
      <family val="2"/>
      <scheme val="minor"/>
    </font>
    <font>
      <b/>
      <sz val="9"/>
      <color rgb="FFFF0000"/>
      <name val="Calibri"/>
      <family val="2"/>
      <scheme val="minor"/>
    </font>
    <font>
      <b/>
      <sz val="8"/>
      <color rgb="FFFF0000"/>
      <name val="Calibri"/>
      <family val="2"/>
      <scheme val="minor"/>
    </font>
    <font>
      <sz val="7"/>
      <color theme="1"/>
      <name val="Calibri"/>
      <family val="2"/>
      <scheme val="minor"/>
    </font>
    <font>
      <sz val="8"/>
      <color rgb="FFFF0000"/>
      <name val="Calibri"/>
      <family val="2"/>
      <scheme val="minor"/>
    </font>
    <font>
      <sz val="9"/>
      <color rgb="FF555555"/>
      <name val="Arial"/>
      <family val="2"/>
    </font>
    <font>
      <b/>
      <sz val="16"/>
      <color theme="1"/>
      <name val="Calibri"/>
      <family val="2"/>
      <scheme val="minor"/>
    </font>
    <font>
      <b/>
      <sz val="14"/>
      <color theme="1"/>
      <name val="Calibri"/>
      <family val="2"/>
      <scheme val="minor"/>
    </font>
    <font>
      <sz val="14"/>
      <color theme="1"/>
      <name val="Calibri"/>
      <family val="2"/>
      <scheme val="minor"/>
    </font>
  </fonts>
  <fills count="22">
    <fill>
      <patternFill patternType="none"/>
    </fill>
    <fill>
      <patternFill patternType="gray125"/>
    </fill>
    <fill>
      <patternFill patternType="solid">
        <fgColor rgb="FF808080"/>
        <bgColor rgb="FF000000"/>
      </patternFill>
    </fill>
    <fill>
      <patternFill patternType="solid">
        <fgColor theme="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rgb="FF00B0F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2" tint="-0.249977111117893"/>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351">
    <xf numFmtId="0" fontId="0" fillId="0" borderId="0" xfId="0"/>
    <xf numFmtId="0" fontId="0" fillId="0" borderId="1" xfId="0" applyBorder="1"/>
    <xf numFmtId="0" fontId="3" fillId="2" borderId="1" xfId="0" applyFont="1" applyFill="1" applyBorder="1" applyAlignment="1">
      <alignment horizontal="center" vertical="center" wrapText="1"/>
    </xf>
    <xf numFmtId="0" fontId="0" fillId="0" borderId="1" xfId="0" applyBorder="1" applyAlignment="1">
      <alignment horizontal="center" vertical="center"/>
    </xf>
    <xf numFmtId="165" fontId="0" fillId="0" borderId="1" xfId="2" applyNumberFormat="1" applyFont="1" applyBorder="1" applyAlignment="1">
      <alignment horizontal="center" vertical="center"/>
    </xf>
    <xf numFmtId="0" fontId="4" fillId="2" borderId="1" xfId="0" applyFont="1" applyFill="1" applyBorder="1" applyAlignment="1">
      <alignment horizontal="center" vertical="center" wrapText="1"/>
    </xf>
    <xf numFmtId="165" fontId="0" fillId="3" borderId="1" xfId="2" applyNumberFormat="1" applyFont="1" applyFill="1" applyBorder="1" applyAlignment="1">
      <alignment horizontal="center" vertical="center"/>
    </xf>
    <xf numFmtId="0" fontId="0" fillId="3" borderId="1" xfId="0" applyFill="1" applyBorder="1"/>
    <xf numFmtId="0" fontId="3" fillId="2" borderId="5"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vertical="center"/>
    </xf>
    <xf numFmtId="43" fontId="6" fillId="0" borderId="0" xfId="0" applyNumberFormat="1" applyFont="1" applyAlignment="1">
      <alignment vertical="center"/>
    </xf>
    <xf numFmtId="0" fontId="7" fillId="5" borderId="1" xfId="0" applyFont="1" applyFill="1" applyBorder="1" applyAlignment="1">
      <alignment horizontal="center" vertical="center"/>
    </xf>
    <xf numFmtId="0" fontId="7" fillId="12" borderId="1" xfId="0" applyFont="1" applyFill="1" applyBorder="1" applyAlignment="1">
      <alignment horizontal="center" vertical="center"/>
    </xf>
    <xf numFmtId="0" fontId="7" fillId="12" borderId="1" xfId="0" applyFont="1" applyFill="1" applyBorder="1" applyAlignment="1">
      <alignment horizontal="left" vertical="center"/>
    </xf>
    <xf numFmtId="43" fontId="7" fillId="12" borderId="1" xfId="0" applyNumberFormat="1"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8" fillId="7" borderId="1" xfId="0" applyFont="1" applyFill="1" applyBorder="1" applyAlignment="1">
      <alignment horizontal="center" vertical="center"/>
    </xf>
    <xf numFmtId="43" fontId="7" fillId="7" borderId="1" xfId="0" applyNumberFormat="1" applyFont="1" applyFill="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vertical="center" wrapText="1"/>
    </xf>
    <xf numFmtId="43" fontId="8" fillId="0" borderId="1" xfId="1" applyFont="1" applyBorder="1" applyAlignment="1">
      <alignment vertical="center"/>
    </xf>
    <xf numFmtId="43" fontId="8" fillId="0" borderId="1" xfId="0" applyNumberFormat="1" applyFont="1" applyBorder="1" applyAlignment="1">
      <alignment vertical="center"/>
    </xf>
    <xf numFmtId="0" fontId="7" fillId="7" borderId="1" xfId="0" applyFont="1" applyFill="1" applyBorder="1" applyAlignment="1">
      <alignment vertical="center" wrapText="1"/>
    </xf>
    <xf numFmtId="43" fontId="8" fillId="7" borderId="1" xfId="1" applyFont="1" applyFill="1" applyBorder="1" applyAlignment="1">
      <alignment vertical="center"/>
    </xf>
    <xf numFmtId="43" fontId="7" fillId="7" borderId="1" xfId="1" applyFont="1" applyFill="1" applyBorder="1" applyAlignment="1">
      <alignment vertical="center"/>
    </xf>
    <xf numFmtId="0" fontId="8" fillId="0" borderId="1" xfId="0" applyFont="1" applyBorder="1" applyAlignment="1">
      <alignment horizontal="center" vertical="center" wrapText="1"/>
    </xf>
    <xf numFmtId="0" fontId="7" fillId="7" borderId="9" xfId="0" applyFont="1" applyFill="1" applyBorder="1" applyAlignment="1">
      <alignment vertical="center" wrapText="1"/>
    </xf>
    <xf numFmtId="0" fontId="8" fillId="7" borderId="9" xfId="0" applyFont="1" applyFill="1" applyBorder="1" applyAlignment="1">
      <alignment horizontal="center" vertical="center"/>
    </xf>
    <xf numFmtId="43" fontId="8" fillId="7" borderId="9" xfId="1" applyFont="1" applyFill="1" applyBorder="1" applyAlignment="1">
      <alignment vertical="center"/>
    </xf>
    <xf numFmtId="0" fontId="8" fillId="0" borderId="1" xfId="0" applyFont="1" applyBorder="1" applyAlignment="1">
      <alignment vertical="center"/>
    </xf>
    <xf numFmtId="2" fontId="8" fillId="0" borderId="1" xfId="0" applyNumberFormat="1" applyFont="1" applyBorder="1" applyAlignment="1">
      <alignment horizontal="center" vertical="center"/>
    </xf>
    <xf numFmtId="0" fontId="7" fillId="0" borderId="1" xfId="0" applyFont="1" applyBorder="1" applyAlignment="1">
      <alignment horizontal="center" vertical="center"/>
    </xf>
    <xf numFmtId="43" fontId="7" fillId="13" borderId="1" xfId="0" applyNumberFormat="1" applyFont="1" applyFill="1" applyBorder="1" applyAlignment="1">
      <alignment vertical="center"/>
    </xf>
    <xf numFmtId="0" fontId="8" fillId="0" borderId="1" xfId="0" applyFont="1" applyBorder="1" applyAlignment="1">
      <alignment horizontal="justify" vertical="center" wrapText="1"/>
    </xf>
    <xf numFmtId="0" fontId="8" fillId="11" borderId="1" xfId="0" applyFont="1" applyFill="1" applyBorder="1" applyAlignment="1">
      <alignment horizontal="center" vertical="center"/>
    </xf>
    <xf numFmtId="0" fontId="8" fillId="11" borderId="1" xfId="0" applyFont="1" applyFill="1" applyBorder="1" applyAlignment="1">
      <alignment horizontal="justify" vertical="center" wrapText="1"/>
    </xf>
    <xf numFmtId="0" fontId="8" fillId="11" borderId="1" xfId="0" applyFont="1" applyFill="1" applyBorder="1" applyAlignment="1">
      <alignment horizontal="center" vertical="center" wrapText="1"/>
    </xf>
    <xf numFmtId="43" fontId="8" fillId="11" borderId="1" xfId="1" applyFont="1" applyFill="1" applyBorder="1" applyAlignment="1">
      <alignment vertical="center"/>
    </xf>
    <xf numFmtId="43" fontId="8" fillId="11" borderId="1" xfId="0" applyNumberFormat="1" applyFont="1" applyFill="1" applyBorder="1" applyAlignment="1">
      <alignment vertical="center"/>
    </xf>
    <xf numFmtId="0" fontId="10" fillId="4" borderId="1" xfId="0" applyFont="1" applyFill="1" applyBorder="1" applyAlignment="1" applyProtection="1">
      <alignment horizontal="center"/>
      <protection locked="0"/>
    </xf>
    <xf numFmtId="0" fontId="11" fillId="0" borderId="0" xfId="0" applyFont="1" applyProtection="1">
      <protection locked="0"/>
    </xf>
    <xf numFmtId="0" fontId="12" fillId="0" borderId="0" xfId="0" applyFont="1" applyAlignment="1" applyProtection="1">
      <alignment horizontal="center"/>
      <protection locked="0"/>
    </xf>
    <xf numFmtId="0" fontId="12" fillId="0" borderId="0" xfId="0" applyFont="1" applyProtection="1">
      <protection locked="0"/>
    </xf>
    <xf numFmtId="0" fontId="10" fillId="0" borderId="1" xfId="0" applyFont="1" applyBorder="1" applyAlignment="1" applyProtection="1">
      <alignment horizontal="center"/>
      <protection locked="0"/>
    </xf>
    <xf numFmtId="164" fontId="10" fillId="6" borderId="1" xfId="0" applyNumberFormat="1" applyFont="1" applyFill="1" applyBorder="1" applyAlignment="1" applyProtection="1">
      <alignment horizontal="center"/>
      <protection locked="0"/>
    </xf>
    <xf numFmtId="0" fontId="12" fillId="0" borderId="1" xfId="0" applyFont="1" applyBorder="1" applyAlignment="1" applyProtection="1">
      <alignment horizontal="center"/>
      <protection locked="0"/>
    </xf>
    <xf numFmtId="0" fontId="12" fillId="8" borderId="1" xfId="0" applyFont="1" applyFill="1" applyBorder="1" applyAlignment="1" applyProtection="1">
      <alignment horizontal="center"/>
      <protection locked="0"/>
    </xf>
    <xf numFmtId="0" fontId="12" fillId="7" borderId="1" xfId="0" applyFont="1" applyFill="1" applyBorder="1" applyProtection="1">
      <protection locked="0"/>
    </xf>
    <xf numFmtId="164" fontId="12" fillId="0" borderId="1" xfId="2" applyFont="1" applyBorder="1" applyProtection="1">
      <protection locked="0"/>
    </xf>
    <xf numFmtId="0" fontId="12" fillId="0" borderId="1" xfId="0" applyFont="1" applyBorder="1" applyProtection="1">
      <protection locked="0"/>
    </xf>
    <xf numFmtId="164" fontId="9" fillId="0" borderId="0" xfId="2" applyFont="1" applyFill="1" applyBorder="1" applyProtection="1">
      <protection locked="0"/>
    </xf>
    <xf numFmtId="0" fontId="12" fillId="9" borderId="1" xfId="0" applyFont="1" applyFill="1" applyBorder="1" applyAlignment="1" applyProtection="1">
      <alignment horizontal="center"/>
      <protection locked="0"/>
    </xf>
    <xf numFmtId="43" fontId="12" fillId="0" borderId="0" xfId="1" applyFont="1" applyProtection="1">
      <protection locked="0"/>
    </xf>
    <xf numFmtId="0" fontId="12" fillId="3" borderId="1" xfId="0" applyFont="1" applyFill="1" applyBorder="1" applyAlignment="1" applyProtection="1">
      <alignment horizontal="center"/>
      <protection locked="0"/>
    </xf>
    <xf numFmtId="164" fontId="12" fillId="0" borderId="5" xfId="2" applyFont="1" applyBorder="1" applyProtection="1">
      <protection locked="0"/>
    </xf>
    <xf numFmtId="43" fontId="11" fillId="0" borderId="0" xfId="1" applyFont="1" applyProtection="1">
      <protection locked="0"/>
    </xf>
    <xf numFmtId="164" fontId="12" fillId="0" borderId="0" xfId="0" applyNumberFormat="1" applyFont="1" applyProtection="1">
      <protection locked="0"/>
    </xf>
    <xf numFmtId="0" fontId="9" fillId="0" borderId="0" xfId="0" applyFont="1" applyAlignment="1" applyProtection="1">
      <alignment horizontal="center"/>
      <protection locked="0"/>
    </xf>
    <xf numFmtId="0" fontId="10" fillId="0" borderId="0" xfId="0" applyFont="1" applyAlignment="1" applyProtection="1">
      <alignment horizontal="center"/>
      <protection locked="0"/>
    </xf>
    <xf numFmtId="0" fontId="9" fillId="4" borderId="0" xfId="0" applyFont="1" applyFill="1" applyAlignment="1" applyProtection="1">
      <alignment horizontal="center"/>
      <protection locked="0"/>
    </xf>
    <xf numFmtId="164" fontId="11" fillId="0" borderId="0" xfId="2" applyFont="1" applyBorder="1" applyProtection="1">
      <protection locked="0"/>
    </xf>
    <xf numFmtId="164" fontId="10" fillId="5" borderId="6" xfId="0" applyNumberFormat="1" applyFont="1" applyFill="1" applyBorder="1" applyProtection="1">
      <protection locked="0"/>
    </xf>
    <xf numFmtId="164" fontId="9" fillId="5" borderId="0" xfId="0" applyNumberFormat="1" applyFont="1" applyFill="1" applyProtection="1">
      <protection locked="0"/>
    </xf>
    <xf numFmtId="0" fontId="11" fillId="10" borderId="0" xfId="0" applyFont="1" applyFill="1" applyAlignment="1" applyProtection="1">
      <alignment horizontal="center" wrapText="1"/>
      <protection locked="0"/>
    </xf>
    <xf numFmtId="0" fontId="14" fillId="0" borderId="1" xfId="0" applyFont="1" applyBorder="1" applyAlignment="1" applyProtection="1">
      <alignment horizontal="center" wrapText="1"/>
      <protection locked="0"/>
    </xf>
    <xf numFmtId="0" fontId="15" fillId="0" borderId="1" xfId="0" applyFont="1" applyBorder="1" applyAlignment="1" applyProtection="1">
      <alignment horizontal="center" wrapText="1"/>
      <protection locked="0"/>
    </xf>
    <xf numFmtId="164" fontId="13" fillId="0" borderId="1" xfId="2" applyFont="1" applyFill="1" applyBorder="1" applyAlignment="1" applyProtection="1">
      <alignment horizontal="center"/>
      <protection locked="0"/>
    </xf>
    <xf numFmtId="164" fontId="13" fillId="0" borderId="1" xfId="0" applyNumberFormat="1" applyFont="1" applyBorder="1" applyAlignment="1" applyProtection="1">
      <alignment horizontal="center"/>
      <protection locked="0"/>
    </xf>
    <xf numFmtId="164" fontId="13" fillId="6" borderId="1" xfId="0" applyNumberFormat="1" applyFont="1" applyFill="1" applyBorder="1" applyAlignment="1" applyProtection="1">
      <alignment horizontal="center"/>
      <protection locked="0"/>
    </xf>
    <xf numFmtId="164" fontId="14" fillId="6" borderId="1" xfId="0" applyNumberFormat="1" applyFont="1" applyFill="1" applyBorder="1" applyAlignment="1" applyProtection="1">
      <alignment horizontal="center"/>
      <protection locked="0"/>
    </xf>
    <xf numFmtId="164" fontId="9" fillId="6" borderId="1" xfId="0" applyNumberFormat="1" applyFont="1" applyFill="1" applyBorder="1" applyAlignment="1" applyProtection="1">
      <alignment horizontal="center"/>
      <protection locked="0"/>
    </xf>
    <xf numFmtId="164" fontId="13" fillId="6" borderId="1" xfId="2" applyFont="1" applyFill="1" applyBorder="1" applyProtection="1">
      <protection locked="0"/>
    </xf>
    <xf numFmtId="164" fontId="14" fillId="6" borderId="1" xfId="2" applyFont="1" applyFill="1" applyBorder="1" applyProtection="1">
      <protection locked="0"/>
    </xf>
    <xf numFmtId="164" fontId="9" fillId="6" borderId="1" xfId="2" applyFont="1" applyFill="1" applyBorder="1" applyProtection="1">
      <protection locked="0"/>
    </xf>
    <xf numFmtId="164" fontId="13" fillId="13" borderId="1" xfId="2" applyFont="1" applyFill="1" applyBorder="1" applyProtection="1">
      <protection locked="0"/>
    </xf>
    <xf numFmtId="164" fontId="13" fillId="13" borderId="1" xfId="0" applyNumberFormat="1" applyFont="1" applyFill="1" applyBorder="1" applyAlignment="1" applyProtection="1">
      <alignment horizontal="center"/>
      <protection locked="0"/>
    </xf>
    <xf numFmtId="164" fontId="14" fillId="6" borderId="1" xfId="2" applyFont="1" applyFill="1" applyBorder="1" applyAlignment="1" applyProtection="1">
      <alignment horizontal="center"/>
      <protection locked="0"/>
    </xf>
    <xf numFmtId="164" fontId="11" fillId="14" borderId="1" xfId="2" applyFont="1" applyFill="1" applyBorder="1" applyProtection="1">
      <protection locked="0"/>
    </xf>
    <xf numFmtId="164" fontId="13" fillId="14" borderId="1" xfId="2" applyFont="1" applyFill="1" applyBorder="1" applyAlignment="1" applyProtection="1">
      <alignment horizontal="center"/>
      <protection locked="0"/>
    </xf>
    <xf numFmtId="43" fontId="10" fillId="13" borderId="1" xfId="0" applyNumberFormat="1" applyFont="1" applyFill="1" applyBorder="1" applyAlignment="1">
      <alignment vertical="center"/>
    </xf>
    <xf numFmtId="0" fontId="8" fillId="3" borderId="1" xfId="0" applyFont="1" applyFill="1" applyBorder="1" applyAlignment="1">
      <alignment vertical="center" wrapText="1"/>
    </xf>
    <xf numFmtId="0" fontId="8" fillId="3" borderId="1" xfId="0" applyFont="1" applyFill="1" applyBorder="1" applyAlignment="1">
      <alignment horizontal="center" vertical="center"/>
    </xf>
    <xf numFmtId="43" fontId="8" fillId="3" borderId="1" xfId="1" applyFont="1" applyFill="1" applyBorder="1" applyAlignment="1">
      <alignment vertical="center"/>
    </xf>
    <xf numFmtId="0" fontId="8" fillId="3" borderId="1" xfId="0" applyFont="1" applyFill="1" applyBorder="1" applyAlignment="1">
      <alignment horizontal="justify" vertical="center" wrapText="1"/>
    </xf>
    <xf numFmtId="0" fontId="16" fillId="7" borderId="1" xfId="0" applyFont="1" applyFill="1" applyBorder="1" applyAlignment="1">
      <alignment horizontal="center" vertical="center"/>
    </xf>
    <xf numFmtId="0" fontId="17" fillId="7" borderId="1" xfId="0" applyFont="1" applyFill="1" applyBorder="1" applyAlignment="1">
      <alignment horizontal="center" vertical="center"/>
    </xf>
    <xf numFmtId="43" fontId="16" fillId="7" borderId="1" xfId="0" applyNumberFormat="1" applyFont="1" applyFill="1" applyBorder="1" applyAlignment="1">
      <alignment vertical="center"/>
    </xf>
    <xf numFmtId="0" fontId="16" fillId="7" borderId="1" xfId="0" applyFont="1" applyFill="1" applyBorder="1" applyAlignment="1">
      <alignment horizontal="left" vertical="center"/>
    </xf>
    <xf numFmtId="43" fontId="8" fillId="3" borderId="1" xfId="0" applyNumberFormat="1" applyFont="1" applyFill="1" applyBorder="1" applyAlignment="1">
      <alignment vertical="center"/>
    </xf>
    <xf numFmtId="43" fontId="6" fillId="0" borderId="0" xfId="1" applyFont="1" applyAlignment="1">
      <alignment vertical="center"/>
    </xf>
    <xf numFmtId="0" fontId="12" fillId="15" borderId="1" xfId="0" applyFont="1" applyFill="1" applyBorder="1" applyAlignment="1" applyProtection="1">
      <alignment horizontal="center"/>
      <protection locked="0"/>
    </xf>
    <xf numFmtId="0" fontId="10" fillId="0" borderId="0" xfId="0" applyFont="1" applyProtection="1">
      <protection locked="0"/>
    </xf>
    <xf numFmtId="0" fontId="6" fillId="0" borderId="1" xfId="0" applyFont="1" applyBorder="1" applyAlignment="1">
      <alignment horizontal="center" vertical="center"/>
    </xf>
    <xf numFmtId="0" fontId="12" fillId="17" borderId="1" xfId="0" applyFont="1" applyFill="1" applyBorder="1" applyAlignment="1" applyProtection="1">
      <alignment horizontal="center"/>
      <protection locked="0"/>
    </xf>
    <xf numFmtId="0" fontId="8" fillId="3" borderId="1" xfId="0" applyFont="1" applyFill="1" applyBorder="1" applyAlignment="1">
      <alignment horizontal="center" vertical="center" wrapText="1"/>
    </xf>
    <xf numFmtId="0" fontId="18" fillId="0" borderId="0" xfId="0" applyFont="1"/>
    <xf numFmtId="0" fontId="19" fillId="0" borderId="0" xfId="0" applyFont="1"/>
    <xf numFmtId="0" fontId="20" fillId="0" borderId="0" xfId="0" applyFont="1"/>
    <xf numFmtId="0" fontId="21" fillId="0" borderId="0" xfId="0" applyFont="1"/>
    <xf numFmtId="15" fontId="21" fillId="0" borderId="0" xfId="0" applyNumberFormat="1" applyFont="1" applyAlignment="1">
      <alignment horizontal="center"/>
    </xf>
    <xf numFmtId="0" fontId="23" fillId="0" borderId="0" xfId="0" applyFont="1"/>
    <xf numFmtId="0" fontId="24" fillId="0" borderId="11" xfId="0" applyFont="1" applyBorder="1" applyAlignment="1">
      <alignment vertical="center"/>
    </xf>
    <xf numFmtId="0" fontId="24" fillId="0" borderId="14" xfId="0" applyFont="1" applyBorder="1" applyAlignment="1">
      <alignment vertical="center"/>
    </xf>
    <xf numFmtId="0" fontId="24" fillId="0" borderId="14" xfId="0" applyFont="1" applyBorder="1"/>
    <xf numFmtId="0" fontId="24" fillId="0" borderId="16" xfId="0" applyFont="1" applyBorder="1"/>
    <xf numFmtId="0" fontId="8" fillId="0" borderId="14" xfId="0" applyFont="1" applyBorder="1" applyAlignment="1">
      <alignment horizontal="center" vertical="center"/>
    </xf>
    <xf numFmtId="0" fontId="8" fillId="3" borderId="17" xfId="0" applyFont="1" applyFill="1" applyBorder="1" applyAlignment="1">
      <alignment horizontal="justify" vertical="center" wrapText="1"/>
    </xf>
    <xf numFmtId="0" fontId="8" fillId="3" borderId="17" xfId="0" applyFont="1" applyFill="1" applyBorder="1" applyAlignment="1">
      <alignment horizontal="center" vertical="center" wrapText="1"/>
    </xf>
    <xf numFmtId="164" fontId="8" fillId="3" borderId="1" xfId="2" applyFont="1" applyFill="1" applyBorder="1" applyAlignment="1">
      <alignment vertical="center"/>
    </xf>
    <xf numFmtId="164" fontId="8" fillId="3" borderId="15" xfId="2" applyFont="1" applyFill="1" applyBorder="1" applyAlignment="1">
      <alignment vertical="center"/>
    </xf>
    <xf numFmtId="164" fontId="8" fillId="3" borderId="17" xfId="2" applyFont="1" applyFill="1" applyBorder="1" applyAlignment="1">
      <alignment vertical="center"/>
    </xf>
    <xf numFmtId="164" fontId="8" fillId="3" borderId="18" xfId="2" applyFont="1" applyFill="1" applyBorder="1" applyAlignment="1">
      <alignment vertical="center"/>
    </xf>
    <xf numFmtId="0" fontId="7" fillId="0" borderId="19" xfId="0" applyFont="1" applyBorder="1" applyAlignment="1">
      <alignment horizontal="center" vertical="center"/>
    </xf>
    <xf numFmtId="0" fontId="7" fillId="3" borderId="26" xfId="0" applyFont="1" applyFill="1" applyBorder="1" applyAlignment="1">
      <alignment horizontal="center" vertical="center"/>
    </xf>
    <xf numFmtId="0" fontId="7" fillId="3" borderId="27" xfId="0" applyFont="1" applyFill="1" applyBorder="1" applyAlignment="1">
      <alignment horizontal="center" vertical="center"/>
    </xf>
    <xf numFmtId="0" fontId="7" fillId="3" borderId="28"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9" xfId="0" applyFont="1" applyFill="1" applyBorder="1" applyAlignment="1">
      <alignment horizontal="justify" vertical="center" wrapText="1"/>
    </xf>
    <xf numFmtId="0" fontId="8" fillId="3" borderId="9" xfId="0" applyFont="1" applyFill="1" applyBorder="1" applyAlignment="1">
      <alignment horizontal="center" vertical="center" wrapText="1"/>
    </xf>
    <xf numFmtId="0" fontId="8" fillId="3" borderId="9" xfId="0" applyFont="1" applyFill="1" applyBorder="1" applyAlignment="1">
      <alignment horizontal="center" vertical="center"/>
    </xf>
    <xf numFmtId="164" fontId="8" fillId="3" borderId="9" xfId="2" applyFont="1" applyFill="1" applyBorder="1" applyAlignment="1">
      <alignment vertical="center"/>
    </xf>
    <xf numFmtId="164" fontId="8" fillId="3" borderId="25" xfId="2" applyFont="1" applyFill="1" applyBorder="1" applyAlignment="1">
      <alignment vertical="center"/>
    </xf>
    <xf numFmtId="164" fontId="8" fillId="0" borderId="1" xfId="2" applyFont="1" applyBorder="1" applyAlignment="1">
      <alignment vertical="center"/>
    </xf>
    <xf numFmtId="164" fontId="8" fillId="0" borderId="15" xfId="2" applyFont="1" applyBorder="1" applyAlignment="1">
      <alignment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164" fontId="7" fillId="3" borderId="20" xfId="2" applyFont="1" applyFill="1" applyBorder="1" applyAlignment="1">
      <alignment vertical="center"/>
    </xf>
    <xf numFmtId="9" fontId="12" fillId="0" borderId="0" xfId="3" applyFont="1" applyAlignment="1" applyProtection="1">
      <alignment horizontal="center"/>
      <protection locked="0"/>
    </xf>
    <xf numFmtId="2" fontId="12" fillId="0" borderId="0" xfId="0" applyNumberFormat="1" applyFont="1" applyAlignment="1" applyProtection="1">
      <alignment horizontal="center"/>
      <protection locked="0"/>
    </xf>
    <xf numFmtId="1" fontId="12" fillId="0" borderId="0" xfId="0" applyNumberFormat="1" applyFont="1" applyAlignment="1" applyProtection="1">
      <alignment horizontal="center"/>
      <protection locked="0"/>
    </xf>
    <xf numFmtId="0" fontId="10" fillId="5" borderId="1" xfId="0" applyFont="1" applyFill="1" applyBorder="1" applyAlignment="1" applyProtection="1">
      <alignment horizontal="center"/>
      <protection locked="0"/>
    </xf>
    <xf numFmtId="43" fontId="25" fillId="0" borderId="0" xfId="1" applyFont="1" applyAlignment="1">
      <alignment vertical="center"/>
    </xf>
    <xf numFmtId="0" fontId="10" fillId="6" borderId="7" xfId="0" applyFont="1" applyFill="1" applyBorder="1" applyAlignment="1" applyProtection="1">
      <alignment vertical="center"/>
      <protection locked="0"/>
    </xf>
    <xf numFmtId="0" fontId="10" fillId="6" borderId="1" xfId="0" applyFont="1" applyFill="1" applyBorder="1" applyAlignment="1" applyProtection="1">
      <alignment vertical="center"/>
      <protection locked="0"/>
    </xf>
    <xf numFmtId="0" fontId="12" fillId="7" borderId="1" xfId="0" applyFont="1" applyFill="1" applyBorder="1" applyAlignment="1" applyProtection="1">
      <alignment vertical="center"/>
      <protection locked="0"/>
    </xf>
    <xf numFmtId="0" fontId="12" fillId="3" borderId="1" xfId="0" applyFont="1" applyFill="1" applyBorder="1" applyAlignment="1" applyProtection="1">
      <alignment vertical="center"/>
      <protection locked="0"/>
    </xf>
    <xf numFmtId="0" fontId="12" fillId="3" borderId="1" xfId="0" applyFont="1" applyFill="1" applyBorder="1" applyAlignment="1" applyProtection="1">
      <alignment horizontal="center" vertical="center"/>
      <protection locked="0"/>
    </xf>
    <xf numFmtId="164" fontId="12" fillId="0" borderId="1" xfId="2" applyFont="1" applyBorder="1" applyAlignment="1" applyProtection="1">
      <alignment vertical="center"/>
      <protection locked="0"/>
    </xf>
    <xf numFmtId="0" fontId="12" fillId="7" borderId="1" xfId="0" applyFont="1" applyFill="1" applyBorder="1" applyAlignment="1" applyProtection="1">
      <alignment horizontal="left" vertical="center"/>
      <protection locked="0"/>
    </xf>
    <xf numFmtId="164" fontId="10" fillId="6" borderId="1" xfId="2" applyFont="1" applyFill="1" applyBorder="1" applyAlignment="1" applyProtection="1">
      <alignment vertical="center"/>
      <protection locked="0"/>
    </xf>
    <xf numFmtId="0" fontId="13" fillId="7" borderId="1" xfId="0" applyFont="1" applyFill="1" applyBorder="1" applyAlignment="1" applyProtection="1">
      <alignment vertical="center"/>
      <protection locked="0"/>
    </xf>
    <xf numFmtId="0" fontId="12" fillId="0" borderId="0" xfId="0" applyFont="1" applyAlignment="1" applyProtection="1">
      <alignment horizontal="center" vertical="center"/>
      <protection locked="0"/>
    </xf>
    <xf numFmtId="0" fontId="12" fillId="3" borderId="0" xfId="0" applyFont="1" applyFill="1" applyAlignment="1" applyProtection="1">
      <alignment vertical="center"/>
      <protection locked="0"/>
    </xf>
    <xf numFmtId="0" fontId="12" fillId="0" borderId="0" xfId="0" applyFont="1" applyAlignment="1" applyProtection="1">
      <alignment vertical="center"/>
      <protection locked="0"/>
    </xf>
    <xf numFmtId="164" fontId="12" fillId="0" borderId="0" xfId="2" applyFont="1" applyBorder="1" applyAlignment="1" applyProtection="1">
      <alignment vertical="center"/>
      <protection locked="0"/>
    </xf>
    <xf numFmtId="164" fontId="10" fillId="5" borderId="6" xfId="2" applyFont="1" applyFill="1" applyBorder="1" applyAlignment="1" applyProtection="1">
      <alignment vertical="center"/>
      <protection locked="0"/>
    </xf>
    <xf numFmtId="0" fontId="12" fillId="3" borderId="1" xfId="0" applyFont="1" applyFill="1" applyBorder="1" applyAlignment="1" applyProtection="1">
      <alignment horizontal="left" vertical="center"/>
      <protection locked="0"/>
    </xf>
    <xf numFmtId="0" fontId="12" fillId="18" borderId="1" xfId="0" applyFont="1" applyFill="1" applyBorder="1" applyAlignment="1" applyProtection="1">
      <alignment horizontal="left" vertical="center"/>
      <protection locked="0"/>
    </xf>
    <xf numFmtId="0" fontId="12" fillId="18" borderId="1" xfId="0" applyFont="1" applyFill="1" applyBorder="1" applyAlignment="1" applyProtection="1">
      <alignment horizontal="left" vertical="center" wrapText="1"/>
      <protection locked="0"/>
    </xf>
    <xf numFmtId="164" fontId="12" fillId="17" borderId="1" xfId="2" applyFont="1" applyFill="1" applyBorder="1" applyAlignment="1" applyProtection="1">
      <alignment vertical="center"/>
      <protection locked="0"/>
    </xf>
    <xf numFmtId="164" fontId="6" fillId="0" borderId="0" xfId="0" applyNumberFormat="1" applyFont="1" applyAlignment="1">
      <alignment vertical="center"/>
    </xf>
    <xf numFmtId="167" fontId="8" fillId="0" borderId="1" xfId="1" applyNumberFormat="1" applyFont="1" applyBorder="1" applyAlignment="1">
      <alignment vertical="center"/>
    </xf>
    <xf numFmtId="167" fontId="8" fillId="0" borderId="1" xfId="0" applyNumberFormat="1" applyFont="1" applyBorder="1" applyAlignment="1">
      <alignment vertical="center"/>
    </xf>
    <xf numFmtId="0" fontId="7" fillId="3" borderId="1" xfId="0" applyFont="1" applyFill="1" applyBorder="1" applyAlignment="1">
      <alignment horizontal="left" vertical="center"/>
    </xf>
    <xf numFmtId="43" fontId="7" fillId="3" borderId="1" xfId="0" applyNumberFormat="1" applyFont="1" applyFill="1" applyBorder="1" applyAlignment="1">
      <alignment horizontal="center" vertical="center"/>
    </xf>
    <xf numFmtId="0" fontId="8" fillId="0" borderId="5" xfId="0" applyFont="1" applyBorder="1" applyAlignment="1">
      <alignment horizontal="center" vertical="center"/>
    </xf>
    <xf numFmtId="0" fontId="8" fillId="3" borderId="5" xfId="0" applyFont="1" applyFill="1" applyBorder="1" applyAlignment="1">
      <alignment horizontal="justify" vertical="center" wrapText="1"/>
    </xf>
    <xf numFmtId="0" fontId="8" fillId="0" borderId="5" xfId="0" applyFont="1" applyBorder="1" applyAlignment="1">
      <alignment horizontal="center" vertical="center" wrapText="1"/>
    </xf>
    <xf numFmtId="43" fontId="8" fillId="0" borderId="5" xfId="1" applyFont="1" applyBorder="1" applyAlignment="1">
      <alignment vertical="center"/>
    </xf>
    <xf numFmtId="0" fontId="8" fillId="0" borderId="0" xfId="0" applyFont="1" applyAlignment="1">
      <alignment vertical="center"/>
    </xf>
    <xf numFmtId="0" fontId="7" fillId="19" borderId="1" xfId="0" applyFont="1" applyFill="1" applyBorder="1" applyAlignment="1">
      <alignment horizontal="center" vertical="center" wrapText="1"/>
    </xf>
    <xf numFmtId="43" fontId="7" fillId="0" borderId="1" xfId="0" applyNumberFormat="1" applyFont="1" applyBorder="1" applyAlignment="1">
      <alignment vertical="center"/>
    </xf>
    <xf numFmtId="164" fontId="7" fillId="0" borderId="1" xfId="0" applyNumberFormat="1" applyFont="1" applyBorder="1" applyAlignment="1">
      <alignment vertical="center"/>
    </xf>
    <xf numFmtId="166" fontId="8" fillId="0" borderId="1" xfId="2" applyNumberFormat="1" applyFont="1" applyBorder="1" applyAlignment="1">
      <alignment vertical="center"/>
    </xf>
    <xf numFmtId="0" fontId="8" fillId="0" borderId="0" xfId="0" applyFont="1" applyAlignment="1">
      <alignment horizontal="center" vertical="center"/>
    </xf>
    <xf numFmtId="43" fontId="26" fillId="0" borderId="0" xfId="1" applyFont="1" applyAlignment="1">
      <alignment vertical="center"/>
    </xf>
    <xf numFmtId="164" fontId="7" fillId="0" borderId="1" xfId="2" applyFont="1" applyBorder="1" applyAlignment="1">
      <alignment vertical="center"/>
    </xf>
    <xf numFmtId="164" fontId="8" fillId="0" borderId="0" xfId="0" applyNumberFormat="1" applyFont="1" applyAlignment="1">
      <alignment vertical="center"/>
    </xf>
    <xf numFmtId="0" fontId="7" fillId="19" borderId="1" xfId="0" applyFont="1" applyFill="1" applyBorder="1" applyAlignment="1">
      <alignment horizontal="left" vertical="center"/>
    </xf>
    <xf numFmtId="0" fontId="8" fillId="19" borderId="1" xfId="0" applyFont="1" applyFill="1" applyBorder="1" applyAlignment="1">
      <alignment horizontal="center" vertical="center"/>
    </xf>
    <xf numFmtId="43" fontId="7" fillId="19" borderId="1" xfId="0" applyNumberFormat="1" applyFont="1" applyFill="1" applyBorder="1" applyAlignment="1">
      <alignment vertical="center"/>
    </xf>
    <xf numFmtId="164" fontId="6" fillId="0" borderId="0" xfId="2" applyFont="1" applyAlignment="1">
      <alignment vertical="center"/>
    </xf>
    <xf numFmtId="168" fontId="6" fillId="0" borderId="0" xfId="1" applyNumberFormat="1" applyFont="1" applyAlignment="1">
      <alignment vertical="center"/>
    </xf>
    <xf numFmtId="0" fontId="12" fillId="8" borderId="1" xfId="0" applyFont="1" applyFill="1" applyBorder="1" applyAlignment="1" applyProtection="1">
      <alignment horizontal="center" vertical="center"/>
      <protection locked="0"/>
    </xf>
    <xf numFmtId="164" fontId="24" fillId="0" borderId="0" xfId="2" applyFont="1" applyAlignment="1">
      <alignment vertical="center"/>
    </xf>
    <xf numFmtId="0" fontId="7" fillId="3" borderId="1" xfId="0" applyFont="1" applyFill="1" applyBorder="1" applyAlignment="1">
      <alignment horizontal="center" vertical="center"/>
    </xf>
    <xf numFmtId="0" fontId="7" fillId="19" borderId="9" xfId="0" applyFont="1" applyFill="1" applyBorder="1" applyAlignment="1">
      <alignment horizontal="center" vertical="center"/>
    </xf>
    <xf numFmtId="0" fontId="7" fillId="19" borderId="1" xfId="0" applyFont="1" applyFill="1" applyBorder="1" applyAlignment="1">
      <alignment horizontal="center" vertical="center"/>
    </xf>
    <xf numFmtId="0" fontId="11" fillId="0" borderId="0" xfId="0" applyFont="1" applyAlignment="1" applyProtection="1">
      <alignment horizontal="center"/>
      <protection locked="0"/>
    </xf>
    <xf numFmtId="0" fontId="12" fillId="20" borderId="1" xfId="0" applyFont="1" applyFill="1" applyBorder="1" applyAlignment="1" applyProtection="1">
      <alignment vertical="center"/>
      <protection locked="0"/>
    </xf>
    <xf numFmtId="0" fontId="13" fillId="20" borderId="1" xfId="0" applyFont="1" applyFill="1" applyBorder="1" applyAlignment="1" applyProtection="1">
      <alignment vertical="center"/>
      <protection locked="0"/>
    </xf>
    <xf numFmtId="0" fontId="12" fillId="16" borderId="1" xfId="0" applyFont="1" applyFill="1" applyBorder="1" applyAlignment="1" applyProtection="1">
      <alignment horizontal="center" vertical="center"/>
      <protection locked="0"/>
    </xf>
    <xf numFmtId="43" fontId="12" fillId="0" borderId="1" xfId="1" applyFont="1" applyBorder="1" applyAlignment="1" applyProtection="1">
      <alignment vertical="center"/>
      <protection locked="0"/>
    </xf>
    <xf numFmtId="0" fontId="13" fillId="15" borderId="1" xfId="0" applyFont="1" applyFill="1" applyBorder="1" applyAlignment="1" applyProtection="1">
      <alignment vertical="center"/>
      <protection locked="0"/>
    </xf>
    <xf numFmtId="0" fontId="10" fillId="0" borderId="0" xfId="0" applyFont="1" applyAlignment="1" applyProtection="1">
      <alignment horizontal="center" vertical="center"/>
      <protection locked="0"/>
    </xf>
    <xf numFmtId="43" fontId="10" fillId="16" borderId="0" xfId="1" applyFont="1" applyFill="1" applyAlignment="1" applyProtection="1">
      <alignment vertical="center"/>
      <protection locked="0"/>
    </xf>
    <xf numFmtId="0" fontId="12" fillId="0" borderId="1" xfId="0" applyFont="1" applyBorder="1" applyAlignment="1" applyProtection="1">
      <alignment horizontal="justify" vertical="center" wrapText="1"/>
      <protection locked="0"/>
    </xf>
    <xf numFmtId="0" fontId="12" fillId="0" borderId="1" xfId="0" applyFont="1" applyBorder="1" applyAlignment="1" applyProtection="1">
      <alignment vertical="center"/>
      <protection locked="0"/>
    </xf>
    <xf numFmtId="0" fontId="29" fillId="0" borderId="0" xfId="0" applyFont="1"/>
    <xf numFmtId="0" fontId="7" fillId="0" borderId="0" xfId="0" applyFont="1" applyAlignment="1">
      <alignment horizontal="center" vertical="center"/>
    </xf>
    <xf numFmtId="0" fontId="7" fillId="19" borderId="24" xfId="0" applyFont="1" applyFill="1" applyBorder="1" applyAlignment="1">
      <alignment horizontal="center" vertical="center"/>
    </xf>
    <xf numFmtId="0" fontId="7" fillId="3" borderId="14" xfId="0" applyFont="1" applyFill="1" applyBorder="1" applyAlignment="1">
      <alignment horizontal="center" vertical="center"/>
    </xf>
    <xf numFmtId="0" fontId="7" fillId="19" borderId="14" xfId="0" applyFont="1" applyFill="1" applyBorder="1" applyAlignment="1">
      <alignment horizontal="center" vertical="center"/>
    </xf>
    <xf numFmtId="0" fontId="7" fillId="19" borderId="15" xfId="0" applyFont="1" applyFill="1" applyBorder="1" applyAlignment="1">
      <alignment horizontal="center" vertical="center" wrapText="1"/>
    </xf>
    <xf numFmtId="2" fontId="8" fillId="0" borderId="14" xfId="0" applyNumberFormat="1" applyFont="1" applyBorder="1" applyAlignment="1">
      <alignment horizontal="center" vertical="center"/>
    </xf>
    <xf numFmtId="0" fontId="8" fillId="0" borderId="33" xfId="0" applyFont="1" applyBorder="1" applyAlignment="1">
      <alignment horizontal="center" vertical="center"/>
    </xf>
    <xf numFmtId="0" fontId="7" fillId="3" borderId="16" xfId="0" applyFont="1" applyFill="1" applyBorder="1" applyAlignment="1">
      <alignment horizontal="center" vertical="center"/>
    </xf>
    <xf numFmtId="43" fontId="7" fillId="3" borderId="17" xfId="0" applyNumberFormat="1" applyFont="1" applyFill="1" applyBorder="1" applyAlignment="1">
      <alignment vertical="center"/>
    </xf>
    <xf numFmtId="43" fontId="8" fillId="3" borderId="17" xfId="0" applyNumberFormat="1" applyFont="1" applyFill="1" applyBorder="1" applyAlignment="1">
      <alignment vertical="center"/>
    </xf>
    <xf numFmtId="0" fontId="8" fillId="3" borderId="17" xfId="0" applyFont="1" applyFill="1" applyBorder="1" applyAlignment="1">
      <alignment vertical="center"/>
    </xf>
    <xf numFmtId="0" fontId="12" fillId="0" borderId="14" xfId="0" applyFont="1" applyBorder="1" applyAlignment="1" applyProtection="1">
      <alignment horizontal="left" vertical="center" wrapText="1"/>
      <protection locked="0"/>
    </xf>
    <xf numFmtId="0" fontId="12" fillId="0" borderId="16" xfId="0" applyFont="1" applyBorder="1" applyAlignment="1" applyProtection="1">
      <alignment horizontal="left" vertical="center" wrapText="1"/>
      <protection locked="0"/>
    </xf>
    <xf numFmtId="0" fontId="12" fillId="0" borderId="17" xfId="0" applyFont="1" applyBorder="1" applyAlignment="1" applyProtection="1">
      <alignment vertical="center"/>
      <protection locked="0"/>
    </xf>
    <xf numFmtId="0" fontId="12"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12" xfId="0" applyFont="1" applyBorder="1" applyAlignment="1" applyProtection="1">
      <alignment vertical="center"/>
      <protection locked="0"/>
    </xf>
    <xf numFmtId="0" fontId="12" fillId="0" borderId="17" xfId="0" applyFont="1" applyBorder="1" applyAlignment="1" applyProtection="1">
      <alignment horizontal="center" vertical="center"/>
      <protection locked="0"/>
    </xf>
    <xf numFmtId="0" fontId="12" fillId="0" borderId="11" xfId="0" applyFont="1" applyBorder="1" applyAlignment="1" applyProtection="1">
      <alignment horizontal="left" vertical="center" wrapText="1"/>
      <protection locked="0"/>
    </xf>
    <xf numFmtId="0" fontId="13" fillId="0" borderId="12" xfId="0" applyFont="1" applyBorder="1" applyAlignment="1" applyProtection="1">
      <alignment horizontal="center" vertical="center"/>
      <protection locked="0"/>
    </xf>
    <xf numFmtId="0" fontId="0" fillId="0" borderId="0" xfId="0" applyAlignment="1">
      <alignment vertical="center"/>
    </xf>
    <xf numFmtId="0" fontId="10" fillId="21" borderId="27" xfId="0" applyFont="1" applyFill="1" applyBorder="1" applyAlignment="1" applyProtection="1">
      <alignment horizontal="center" vertical="center"/>
      <protection locked="0"/>
    </xf>
    <xf numFmtId="0" fontId="10" fillId="21" borderId="28" xfId="0" applyFont="1" applyFill="1" applyBorder="1" applyAlignment="1" applyProtection="1">
      <alignment horizontal="center" vertical="center"/>
      <protection locked="0"/>
    </xf>
    <xf numFmtId="0" fontId="10" fillId="21" borderId="23" xfId="0" applyFont="1" applyFill="1" applyBorder="1" applyAlignment="1" applyProtection="1">
      <alignment horizontal="center" vertical="center"/>
      <protection locked="0"/>
    </xf>
    <xf numFmtId="0" fontId="12" fillId="0" borderId="8" xfId="0" applyFont="1" applyBorder="1" applyAlignment="1" applyProtection="1">
      <alignment horizontal="left" vertical="center" wrapText="1"/>
      <protection locked="0"/>
    </xf>
    <xf numFmtId="0" fontId="12" fillId="0" borderId="34" xfId="0" applyFont="1" applyBorder="1" applyAlignment="1" applyProtection="1">
      <alignment horizontal="left" vertical="center" wrapText="1"/>
      <protection locked="0"/>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2" fillId="21" borderId="6" xfId="0" applyFont="1" applyFill="1" applyBorder="1" applyAlignment="1">
      <alignment horizontal="center" vertical="center"/>
    </xf>
    <xf numFmtId="0" fontId="12" fillId="0" borderId="4" xfId="0" applyFont="1" applyBorder="1" applyAlignment="1" applyProtection="1">
      <alignment horizontal="justify" vertical="center" wrapText="1"/>
      <protection locked="0"/>
    </xf>
    <xf numFmtId="0" fontId="12" fillId="0" borderId="9" xfId="0" applyFont="1" applyBorder="1" applyAlignment="1" applyProtection="1">
      <alignment horizontal="center" vertical="center"/>
      <protection locked="0"/>
    </xf>
    <xf numFmtId="0" fontId="12" fillId="0" borderId="9" xfId="0" applyFont="1" applyBorder="1" applyAlignment="1" applyProtection="1">
      <alignment vertical="center"/>
      <protection locked="0"/>
    </xf>
    <xf numFmtId="0" fontId="0" fillId="3" borderId="9"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0" fillId="3" borderId="12" xfId="0" applyFill="1" applyBorder="1" applyAlignment="1" applyProtection="1">
      <alignment horizontal="center" vertical="center"/>
      <protection locked="0"/>
    </xf>
    <xf numFmtId="0" fontId="0" fillId="3" borderId="17" xfId="0" applyFill="1" applyBorder="1" applyAlignment="1" applyProtection="1">
      <alignment horizontal="center" vertical="center"/>
      <protection locked="0"/>
    </xf>
    <xf numFmtId="0" fontId="10" fillId="21" borderId="23" xfId="0" applyFont="1" applyFill="1" applyBorder="1" applyAlignment="1" applyProtection="1">
      <alignment horizontal="center" vertical="center" wrapText="1"/>
      <protection locked="0"/>
    </xf>
    <xf numFmtId="0" fontId="12" fillId="18" borderId="1" xfId="0" applyFont="1" applyFill="1" applyBorder="1" applyAlignment="1" applyProtection="1">
      <alignment vertical="center"/>
      <protection locked="0"/>
    </xf>
    <xf numFmtId="0" fontId="13" fillId="18" borderId="1" xfId="0" applyFont="1" applyFill="1" applyBorder="1" applyAlignment="1" applyProtection="1">
      <alignment vertical="center"/>
      <protection locked="0"/>
    </xf>
    <xf numFmtId="0" fontId="24" fillId="0" borderId="0" xfId="0" applyFont="1" applyAlignment="1">
      <alignment vertical="center"/>
    </xf>
    <xf numFmtId="0" fontId="10" fillId="21" borderId="21" xfId="0" applyFont="1" applyFill="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12" fillId="0" borderId="7" xfId="0" applyFont="1" applyBorder="1" applyAlignment="1" applyProtection="1">
      <alignment horizontal="center" vertical="center"/>
      <protection locked="0"/>
    </xf>
    <xf numFmtId="0" fontId="12" fillId="0" borderId="44" xfId="0" applyFont="1" applyBorder="1" applyAlignment="1" applyProtection="1">
      <alignment horizontal="center" vertical="center"/>
      <protection locked="0"/>
    </xf>
    <xf numFmtId="0" fontId="12" fillId="0" borderId="45" xfId="0" applyFont="1" applyBorder="1" applyAlignment="1" applyProtection="1">
      <alignment horizontal="center" vertical="center"/>
      <protection locked="0"/>
    </xf>
    <xf numFmtId="0" fontId="0" fillId="0" borderId="40" xfId="0" applyBorder="1" applyAlignment="1">
      <alignment vertical="center"/>
    </xf>
    <xf numFmtId="0" fontId="0" fillId="0" borderId="38" xfId="0" applyBorder="1" applyAlignment="1">
      <alignment vertical="center"/>
    </xf>
    <xf numFmtId="164" fontId="0" fillId="0" borderId="38" xfId="0" applyNumberFormat="1" applyBorder="1" applyAlignment="1">
      <alignment vertical="center"/>
    </xf>
    <xf numFmtId="164" fontId="0" fillId="0" borderId="38" xfId="2" applyFont="1" applyBorder="1" applyAlignment="1">
      <alignment vertical="center"/>
    </xf>
    <xf numFmtId="165" fontId="0" fillId="0" borderId="38" xfId="2" applyNumberFormat="1" applyFont="1" applyBorder="1" applyAlignment="1">
      <alignment vertical="center"/>
    </xf>
    <xf numFmtId="165" fontId="2" fillId="0" borderId="38" xfId="0" applyNumberFormat="1" applyFont="1" applyBorder="1" applyAlignment="1">
      <alignment vertical="center"/>
    </xf>
    <xf numFmtId="164" fontId="0" fillId="0" borderId="39" xfId="2" applyFont="1" applyBorder="1" applyAlignment="1">
      <alignment vertical="center"/>
    </xf>
    <xf numFmtId="165" fontId="0" fillId="0" borderId="46" xfId="2" applyNumberFormat="1" applyFont="1" applyBorder="1" applyAlignment="1">
      <alignment vertical="center"/>
    </xf>
    <xf numFmtId="165" fontId="2" fillId="0" borderId="47" xfId="0" applyNumberFormat="1" applyFont="1" applyBorder="1" applyAlignment="1">
      <alignment vertical="center"/>
    </xf>
    <xf numFmtId="43" fontId="2" fillId="0" borderId="13" xfId="0" applyNumberFormat="1" applyFont="1" applyBorder="1" applyAlignment="1">
      <alignment vertical="center"/>
    </xf>
    <xf numFmtId="43" fontId="2" fillId="0" borderId="15" xfId="0" applyNumberFormat="1" applyFont="1" applyBorder="1" applyAlignment="1">
      <alignment vertical="center"/>
    </xf>
    <xf numFmtId="43" fontId="2" fillId="0" borderId="18" xfId="0" applyNumberFormat="1" applyFont="1" applyBorder="1" applyAlignment="1">
      <alignment vertical="center"/>
    </xf>
    <xf numFmtId="43" fontId="5" fillId="0" borderId="43" xfId="0" applyNumberFormat="1" applyFont="1" applyBorder="1" applyAlignment="1">
      <alignment vertical="center"/>
    </xf>
    <xf numFmtId="0" fontId="13" fillId="5" borderId="13" xfId="0" applyFont="1" applyFill="1" applyBorder="1" applyAlignment="1" applyProtection="1">
      <alignment horizontal="center" vertical="center"/>
      <protection locked="0"/>
    </xf>
    <xf numFmtId="0" fontId="13" fillId="5" borderId="15" xfId="0" applyFont="1" applyFill="1" applyBorder="1" applyAlignment="1" applyProtection="1">
      <alignment horizontal="center" vertical="center"/>
      <protection locked="0"/>
    </xf>
    <xf numFmtId="0" fontId="12" fillId="5" borderId="15" xfId="0" applyFont="1" applyFill="1" applyBorder="1" applyAlignment="1" applyProtection="1">
      <alignment horizontal="center" vertical="center"/>
      <protection locked="0"/>
    </xf>
    <xf numFmtId="0" fontId="12" fillId="5" borderId="13" xfId="0" applyFont="1" applyFill="1" applyBorder="1" applyAlignment="1" applyProtection="1">
      <alignment horizontal="center" vertical="center"/>
      <protection locked="0"/>
    </xf>
    <xf numFmtId="0" fontId="12" fillId="5" borderId="18" xfId="0" applyFont="1" applyFill="1" applyBorder="1" applyAlignment="1" applyProtection="1">
      <alignment horizontal="center" vertical="center"/>
      <protection locked="0"/>
    </xf>
    <xf numFmtId="0" fontId="12" fillId="5" borderId="25" xfId="0" applyFont="1" applyFill="1" applyBorder="1" applyAlignment="1" applyProtection="1">
      <alignment horizontal="center" vertical="center"/>
      <protection locked="0"/>
    </xf>
    <xf numFmtId="0" fontId="13" fillId="5" borderId="18" xfId="0" applyFont="1" applyFill="1" applyBorder="1" applyAlignment="1" applyProtection="1">
      <alignment horizontal="center" vertical="center"/>
      <protection locked="0"/>
    </xf>
    <xf numFmtId="0" fontId="12" fillId="3" borderId="45" xfId="0" applyFont="1" applyFill="1" applyBorder="1" applyAlignment="1" applyProtection="1">
      <alignment horizontal="center" vertical="center"/>
      <protection locked="0"/>
    </xf>
    <xf numFmtId="0" fontId="12" fillId="3" borderId="7" xfId="0" applyFont="1" applyFill="1" applyBorder="1" applyAlignment="1" applyProtection="1">
      <alignment horizontal="center" vertical="center"/>
      <protection locked="0"/>
    </xf>
    <xf numFmtId="0" fontId="31" fillId="7" borderId="1" xfId="0" applyFont="1" applyFill="1" applyBorder="1" applyAlignment="1">
      <alignment horizontal="center" vertical="center"/>
    </xf>
    <xf numFmtId="0" fontId="31" fillId="7" borderId="1" xfId="0" applyFont="1" applyFill="1" applyBorder="1" applyAlignment="1">
      <alignment horizontal="left" vertical="center"/>
    </xf>
    <xf numFmtId="0" fontId="32" fillId="7" borderId="1" xfId="0" applyFont="1" applyFill="1" applyBorder="1" applyAlignment="1">
      <alignment horizontal="center" vertical="center"/>
    </xf>
    <xf numFmtId="0" fontId="32" fillId="0" borderId="0" xfId="0" applyFont="1"/>
    <xf numFmtId="0" fontId="32" fillId="0" borderId="1" xfId="0" applyFont="1" applyBorder="1" applyAlignment="1">
      <alignment horizontal="center" vertical="center"/>
    </xf>
    <xf numFmtId="0" fontId="32" fillId="3" borderId="1" xfId="0" applyFont="1" applyFill="1" applyBorder="1" applyAlignment="1">
      <alignment horizontal="justify" vertical="center" wrapText="1"/>
    </xf>
    <xf numFmtId="0" fontId="32" fillId="0" borderId="1" xfId="0" applyFont="1" applyBorder="1" applyAlignment="1">
      <alignment horizontal="center" vertical="center" wrapText="1"/>
    </xf>
    <xf numFmtId="0" fontId="7" fillId="18" borderId="1" xfId="0" applyFont="1" applyFill="1" applyBorder="1" applyAlignment="1">
      <alignment horizontal="left" vertical="center"/>
    </xf>
    <xf numFmtId="0" fontId="7" fillId="18" borderId="1" xfId="0" applyFont="1" applyFill="1" applyBorder="1" applyAlignment="1">
      <alignment horizontal="center" vertical="center"/>
    </xf>
    <xf numFmtId="43" fontId="7" fillId="18" borderId="1" xfId="0" applyNumberFormat="1" applyFont="1" applyFill="1" applyBorder="1" applyAlignment="1">
      <alignment horizontal="center" vertical="center"/>
    </xf>
    <xf numFmtId="0" fontId="14" fillId="0" borderId="1" xfId="0" applyFont="1" applyBorder="1" applyAlignment="1" applyProtection="1">
      <alignment horizontal="center" wrapText="1"/>
      <protection locked="0"/>
    </xf>
    <xf numFmtId="0" fontId="15" fillId="0" borderId="1" xfId="0" applyFont="1" applyBorder="1" applyAlignment="1" applyProtection="1">
      <alignment horizontal="center" wrapText="1"/>
      <protection locked="0"/>
    </xf>
    <xf numFmtId="0" fontId="2" fillId="0" borderId="0" xfId="0" applyFont="1" applyAlignment="1" applyProtection="1">
      <alignment horizontal="center" wrapText="1"/>
      <protection locked="0"/>
    </xf>
    <xf numFmtId="0" fontId="12" fillId="10" borderId="0" xfId="0" applyFont="1" applyFill="1" applyAlignment="1" applyProtection="1">
      <alignment horizontal="center" wrapText="1"/>
      <protection locked="0"/>
    </xf>
    <xf numFmtId="0" fontId="10" fillId="0" borderId="0" xfId="0" applyFont="1" applyAlignment="1" applyProtection="1">
      <alignment horizontal="center"/>
      <protection locked="0"/>
    </xf>
    <xf numFmtId="0" fontId="12" fillId="18" borderId="5" xfId="0" applyFont="1" applyFill="1" applyBorder="1" applyAlignment="1" applyProtection="1">
      <alignment horizontal="left" vertical="center"/>
      <protection locked="0"/>
    </xf>
    <xf numFmtId="0" fontId="12" fillId="18" borderId="29" xfId="0" applyFont="1" applyFill="1" applyBorder="1" applyAlignment="1" applyProtection="1">
      <alignment horizontal="left" vertical="center"/>
      <protection locked="0"/>
    </xf>
    <xf numFmtId="0" fontId="12" fillId="18" borderId="9" xfId="0" applyFont="1" applyFill="1" applyBorder="1" applyAlignment="1" applyProtection="1">
      <alignment horizontal="left" vertical="center"/>
      <protection locked="0"/>
    </xf>
    <xf numFmtId="0" fontId="10" fillId="19" borderId="42" xfId="0" applyFont="1" applyFill="1" applyBorder="1" applyAlignment="1" applyProtection="1">
      <alignment horizontal="center" vertical="center"/>
      <protection locked="0"/>
    </xf>
    <xf numFmtId="0" fontId="10" fillId="19" borderId="22" xfId="0" applyFont="1" applyFill="1" applyBorder="1" applyAlignment="1" applyProtection="1">
      <alignment horizontal="center" vertical="center"/>
      <protection locked="0"/>
    </xf>
    <xf numFmtId="0" fontId="30" fillId="0" borderId="0" xfId="0" applyFont="1" applyAlignment="1">
      <alignment horizontal="center" vertical="center"/>
    </xf>
    <xf numFmtId="0" fontId="12" fillId="0" borderId="35" xfId="0" applyFont="1" applyBorder="1" applyAlignment="1" applyProtection="1">
      <alignment horizontal="justify" vertical="center" wrapText="1"/>
      <protection locked="0"/>
    </xf>
    <xf numFmtId="0" fontId="12" fillId="0" borderId="36" xfId="0" applyFont="1" applyBorder="1" applyAlignment="1" applyProtection="1">
      <alignment horizontal="justify" vertical="center" wrapText="1"/>
      <protection locked="0"/>
    </xf>
    <xf numFmtId="0" fontId="12" fillId="0" borderId="37" xfId="0" applyFont="1" applyBorder="1" applyAlignment="1" applyProtection="1">
      <alignment horizontal="justify" vertical="center" wrapText="1"/>
      <protection locked="0"/>
    </xf>
    <xf numFmtId="0" fontId="10" fillId="19" borderId="43" xfId="0" applyFont="1" applyFill="1" applyBorder="1" applyAlignment="1" applyProtection="1">
      <alignment horizontal="center" vertical="center"/>
      <protection locked="0"/>
    </xf>
    <xf numFmtId="0" fontId="0" fillId="0" borderId="41"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0" xfId="0" applyFont="1" applyAlignment="1">
      <alignment horizontal="center" vertical="center"/>
    </xf>
    <xf numFmtId="0" fontId="7" fillId="13" borderId="7" xfId="0" applyFont="1" applyFill="1" applyBorder="1" applyAlignment="1">
      <alignment horizontal="center" vertical="center"/>
    </xf>
    <xf numFmtId="0" fontId="7" fillId="13" borderId="10" xfId="0" applyFont="1" applyFill="1" applyBorder="1" applyAlignment="1">
      <alignment horizontal="center" vertical="center"/>
    </xf>
    <xf numFmtId="0" fontId="7" fillId="13" borderId="8" xfId="0" applyFont="1" applyFill="1" applyBorder="1" applyAlignment="1">
      <alignment horizontal="center" vertical="center"/>
    </xf>
    <xf numFmtId="0" fontId="10" fillId="13" borderId="7" xfId="0" applyFont="1" applyFill="1" applyBorder="1" applyAlignment="1">
      <alignment horizontal="center" vertical="center"/>
    </xf>
    <xf numFmtId="0" fontId="10" fillId="13" borderId="10" xfId="0" applyFont="1" applyFill="1" applyBorder="1" applyAlignment="1">
      <alignment horizontal="center" vertical="center"/>
    </xf>
    <xf numFmtId="0" fontId="10" fillId="13" borderId="8"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27" fillId="0" borderId="1" xfId="0" applyFont="1" applyBorder="1" applyAlignment="1">
      <alignment horizontal="justify" vertical="center" wrapText="1"/>
    </xf>
    <xf numFmtId="0" fontId="27" fillId="0" borderId="1" xfId="0" applyFont="1" applyBorder="1" applyAlignment="1">
      <alignment horizontal="justify" vertical="center"/>
    </xf>
    <xf numFmtId="0" fontId="8" fillId="0" borderId="15" xfId="0" applyFont="1" applyBorder="1" applyAlignment="1">
      <alignment horizontal="justify" vertical="center" wrapText="1"/>
    </xf>
    <xf numFmtId="0" fontId="8" fillId="0" borderId="15" xfId="0" applyFont="1" applyBorder="1" applyAlignment="1">
      <alignment horizontal="justify" vertical="center"/>
    </xf>
    <xf numFmtId="0" fontId="7" fillId="3" borderId="17" xfId="0" applyFont="1" applyFill="1" applyBorder="1" applyAlignment="1">
      <alignment horizontal="center" vertical="center"/>
    </xf>
    <xf numFmtId="0" fontId="7" fillId="0" borderId="14" xfId="0" applyFont="1" applyBorder="1" applyAlignment="1">
      <alignment horizontal="justify" vertical="center" wrapText="1"/>
    </xf>
    <xf numFmtId="0" fontId="7" fillId="0" borderId="1" xfId="0" applyFont="1" applyBorder="1" applyAlignment="1">
      <alignment horizontal="justify" vertical="center" wrapText="1"/>
    </xf>
    <xf numFmtId="0" fontId="7" fillId="19" borderId="9" xfId="0" applyFont="1" applyFill="1" applyBorder="1" applyAlignment="1">
      <alignment horizontal="center" vertical="center"/>
    </xf>
    <xf numFmtId="0" fontId="7" fillId="19" borderId="1" xfId="0" applyFont="1" applyFill="1" applyBorder="1" applyAlignment="1">
      <alignment horizontal="center" vertical="center"/>
    </xf>
    <xf numFmtId="0" fontId="8" fillId="0" borderId="32"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 xfId="0" applyFont="1" applyBorder="1" applyAlignment="1">
      <alignment horizontal="justify" vertical="top" wrapText="1"/>
    </xf>
    <xf numFmtId="0" fontId="8" fillId="0" borderId="1" xfId="0" applyFont="1" applyBorder="1" applyAlignment="1">
      <alignment horizontal="justify" vertical="top"/>
    </xf>
    <xf numFmtId="0" fontId="8" fillId="0" borderId="17" xfId="0" applyFont="1" applyBorder="1" applyAlignment="1">
      <alignment horizontal="justify" vertical="top"/>
    </xf>
    <xf numFmtId="0" fontId="28" fillId="0" borderId="15" xfId="0" applyFont="1" applyBorder="1" applyAlignment="1">
      <alignment horizontal="justify" vertical="top" wrapText="1"/>
    </xf>
    <xf numFmtId="0" fontId="28" fillId="0" borderId="15" xfId="0" applyFont="1" applyBorder="1" applyAlignment="1">
      <alignment horizontal="justify" vertical="top"/>
    </xf>
    <xf numFmtId="0" fontId="28" fillId="0" borderId="18" xfId="0" applyFont="1" applyBorder="1" applyAlignment="1">
      <alignment horizontal="justify" vertical="top"/>
    </xf>
    <xf numFmtId="0" fontId="27" fillId="0" borderId="5" xfId="0" applyFont="1" applyBorder="1" applyAlignment="1">
      <alignment horizontal="justify" vertical="center" wrapText="1"/>
    </xf>
    <xf numFmtId="0" fontId="27" fillId="0" borderId="29" xfId="0" applyFont="1" applyBorder="1" applyAlignment="1">
      <alignment horizontal="justify" vertical="center" wrapText="1"/>
    </xf>
    <xf numFmtId="0" fontId="27" fillId="0" borderId="9" xfId="0" applyFont="1" applyBorder="1" applyAlignment="1">
      <alignment horizontal="justify" vertical="center" wrapText="1"/>
    </xf>
    <xf numFmtId="0" fontId="8"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25" xfId="0" applyFont="1" applyBorder="1" applyAlignment="1">
      <alignment horizontal="justify" vertical="center" wrapText="1"/>
    </xf>
    <xf numFmtId="0" fontId="7" fillId="19" borderId="25" xfId="0" applyFont="1" applyFill="1" applyBorder="1" applyAlignment="1">
      <alignment horizontal="center" vertical="center"/>
    </xf>
    <xf numFmtId="0" fontId="7" fillId="19" borderId="15"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5" xfId="0" applyFont="1" applyBorder="1" applyAlignment="1">
      <alignment horizontal="left" vertical="center" wrapText="1"/>
    </xf>
    <xf numFmtId="0" fontId="6" fillId="0" borderId="1" xfId="0" applyFont="1" applyBorder="1" applyAlignment="1">
      <alignment horizontal="left"/>
    </xf>
    <xf numFmtId="0" fontId="6" fillId="0" borderId="15" xfId="0" applyFont="1" applyBorder="1" applyAlignment="1">
      <alignment horizontal="left"/>
    </xf>
    <xf numFmtId="0" fontId="6" fillId="0" borderId="17" xfId="0" applyFont="1" applyBorder="1" applyAlignment="1">
      <alignment horizontal="left"/>
    </xf>
    <xf numFmtId="0" fontId="6" fillId="0" borderId="18" xfId="0" applyFont="1" applyBorder="1" applyAlignment="1">
      <alignment horizontal="left"/>
    </xf>
    <xf numFmtId="0" fontId="7" fillId="3" borderId="21" xfId="0" applyFont="1" applyFill="1" applyBorder="1" applyAlignment="1">
      <alignment horizontal="right" vertical="center"/>
    </xf>
    <xf numFmtId="0" fontId="7" fillId="3" borderId="22" xfId="0" applyFont="1" applyFill="1" applyBorder="1" applyAlignment="1">
      <alignment horizontal="right" vertical="center"/>
    </xf>
    <xf numFmtId="0" fontId="7" fillId="3" borderId="23" xfId="0" applyFont="1" applyFill="1" applyBorder="1" applyAlignment="1">
      <alignment horizontal="right" vertical="center"/>
    </xf>
    <xf numFmtId="0" fontId="22" fillId="0" borderId="0" xfId="0" applyFont="1" applyAlignment="1">
      <alignment horizontal="justify" wrapText="1"/>
    </xf>
    <xf numFmtId="0" fontId="7" fillId="0" borderId="0" xfId="0" applyFont="1" applyAlignment="1">
      <alignment horizontal="center"/>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21" fillId="0" borderId="0" xfId="0" applyFont="1" applyAlignment="1">
      <alignment horizontal="left" wrapText="1"/>
    </xf>
    <xf numFmtId="0" fontId="21" fillId="0" borderId="0" xfId="0" applyFont="1" applyAlignment="1">
      <alignment horizontal="left"/>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8"/>
  <sheetViews>
    <sheetView zoomScale="140" zoomScaleNormal="140" workbookViewId="0">
      <selection activeCell="D7" sqref="D7"/>
    </sheetView>
  </sheetViews>
  <sheetFormatPr baseColWidth="10" defaultColWidth="9.140625" defaultRowHeight="12.75" x14ac:dyDescent="0.2"/>
  <cols>
    <col min="1" max="1" width="5.42578125" style="44" bestFit="1" customWidth="1"/>
    <col min="2" max="2" width="27.7109375" style="44" bestFit="1" customWidth="1"/>
    <col min="3" max="3" width="29.140625" style="44" bestFit="1" customWidth="1"/>
    <col min="4" max="4" width="31.85546875" style="44" bestFit="1" customWidth="1"/>
    <col min="5" max="5" width="13.28515625" style="44" bestFit="1" customWidth="1"/>
    <col min="6" max="6" width="16.42578125" style="44" customWidth="1"/>
    <col min="7" max="7" width="19" style="44" customWidth="1"/>
    <col min="8" max="8" width="7.28515625" style="42" customWidth="1"/>
    <col min="9" max="12" width="18.28515625" style="42" customWidth="1"/>
    <col min="13" max="13" width="7.28515625" style="42" customWidth="1"/>
    <col min="14" max="14" width="19.140625" style="43" bestFit="1" customWidth="1"/>
    <col min="15" max="15" width="16.140625" style="43" bestFit="1" customWidth="1"/>
    <col min="16" max="16" width="12.7109375" style="44" bestFit="1" customWidth="1"/>
    <col min="17" max="17" width="14.140625" style="44" bestFit="1" customWidth="1"/>
    <col min="18" max="18" width="17.28515625" style="44" bestFit="1" customWidth="1"/>
    <col min="19" max="19" width="15.5703125" style="44" bestFit="1" customWidth="1"/>
    <col min="20" max="20" width="19.7109375" style="44" customWidth="1"/>
    <col min="21" max="21" width="15.5703125" style="44" bestFit="1" customWidth="1"/>
    <col min="22" max="22" width="13" style="44" bestFit="1" customWidth="1"/>
    <col min="23" max="23" width="10" style="44" bestFit="1" customWidth="1"/>
    <col min="24" max="16384" width="9.140625" style="44"/>
  </cols>
  <sheetData>
    <row r="1" spans="1:20" ht="26.25" customHeight="1" x14ac:dyDescent="0.2">
      <c r="A1" s="273" t="s">
        <v>194</v>
      </c>
      <c r="B1" s="273"/>
      <c r="C1" s="273"/>
      <c r="D1" s="273"/>
      <c r="E1" s="273"/>
      <c r="F1" s="273"/>
      <c r="G1" s="273"/>
      <c r="H1" s="273"/>
      <c r="I1" s="273"/>
      <c r="J1" s="273"/>
      <c r="K1" s="273"/>
      <c r="L1" s="273"/>
    </row>
    <row r="2" spans="1:20" ht="21" customHeight="1" x14ac:dyDescent="0.2">
      <c r="A2" s="273"/>
      <c r="B2" s="273"/>
      <c r="C2" s="273"/>
      <c r="D2" s="273"/>
      <c r="E2" s="273"/>
      <c r="F2" s="273"/>
      <c r="G2" s="273"/>
      <c r="H2" s="273"/>
      <c r="I2" s="273"/>
      <c r="J2" s="273"/>
      <c r="K2" s="273"/>
      <c r="L2" s="273"/>
    </row>
    <row r="3" spans="1:20" x14ac:dyDescent="0.2">
      <c r="I3" s="271" t="s">
        <v>137</v>
      </c>
      <c r="J3" s="271"/>
      <c r="K3" s="272" t="s">
        <v>138</v>
      </c>
      <c r="L3" s="272"/>
    </row>
    <row r="4" spans="1:20" ht="25.5" x14ac:dyDescent="0.2">
      <c r="A4" s="41" t="s">
        <v>0</v>
      </c>
      <c r="B4" s="41"/>
      <c r="C4" s="41" t="s">
        <v>2</v>
      </c>
      <c r="D4" s="41" t="s">
        <v>1</v>
      </c>
      <c r="E4" s="41" t="s">
        <v>3</v>
      </c>
      <c r="F4" s="41" t="s">
        <v>4</v>
      </c>
      <c r="G4" s="41" t="s">
        <v>5</v>
      </c>
      <c r="I4" s="66" t="s">
        <v>135</v>
      </c>
      <c r="J4" s="66" t="s">
        <v>136</v>
      </c>
      <c r="K4" s="67" t="s">
        <v>135</v>
      </c>
      <c r="L4" s="67" t="s">
        <v>136</v>
      </c>
      <c r="N4" s="41" t="s">
        <v>74</v>
      </c>
      <c r="O4" s="41" t="s">
        <v>75</v>
      </c>
      <c r="R4" s="41" t="s">
        <v>74</v>
      </c>
      <c r="S4" s="41" t="s">
        <v>75</v>
      </c>
    </row>
    <row r="5" spans="1:20" x14ac:dyDescent="0.2">
      <c r="A5" s="134"/>
      <c r="B5" s="135"/>
      <c r="C5" s="134" t="s">
        <v>70</v>
      </c>
      <c r="D5" s="45"/>
      <c r="E5" s="45"/>
      <c r="F5" s="45"/>
      <c r="G5" s="46">
        <f>SUM(G6:G9)</f>
        <v>403088123.00000006</v>
      </c>
      <c r="I5" s="70"/>
      <c r="J5" s="71"/>
      <c r="K5" s="70"/>
      <c r="L5" s="72"/>
      <c r="N5" s="47"/>
      <c r="O5" s="47"/>
      <c r="R5" s="47"/>
      <c r="S5" s="47"/>
    </row>
    <row r="6" spans="1:20" x14ac:dyDescent="0.2">
      <c r="A6" s="55">
        <v>1</v>
      </c>
      <c r="B6" s="149" t="s">
        <v>199</v>
      </c>
      <c r="C6" s="136" t="s">
        <v>201</v>
      </c>
      <c r="D6" s="231" t="s">
        <v>61</v>
      </c>
      <c r="E6" s="175">
        <v>1</v>
      </c>
      <c r="F6" s="139">
        <f>+'Hoja V2'!F16/3</f>
        <v>50180350.000000007</v>
      </c>
      <c r="G6" s="139">
        <f t="shared" ref="G6" si="0">+F6*E6</f>
        <v>50180350.000000007</v>
      </c>
      <c r="I6" s="69" t="s">
        <v>139</v>
      </c>
      <c r="J6" s="76"/>
      <c r="K6" s="69" t="s">
        <v>139</v>
      </c>
      <c r="L6" s="79"/>
      <c r="N6" s="55">
        <v>36</v>
      </c>
      <c r="O6" s="55">
        <v>1</v>
      </c>
      <c r="R6" s="47">
        <v>36</v>
      </c>
      <c r="S6" s="47">
        <v>1</v>
      </c>
    </row>
    <row r="7" spans="1:20" ht="25.5" x14ac:dyDescent="0.2">
      <c r="A7" s="55">
        <v>2</v>
      </c>
      <c r="B7" s="150" t="s">
        <v>206</v>
      </c>
      <c r="C7" s="136" t="s">
        <v>55</v>
      </c>
      <c r="D7" s="137" t="s">
        <v>60</v>
      </c>
      <c r="E7" s="175">
        <v>1</v>
      </c>
      <c r="F7" s="139">
        <f>+F6+('Hoja V2'!F22/3)</f>
        <v>134362707.66666669</v>
      </c>
      <c r="G7" s="139">
        <f>+F7*E7</f>
        <v>134362707.66666669</v>
      </c>
      <c r="I7" s="69" t="s">
        <v>139</v>
      </c>
      <c r="J7" s="69" t="s">
        <v>139</v>
      </c>
      <c r="K7" s="69" t="s">
        <v>139</v>
      </c>
      <c r="L7" s="79"/>
      <c r="N7" s="55">
        <v>36</v>
      </c>
      <c r="O7" s="55">
        <v>1</v>
      </c>
      <c r="R7" s="47">
        <v>36</v>
      </c>
      <c r="S7" s="47">
        <v>1</v>
      </c>
    </row>
    <row r="8" spans="1:20" x14ac:dyDescent="0.2">
      <c r="A8" s="55">
        <v>3</v>
      </c>
      <c r="B8" s="150" t="s">
        <v>203</v>
      </c>
      <c r="C8" s="136" t="s">
        <v>150</v>
      </c>
      <c r="D8" s="137" t="s">
        <v>60</v>
      </c>
      <c r="E8" s="175">
        <v>1</v>
      </c>
      <c r="F8" s="139">
        <f>+F7</f>
        <v>134362707.66666669</v>
      </c>
      <c r="G8" s="139">
        <f>+F8*E8</f>
        <v>134362707.66666669</v>
      </c>
      <c r="I8" s="69" t="s">
        <v>139</v>
      </c>
      <c r="J8" s="69" t="s">
        <v>139</v>
      </c>
      <c r="K8" s="69" t="s">
        <v>139</v>
      </c>
      <c r="L8" s="79"/>
      <c r="N8" s="55">
        <v>13</v>
      </c>
      <c r="O8" s="55">
        <v>1</v>
      </c>
      <c r="R8" s="47">
        <v>13</v>
      </c>
      <c r="S8" s="47">
        <v>1</v>
      </c>
    </row>
    <row r="9" spans="1:20" ht="25.5" x14ac:dyDescent="0.2">
      <c r="A9" s="55">
        <v>4</v>
      </c>
      <c r="B9" s="150" t="s">
        <v>204</v>
      </c>
      <c r="C9" s="140" t="s">
        <v>58</v>
      </c>
      <c r="D9" s="137" t="s">
        <v>159</v>
      </c>
      <c r="E9" s="175">
        <v>1</v>
      </c>
      <c r="F9" s="139">
        <f>+'Hoja V2'!F22/3</f>
        <v>84182357.666666672</v>
      </c>
      <c r="G9" s="139">
        <f>+F9*E9</f>
        <v>84182357.666666672</v>
      </c>
      <c r="I9" s="69" t="s">
        <v>139</v>
      </c>
      <c r="J9" s="69" t="s">
        <v>139</v>
      </c>
      <c r="K9" s="69" t="s">
        <v>139</v>
      </c>
      <c r="L9" s="79"/>
      <c r="N9" s="55">
        <v>80</v>
      </c>
      <c r="O9" s="55">
        <v>1</v>
      </c>
      <c r="R9" s="47">
        <v>80</v>
      </c>
      <c r="S9" s="47">
        <v>1</v>
      </c>
    </row>
    <row r="10" spans="1:20" x14ac:dyDescent="0.2">
      <c r="A10" s="134"/>
      <c r="B10" s="135"/>
      <c r="C10" s="134" t="s">
        <v>72</v>
      </c>
      <c r="D10" s="137"/>
      <c r="E10" s="138"/>
      <c r="F10" s="139"/>
      <c r="G10" s="141">
        <f>SUM(G12:G15)</f>
        <v>231594000</v>
      </c>
      <c r="I10" s="73"/>
      <c r="J10" s="74"/>
      <c r="K10" s="73"/>
      <c r="L10" s="75"/>
      <c r="N10" s="53">
        <f>SUM(N5:N9)</f>
        <v>165</v>
      </c>
      <c r="O10" s="53">
        <f>SUM(O5:O9)</f>
        <v>4</v>
      </c>
      <c r="P10" s="44">
        <f>+N10*4</f>
        <v>660</v>
      </c>
      <c r="R10" s="53">
        <f>SUM(R5:R9)</f>
        <v>165</v>
      </c>
      <c r="S10" s="53">
        <f>SUM(S5:S9)</f>
        <v>4</v>
      </c>
      <c r="T10" s="44">
        <f>+R10*4</f>
        <v>660</v>
      </c>
    </row>
    <row r="11" spans="1:20" ht="15" customHeight="1" x14ac:dyDescent="0.2">
      <c r="A11" s="55">
        <v>5</v>
      </c>
      <c r="B11" s="276" t="s">
        <v>208</v>
      </c>
      <c r="C11" s="181" t="s">
        <v>58</v>
      </c>
      <c r="D11" s="137" t="s">
        <v>63</v>
      </c>
      <c r="E11" s="175">
        <v>1</v>
      </c>
      <c r="F11" s="139"/>
      <c r="G11" s="141"/>
      <c r="I11" s="69" t="s">
        <v>139</v>
      </c>
      <c r="J11" s="69" t="s">
        <v>139</v>
      </c>
      <c r="K11" s="69" t="s">
        <v>139</v>
      </c>
      <c r="L11" s="68" t="s">
        <v>139</v>
      </c>
      <c r="N11" s="55">
        <v>29</v>
      </c>
      <c r="O11" s="47">
        <v>1</v>
      </c>
      <c r="R11" s="53"/>
      <c r="S11" s="53"/>
    </row>
    <row r="12" spans="1:20" x14ac:dyDescent="0.2">
      <c r="A12" s="55">
        <v>6</v>
      </c>
      <c r="B12" s="277"/>
      <c r="C12" s="181" t="s">
        <v>151</v>
      </c>
      <c r="D12" s="231" t="s">
        <v>63</v>
      </c>
      <c r="E12" s="175">
        <v>2</v>
      </c>
      <c r="F12" s="139">
        <f>+'Hoja V2'!E7+3011250</f>
        <v>28949250</v>
      </c>
      <c r="G12" s="139">
        <f>+F12*E12</f>
        <v>57898500</v>
      </c>
      <c r="I12" s="69" t="s">
        <v>139</v>
      </c>
      <c r="J12" s="69" t="s">
        <v>139</v>
      </c>
      <c r="K12" s="69" t="s">
        <v>139</v>
      </c>
      <c r="L12" s="68" t="s">
        <v>139</v>
      </c>
      <c r="N12" s="55">
        <v>67</v>
      </c>
      <c r="O12" s="47">
        <v>1</v>
      </c>
      <c r="Q12" s="54"/>
      <c r="R12" s="47">
        <v>67</v>
      </c>
      <c r="S12" s="47">
        <v>2</v>
      </c>
    </row>
    <row r="13" spans="1:20" x14ac:dyDescent="0.2">
      <c r="A13" s="55">
        <v>7</v>
      </c>
      <c r="B13" s="277"/>
      <c r="C13" s="181" t="s">
        <v>54</v>
      </c>
      <c r="D13" s="137" t="s">
        <v>63</v>
      </c>
      <c r="E13" s="175">
        <v>2</v>
      </c>
      <c r="F13" s="139">
        <f>+F12</f>
        <v>28949250</v>
      </c>
      <c r="G13" s="139">
        <f>+F13*E13</f>
        <v>57898500</v>
      </c>
      <c r="I13" s="69" t="s">
        <v>139</v>
      </c>
      <c r="J13" s="77"/>
      <c r="K13" s="69" t="s">
        <v>139</v>
      </c>
      <c r="L13" s="80"/>
      <c r="N13" s="55">
        <v>31</v>
      </c>
      <c r="O13" s="47">
        <v>2</v>
      </c>
      <c r="R13" s="47">
        <v>31</v>
      </c>
      <c r="S13" s="47">
        <v>2</v>
      </c>
    </row>
    <row r="14" spans="1:20" x14ac:dyDescent="0.2">
      <c r="A14" s="55">
        <v>8</v>
      </c>
      <c r="B14" s="277"/>
      <c r="C14" s="181" t="s">
        <v>56</v>
      </c>
      <c r="D14" s="231" t="s">
        <v>63</v>
      </c>
      <c r="E14" s="175">
        <v>1</v>
      </c>
      <c r="F14" s="139">
        <f>+F15</f>
        <v>28949250</v>
      </c>
      <c r="G14" s="139">
        <f>+F14*E14</f>
        <v>28949250</v>
      </c>
      <c r="I14" s="69" t="s">
        <v>139</v>
      </c>
      <c r="J14" s="77"/>
      <c r="K14" s="69" t="s">
        <v>139</v>
      </c>
      <c r="L14" s="80"/>
      <c r="N14" s="55">
        <v>50</v>
      </c>
      <c r="O14" s="47">
        <v>1</v>
      </c>
      <c r="R14" s="47">
        <v>50</v>
      </c>
      <c r="S14" s="47">
        <v>1</v>
      </c>
    </row>
    <row r="15" spans="1:20" x14ac:dyDescent="0.2">
      <c r="A15" s="55">
        <v>8</v>
      </c>
      <c r="B15" s="278"/>
      <c r="C15" s="181" t="s">
        <v>57</v>
      </c>
      <c r="D15" s="137" t="s">
        <v>63</v>
      </c>
      <c r="E15" s="175">
        <v>3</v>
      </c>
      <c r="F15" s="139">
        <f>+F13</f>
        <v>28949250</v>
      </c>
      <c r="G15" s="139">
        <f>+F15*E15</f>
        <v>86847750</v>
      </c>
      <c r="I15" s="69" t="s">
        <v>139</v>
      </c>
      <c r="J15" s="77"/>
      <c r="K15" s="69" t="s">
        <v>139</v>
      </c>
      <c r="L15" s="80"/>
      <c r="N15" s="55">
        <v>65</v>
      </c>
      <c r="O15" s="47">
        <v>3</v>
      </c>
      <c r="R15" s="47">
        <v>65</v>
      </c>
      <c r="S15" s="47">
        <v>3</v>
      </c>
    </row>
    <row r="16" spans="1:20" x14ac:dyDescent="0.2">
      <c r="A16" s="134"/>
      <c r="B16" s="135"/>
      <c r="C16" s="134" t="s">
        <v>71</v>
      </c>
      <c r="D16" s="137"/>
      <c r="E16" s="138"/>
      <c r="F16" s="139"/>
      <c r="G16" s="141">
        <f>SUM(G17:G28)</f>
        <v>818280000</v>
      </c>
      <c r="I16" s="73"/>
      <c r="J16" s="74"/>
      <c r="K16" s="73"/>
      <c r="L16" s="78"/>
      <c r="N16" s="53">
        <f>SUM(N11:N15)</f>
        <v>242</v>
      </c>
      <c r="O16" s="53">
        <f>SUM(O11:O15)</f>
        <v>8</v>
      </c>
      <c r="P16" s="44">
        <f>+N16*4</f>
        <v>968</v>
      </c>
      <c r="Q16" s="54"/>
      <c r="R16" s="53">
        <f>SUM(R12:R15)</f>
        <v>213</v>
      </c>
      <c r="S16" s="53">
        <f>SUM(S12:S15)</f>
        <v>8</v>
      </c>
      <c r="T16" s="44">
        <f>+R16*4</f>
        <v>852</v>
      </c>
    </row>
    <row r="17" spans="1:20" x14ac:dyDescent="0.2">
      <c r="A17" s="47">
        <v>9</v>
      </c>
      <c r="B17" s="149" t="s">
        <v>239</v>
      </c>
      <c r="C17" s="182" t="s">
        <v>240</v>
      </c>
      <c r="D17" s="137" t="s">
        <v>62</v>
      </c>
      <c r="E17" s="175">
        <v>1</v>
      </c>
      <c r="F17" s="139">
        <f>+'Hoja V2'!E12</f>
        <v>40810000</v>
      </c>
      <c r="G17" s="139">
        <f>+F17*E17</f>
        <v>40810000</v>
      </c>
      <c r="I17" s="69" t="s">
        <v>139</v>
      </c>
      <c r="J17" s="69" t="s">
        <v>139</v>
      </c>
      <c r="K17" s="69" t="s">
        <v>139</v>
      </c>
      <c r="L17" s="68" t="s">
        <v>139</v>
      </c>
      <c r="N17" s="55">
        <v>51</v>
      </c>
      <c r="O17" s="47">
        <v>1</v>
      </c>
      <c r="R17" s="47">
        <v>51</v>
      </c>
      <c r="S17" s="47">
        <v>2</v>
      </c>
    </row>
    <row r="18" spans="1:20" x14ac:dyDescent="0.2">
      <c r="A18" s="55">
        <v>10</v>
      </c>
      <c r="B18" s="149" t="s">
        <v>238</v>
      </c>
      <c r="C18" s="182" t="s">
        <v>241</v>
      </c>
      <c r="D18" s="137" t="s">
        <v>62</v>
      </c>
      <c r="E18" s="175">
        <v>1</v>
      </c>
      <c r="F18" s="139"/>
      <c r="G18" s="139"/>
      <c r="I18" s="69" t="s">
        <v>139</v>
      </c>
      <c r="J18" s="69"/>
      <c r="K18" s="69"/>
      <c r="L18" s="68"/>
      <c r="N18" s="55">
        <v>42</v>
      </c>
      <c r="O18" s="47">
        <v>1</v>
      </c>
      <c r="R18" s="47"/>
      <c r="S18" s="47"/>
    </row>
    <row r="19" spans="1:20" x14ac:dyDescent="0.2">
      <c r="A19" s="55">
        <v>11</v>
      </c>
      <c r="B19" s="149" t="s">
        <v>205</v>
      </c>
      <c r="C19" s="182" t="s">
        <v>53</v>
      </c>
      <c r="D19" s="137" t="s">
        <v>106</v>
      </c>
      <c r="E19" s="175">
        <v>1</v>
      </c>
      <c r="F19" s="151">
        <f>+'Hoja V2'!E14</f>
        <v>71060000</v>
      </c>
      <c r="G19" s="151">
        <f t="shared" ref="G19:G25" si="1">+F19</f>
        <v>71060000</v>
      </c>
      <c r="I19" s="69" t="s">
        <v>139</v>
      </c>
      <c r="J19" s="77"/>
      <c r="K19" s="69" t="s">
        <v>139</v>
      </c>
      <c r="L19" s="79"/>
      <c r="N19" s="55">
        <v>50</v>
      </c>
      <c r="O19" s="47">
        <v>1</v>
      </c>
      <c r="R19" s="47">
        <v>50</v>
      </c>
      <c r="S19" s="47">
        <v>1</v>
      </c>
    </row>
    <row r="20" spans="1:20" hidden="1" x14ac:dyDescent="0.2">
      <c r="A20" s="55">
        <v>12</v>
      </c>
      <c r="B20" s="148"/>
      <c r="C20" s="182" t="s">
        <v>65</v>
      </c>
      <c r="D20" s="137" t="s">
        <v>66</v>
      </c>
      <c r="E20" s="175">
        <v>2</v>
      </c>
      <c r="F20" s="139">
        <v>0</v>
      </c>
      <c r="G20" s="139">
        <f t="shared" si="1"/>
        <v>0</v>
      </c>
      <c r="I20" s="69" t="s">
        <v>139</v>
      </c>
      <c r="J20" s="77"/>
      <c r="K20" s="69" t="s">
        <v>139</v>
      </c>
      <c r="L20" s="79"/>
      <c r="N20" s="55">
        <v>0</v>
      </c>
      <c r="O20" s="95">
        <v>0</v>
      </c>
      <c r="R20" s="92">
        <v>482</v>
      </c>
      <c r="S20" s="92">
        <v>1</v>
      </c>
    </row>
    <row r="21" spans="1:20" x14ac:dyDescent="0.2">
      <c r="A21" s="55">
        <v>13</v>
      </c>
      <c r="B21" s="149" t="s">
        <v>202</v>
      </c>
      <c r="C21" s="182" t="s">
        <v>59</v>
      </c>
      <c r="D21" s="137" t="s">
        <v>106</v>
      </c>
      <c r="E21" s="175">
        <v>1</v>
      </c>
      <c r="F21" s="139">
        <f>+F19</f>
        <v>71060000</v>
      </c>
      <c r="G21" s="139">
        <f t="shared" si="1"/>
        <v>71060000</v>
      </c>
      <c r="I21" s="69" t="s">
        <v>139</v>
      </c>
      <c r="J21" s="69" t="s">
        <v>139</v>
      </c>
      <c r="K21" s="69" t="s">
        <v>139</v>
      </c>
      <c r="L21" s="68" t="s">
        <v>139</v>
      </c>
      <c r="N21" s="55">
        <v>49</v>
      </c>
      <c r="O21" s="47">
        <v>1</v>
      </c>
      <c r="R21" s="47">
        <v>49</v>
      </c>
      <c r="S21" s="47">
        <v>1</v>
      </c>
    </row>
    <row r="22" spans="1:20" hidden="1" x14ac:dyDescent="0.2">
      <c r="A22" s="55">
        <v>14</v>
      </c>
      <c r="B22" s="148"/>
      <c r="C22" s="142" t="s">
        <v>67</v>
      </c>
      <c r="D22" s="137" t="s">
        <v>66</v>
      </c>
      <c r="E22" s="175">
        <v>4</v>
      </c>
      <c r="F22" s="139">
        <v>0</v>
      </c>
      <c r="G22" s="139">
        <f t="shared" si="1"/>
        <v>0</v>
      </c>
      <c r="I22" s="69" t="s">
        <v>139</v>
      </c>
      <c r="J22" s="77"/>
      <c r="K22" s="69" t="s">
        <v>139</v>
      </c>
      <c r="L22" s="79"/>
      <c r="N22" s="55">
        <v>0</v>
      </c>
      <c r="O22" s="95">
        <v>0</v>
      </c>
      <c r="R22" s="92">
        <v>50</v>
      </c>
      <c r="S22" s="92">
        <v>1</v>
      </c>
    </row>
    <row r="23" spans="1:20" x14ac:dyDescent="0.2">
      <c r="A23" s="55">
        <v>15</v>
      </c>
      <c r="B23" s="149" t="s">
        <v>200</v>
      </c>
      <c r="C23" s="182" t="s">
        <v>152</v>
      </c>
      <c r="D23" s="137" t="s">
        <v>106</v>
      </c>
      <c r="E23" s="175">
        <v>1</v>
      </c>
      <c r="F23" s="139">
        <f>+F21</f>
        <v>71060000</v>
      </c>
      <c r="G23" s="139">
        <f t="shared" si="1"/>
        <v>71060000</v>
      </c>
      <c r="I23" s="69" t="s">
        <v>139</v>
      </c>
      <c r="J23" s="69" t="s">
        <v>139</v>
      </c>
      <c r="K23" s="69" t="s">
        <v>139</v>
      </c>
      <c r="L23" s="79"/>
      <c r="N23" s="55">
        <v>43</v>
      </c>
      <c r="O23" s="47">
        <v>1</v>
      </c>
      <c r="R23" s="47">
        <v>43</v>
      </c>
      <c r="S23" s="47">
        <v>1</v>
      </c>
    </row>
    <row r="24" spans="1:20" x14ac:dyDescent="0.2">
      <c r="A24" s="55">
        <v>16</v>
      </c>
      <c r="B24" s="149" t="s">
        <v>242</v>
      </c>
      <c r="C24" s="182" t="s">
        <v>58</v>
      </c>
      <c r="D24" s="137" t="s">
        <v>62</v>
      </c>
      <c r="E24" s="175">
        <v>5</v>
      </c>
      <c r="F24" s="151">
        <f>+'Hoja V2'!E12</f>
        <v>40810000</v>
      </c>
      <c r="G24" s="151">
        <f>+F24*E24</f>
        <v>204050000</v>
      </c>
      <c r="I24" s="69" t="s">
        <v>139</v>
      </c>
      <c r="J24" s="69" t="s">
        <v>139</v>
      </c>
      <c r="K24" s="69" t="s">
        <v>139</v>
      </c>
      <c r="L24" s="79"/>
      <c r="N24" s="55">
        <v>25</v>
      </c>
      <c r="O24" s="47">
        <v>1</v>
      </c>
      <c r="R24" s="47">
        <v>25</v>
      </c>
      <c r="S24" s="47">
        <v>5</v>
      </c>
    </row>
    <row r="25" spans="1:20" x14ac:dyDescent="0.2">
      <c r="A25" s="55">
        <v>17</v>
      </c>
      <c r="B25" s="149" t="s">
        <v>207</v>
      </c>
      <c r="C25" s="182" t="s">
        <v>247</v>
      </c>
      <c r="D25" s="137" t="s">
        <v>69</v>
      </c>
      <c r="E25" s="175">
        <v>1</v>
      </c>
      <c r="F25" s="139">
        <f>+'Hoja V2'!E13</f>
        <v>55440000</v>
      </c>
      <c r="G25" s="139">
        <f t="shared" si="1"/>
        <v>55440000</v>
      </c>
      <c r="I25" s="69" t="s">
        <v>139</v>
      </c>
      <c r="J25" s="69" t="s">
        <v>139</v>
      </c>
      <c r="K25" s="69" t="s">
        <v>139</v>
      </c>
      <c r="L25" s="79"/>
      <c r="N25" s="55">
        <v>26</v>
      </c>
      <c r="O25" s="55">
        <v>1</v>
      </c>
      <c r="R25" s="55">
        <v>26</v>
      </c>
      <c r="S25" s="55">
        <v>1</v>
      </c>
    </row>
    <row r="26" spans="1:20" x14ac:dyDescent="0.2">
      <c r="A26" s="55">
        <v>18</v>
      </c>
      <c r="B26" s="150" t="s">
        <v>246</v>
      </c>
      <c r="C26" s="182" t="s">
        <v>153</v>
      </c>
      <c r="D26" s="137" t="s">
        <v>69</v>
      </c>
      <c r="E26" s="175">
        <v>2</v>
      </c>
      <c r="F26" s="139">
        <f>+'Hoja V2'!E13</f>
        <v>55440000</v>
      </c>
      <c r="G26" s="139">
        <f>+F26*E26</f>
        <v>110880000</v>
      </c>
      <c r="I26" s="69" t="s">
        <v>139</v>
      </c>
      <c r="J26" s="69" t="s">
        <v>139</v>
      </c>
      <c r="K26" s="69" t="s">
        <v>139</v>
      </c>
      <c r="L26" s="79"/>
      <c r="N26" s="55">
        <f>21+20</f>
        <v>41</v>
      </c>
      <c r="O26" s="55">
        <v>2</v>
      </c>
      <c r="R26" s="55">
        <v>41</v>
      </c>
      <c r="S26" s="55">
        <v>2</v>
      </c>
    </row>
    <row r="27" spans="1:20" ht="25.5" x14ac:dyDescent="0.2">
      <c r="A27" s="55">
        <v>19</v>
      </c>
      <c r="B27" s="150" t="s">
        <v>244</v>
      </c>
      <c r="C27" s="182" t="s">
        <v>150</v>
      </c>
      <c r="D27" s="137" t="s">
        <v>209</v>
      </c>
      <c r="E27" s="175">
        <v>1</v>
      </c>
      <c r="F27" s="139">
        <f>+'Hoja V2'!E15</f>
        <v>96960000</v>
      </c>
      <c r="G27" s="139">
        <f t="shared" ref="G27" si="2">+F27</f>
        <v>96960000</v>
      </c>
      <c r="I27" s="69" t="s">
        <v>139</v>
      </c>
      <c r="J27" s="69" t="s">
        <v>139</v>
      </c>
      <c r="K27" s="69" t="s">
        <v>139</v>
      </c>
      <c r="L27" s="79"/>
      <c r="N27" s="55">
        <v>32</v>
      </c>
      <c r="O27" s="55">
        <v>1</v>
      </c>
      <c r="R27" s="55"/>
      <c r="S27" s="55"/>
    </row>
    <row r="28" spans="1:20" ht="13.5" thickBot="1" x14ac:dyDescent="0.25">
      <c r="A28" s="55">
        <v>20</v>
      </c>
      <c r="B28" s="150" t="s">
        <v>243</v>
      </c>
      <c r="C28" s="182" t="s">
        <v>245</v>
      </c>
      <c r="D28" s="137" t="s">
        <v>209</v>
      </c>
      <c r="E28" s="175">
        <v>1</v>
      </c>
      <c r="F28" s="139">
        <f>+F27</f>
        <v>96960000</v>
      </c>
      <c r="G28" s="139">
        <f t="shared" ref="G28" si="3">+F28</f>
        <v>96960000</v>
      </c>
      <c r="I28" s="69" t="s">
        <v>139</v>
      </c>
      <c r="J28" s="69" t="s">
        <v>139</v>
      </c>
      <c r="K28" s="69" t="s">
        <v>139</v>
      </c>
      <c r="L28" s="79"/>
      <c r="N28" s="55">
        <v>40</v>
      </c>
      <c r="O28" s="55">
        <v>1</v>
      </c>
      <c r="R28" s="55"/>
      <c r="S28" s="55"/>
    </row>
    <row r="29" spans="1:20" ht="13.5" thickBot="1" x14ac:dyDescent="0.25">
      <c r="A29" s="43"/>
      <c r="B29" s="143"/>
      <c r="C29" s="144"/>
      <c r="D29" s="145"/>
      <c r="E29" s="143"/>
      <c r="F29" s="146"/>
      <c r="G29" s="147">
        <f>+G5+G16+G10</f>
        <v>1452962123</v>
      </c>
      <c r="I29" s="52"/>
      <c r="J29" s="52"/>
      <c r="K29" s="52"/>
      <c r="L29" s="52"/>
      <c r="N29" s="53">
        <f>SUM(N17:N28)</f>
        <v>399</v>
      </c>
      <c r="O29" s="53">
        <f>SUM(O17:O28)</f>
        <v>11</v>
      </c>
      <c r="P29" s="44">
        <f>+N29*4</f>
        <v>1596</v>
      </c>
      <c r="R29" s="53">
        <f>SUM(R17:R26)</f>
        <v>817</v>
      </c>
      <c r="S29" s="53">
        <f>SUM(S17:S26)</f>
        <v>15</v>
      </c>
      <c r="T29" s="44">
        <f>+R29*4</f>
        <v>3268</v>
      </c>
    </row>
    <row r="30" spans="1:20" x14ac:dyDescent="0.2">
      <c r="G30" s="54"/>
      <c r="I30" s="57"/>
      <c r="J30" s="57"/>
      <c r="K30" s="57"/>
      <c r="L30" s="57"/>
      <c r="N30" s="132">
        <f>+N29+N16+N10</f>
        <v>806</v>
      </c>
      <c r="O30" s="132">
        <f>+O29+O16+O10</f>
        <v>23</v>
      </c>
      <c r="P30" s="93">
        <f>SUM(P10:P29)</f>
        <v>3224</v>
      </c>
      <c r="R30" s="45">
        <f>+R29+R16+R10</f>
        <v>1195</v>
      </c>
      <c r="S30" s="45">
        <f>+S29+S16+S10</f>
        <v>27</v>
      </c>
      <c r="T30" s="93">
        <f>SUM(T10:T29)</f>
        <v>4780</v>
      </c>
    </row>
    <row r="31" spans="1:20" x14ac:dyDescent="0.2">
      <c r="G31" s="58"/>
    </row>
    <row r="32" spans="1:20" hidden="1" x14ac:dyDescent="0.2">
      <c r="A32" s="275" t="s">
        <v>68</v>
      </c>
      <c r="B32" s="275"/>
      <c r="C32" s="275"/>
      <c r="D32" s="275"/>
      <c r="E32" s="275"/>
      <c r="F32" s="275"/>
      <c r="G32" s="275"/>
      <c r="I32" s="59"/>
      <c r="J32" s="59"/>
      <c r="K32" s="59"/>
      <c r="L32" s="59"/>
    </row>
    <row r="33" spans="1:12" hidden="1" x14ac:dyDescent="0.2">
      <c r="A33" s="60"/>
      <c r="B33" s="60"/>
      <c r="C33" s="60"/>
      <c r="D33" s="60"/>
      <c r="E33" s="60"/>
      <c r="F33" s="60"/>
      <c r="G33" s="60"/>
      <c r="I33" s="59"/>
      <c r="J33" s="59"/>
      <c r="K33" s="59"/>
      <c r="L33" s="59"/>
    </row>
    <row r="34" spans="1:12" hidden="1" x14ac:dyDescent="0.2">
      <c r="A34" s="41" t="s">
        <v>0</v>
      </c>
      <c r="B34" s="41"/>
      <c r="C34" s="41" t="s">
        <v>2</v>
      </c>
      <c r="D34" s="41" t="s">
        <v>1</v>
      </c>
      <c r="E34" s="41" t="s">
        <v>3</v>
      </c>
      <c r="F34" s="41" t="s">
        <v>4</v>
      </c>
      <c r="G34" s="41" t="s">
        <v>5</v>
      </c>
      <c r="I34" s="61"/>
      <c r="J34" s="61"/>
      <c r="K34" s="61"/>
      <c r="L34" s="61"/>
    </row>
    <row r="35" spans="1:12" hidden="1" x14ac:dyDescent="0.2">
      <c r="A35" s="47">
        <v>18</v>
      </c>
      <c r="B35" s="47"/>
      <c r="C35" s="49" t="s">
        <v>65</v>
      </c>
      <c r="D35" s="51" t="s">
        <v>64</v>
      </c>
      <c r="E35" s="47">
        <v>1</v>
      </c>
      <c r="F35" s="50">
        <v>300000000</v>
      </c>
      <c r="G35" s="50">
        <f>+F35*E35</f>
        <v>300000000</v>
      </c>
      <c r="I35" s="62"/>
      <c r="J35" s="62"/>
      <c r="K35" s="62"/>
      <c r="L35" s="62"/>
    </row>
    <row r="36" spans="1:12" ht="13.5" hidden="1" thickBot="1" x14ac:dyDescent="0.25">
      <c r="A36" s="48">
        <v>19</v>
      </c>
      <c r="B36" s="48"/>
      <c r="C36" s="49" t="s">
        <v>67</v>
      </c>
      <c r="D36" s="51" t="s">
        <v>64</v>
      </c>
      <c r="E36" s="47">
        <v>1</v>
      </c>
      <c r="F36" s="50">
        <v>450000000</v>
      </c>
      <c r="G36" s="56">
        <f>+F36*E36</f>
        <v>450000000</v>
      </c>
      <c r="I36" s="62"/>
      <c r="J36" s="62"/>
      <c r="K36" s="62"/>
      <c r="L36" s="62"/>
    </row>
    <row r="37" spans="1:12" ht="13.5" hidden="1" thickBot="1" x14ac:dyDescent="0.25">
      <c r="G37" s="63">
        <f>SUM(G35:G36)</f>
        <v>750000000</v>
      </c>
      <c r="I37" s="64"/>
      <c r="J37" s="64"/>
      <c r="K37" s="64"/>
      <c r="L37" s="64"/>
    </row>
    <row r="38" spans="1:12" hidden="1" x14ac:dyDescent="0.2">
      <c r="G38" s="54"/>
      <c r="I38" s="57"/>
      <c r="J38" s="57"/>
      <c r="K38" s="57"/>
      <c r="L38" s="57"/>
    </row>
    <row r="39" spans="1:12" hidden="1" x14ac:dyDescent="0.2"/>
    <row r="40" spans="1:12" hidden="1" x14ac:dyDescent="0.2"/>
    <row r="41" spans="1:12" hidden="1" x14ac:dyDescent="0.2"/>
    <row r="42" spans="1:12" hidden="1" x14ac:dyDescent="0.2"/>
    <row r="43" spans="1:12" hidden="1" x14ac:dyDescent="0.2"/>
    <row r="44" spans="1:12" hidden="1" x14ac:dyDescent="0.2">
      <c r="C44" s="274" t="s">
        <v>73</v>
      </c>
      <c r="D44" s="274"/>
      <c r="E44" s="274"/>
      <c r="F44" s="274"/>
      <c r="G44" s="274"/>
      <c r="I44" s="65"/>
      <c r="J44" s="65"/>
      <c r="K44" s="65"/>
      <c r="L44" s="65"/>
    </row>
    <row r="45" spans="1:12" hidden="1" x14ac:dyDescent="0.2">
      <c r="C45" s="274"/>
      <c r="D45" s="274"/>
      <c r="E45" s="274"/>
      <c r="F45" s="274"/>
      <c r="G45" s="274"/>
      <c r="I45" s="65"/>
      <c r="J45" s="65"/>
      <c r="K45" s="65"/>
      <c r="L45" s="65"/>
    </row>
    <row r="46" spans="1:12" hidden="1" x14ac:dyDescent="0.2"/>
    <row r="47" spans="1:12" hidden="1" x14ac:dyDescent="0.2"/>
    <row r="48" spans="1:12" hidden="1" x14ac:dyDescent="0.2"/>
    <row r="49" spans="1:18" hidden="1" x14ac:dyDescent="0.2"/>
    <row r="50" spans="1:18" hidden="1" x14ac:dyDescent="0.2"/>
    <row r="51" spans="1:18" hidden="1" x14ac:dyDescent="0.2"/>
    <row r="52" spans="1:18" x14ac:dyDescent="0.2">
      <c r="C52" s="60" t="s">
        <v>251</v>
      </c>
      <c r="D52" s="60" t="s">
        <v>252</v>
      </c>
      <c r="E52" s="60" t="s">
        <v>157</v>
      </c>
      <c r="F52" s="60" t="s">
        <v>158</v>
      </c>
      <c r="N52" s="43">
        <f>+N30-E67</f>
        <v>0</v>
      </c>
    </row>
    <row r="53" spans="1:18" ht="63.75" x14ac:dyDescent="0.2">
      <c r="A53" s="48">
        <v>1</v>
      </c>
      <c r="B53" s="48"/>
      <c r="C53" s="231" t="s">
        <v>149</v>
      </c>
      <c r="D53" s="188" t="s">
        <v>253</v>
      </c>
      <c r="E53" s="183">
        <f>+N6</f>
        <v>36</v>
      </c>
      <c r="F53" s="184">
        <v>13731</v>
      </c>
    </row>
    <row r="54" spans="1:18" ht="76.5" x14ac:dyDescent="0.2">
      <c r="A54" s="48">
        <v>2</v>
      </c>
      <c r="B54" s="48"/>
      <c r="C54" s="231" t="s">
        <v>55</v>
      </c>
      <c r="D54" s="188" t="s">
        <v>254</v>
      </c>
      <c r="E54" s="183">
        <f>+N7+N28</f>
        <v>76</v>
      </c>
      <c r="F54" s="184">
        <v>2510</v>
      </c>
      <c r="Q54" s="44">
        <f>213*3</f>
        <v>639</v>
      </c>
      <c r="R54" s="44">
        <f>+Q54*1.4</f>
        <v>894.59999999999991</v>
      </c>
    </row>
    <row r="55" spans="1:18" ht="76.5" x14ac:dyDescent="0.2">
      <c r="A55" s="48">
        <v>3</v>
      </c>
      <c r="B55" s="48"/>
      <c r="C55" s="231" t="s">
        <v>150</v>
      </c>
      <c r="D55" s="188" t="s">
        <v>255</v>
      </c>
      <c r="E55" s="183">
        <f>+N27+N8</f>
        <v>45</v>
      </c>
      <c r="F55" s="184">
        <v>2735</v>
      </c>
      <c r="N55" s="43">
        <f>+P30</f>
        <v>3224</v>
      </c>
    </row>
    <row r="56" spans="1:18" ht="63.75" x14ac:dyDescent="0.2">
      <c r="A56" s="48">
        <v>4</v>
      </c>
      <c r="B56" s="48"/>
      <c r="C56" s="231" t="s">
        <v>151</v>
      </c>
      <c r="D56" s="188" t="s">
        <v>256</v>
      </c>
      <c r="E56" s="183">
        <f>+N12+N17+N18</f>
        <v>160</v>
      </c>
      <c r="F56" s="184">
        <v>4357</v>
      </c>
    </row>
    <row r="57" spans="1:18" ht="25.5" x14ac:dyDescent="0.2">
      <c r="A57" s="48">
        <v>5</v>
      </c>
      <c r="B57" s="48"/>
      <c r="C57" s="231" t="s">
        <v>54</v>
      </c>
      <c r="D57" s="188" t="s">
        <v>257</v>
      </c>
      <c r="E57" s="183">
        <f>+N13</f>
        <v>31</v>
      </c>
      <c r="F57" s="184">
        <v>4630</v>
      </c>
      <c r="M57" s="180" t="s">
        <v>248</v>
      </c>
      <c r="N57" s="131">
        <f>+N55*O69</f>
        <v>1579.9550561797753</v>
      </c>
      <c r="O57" s="131">
        <f>+N57</f>
        <v>1579.9550561797753</v>
      </c>
    </row>
    <row r="58" spans="1:18" ht="38.25" x14ac:dyDescent="0.2">
      <c r="A58" s="48">
        <v>6</v>
      </c>
      <c r="B58" s="48"/>
      <c r="C58" s="231" t="s">
        <v>56</v>
      </c>
      <c r="D58" s="188" t="s">
        <v>258</v>
      </c>
      <c r="E58" s="183">
        <f>+N14</f>
        <v>50</v>
      </c>
      <c r="F58" s="184">
        <v>510</v>
      </c>
      <c r="M58" s="180" t="s">
        <v>249</v>
      </c>
      <c r="N58" s="131">
        <f>+N55*O70</f>
        <v>1644.0449438202245</v>
      </c>
      <c r="O58" s="131">
        <f>+N58</f>
        <v>1644.0449438202245</v>
      </c>
    </row>
    <row r="59" spans="1:18" ht="25.5" x14ac:dyDescent="0.2">
      <c r="A59" s="48">
        <v>7</v>
      </c>
      <c r="B59" s="48"/>
      <c r="C59" s="231" t="s">
        <v>57</v>
      </c>
      <c r="D59" s="188" t="s">
        <v>259</v>
      </c>
      <c r="E59" s="183">
        <f>+N15</f>
        <v>65</v>
      </c>
      <c r="F59" s="184">
        <v>1304</v>
      </c>
    </row>
    <row r="60" spans="1:18" ht="38.25" x14ac:dyDescent="0.2">
      <c r="A60" s="48">
        <v>8</v>
      </c>
      <c r="B60" s="48"/>
      <c r="C60" s="232" t="s">
        <v>53</v>
      </c>
      <c r="D60" s="188" t="s">
        <v>260</v>
      </c>
      <c r="E60" s="183">
        <f>+N19</f>
        <v>50</v>
      </c>
      <c r="F60" s="184">
        <v>2535</v>
      </c>
      <c r="N60" s="130">
        <f>+N55*O74</f>
        <v>361.60658914728685</v>
      </c>
      <c r="O60" s="131">
        <f>+N60</f>
        <v>361.60658914728685</v>
      </c>
    </row>
    <row r="61" spans="1:18" x14ac:dyDescent="0.2">
      <c r="A61" s="48">
        <v>9</v>
      </c>
      <c r="B61" s="48"/>
      <c r="C61" s="232" t="s">
        <v>59</v>
      </c>
      <c r="D61" s="188" t="s">
        <v>261</v>
      </c>
      <c r="E61" s="183">
        <f>+N21</f>
        <v>49</v>
      </c>
      <c r="F61" s="184">
        <v>3254</v>
      </c>
      <c r="N61" s="130">
        <f>+N55*O75</f>
        <v>42.955426356589143</v>
      </c>
      <c r="O61" s="131">
        <f>+N61</f>
        <v>42.955426356589143</v>
      </c>
    </row>
    <row r="62" spans="1:18" ht="25.5" x14ac:dyDescent="0.2">
      <c r="A62" s="48">
        <v>10</v>
      </c>
      <c r="B62" s="48"/>
      <c r="C62" s="232" t="s">
        <v>152</v>
      </c>
      <c r="D62" s="188" t="s">
        <v>262</v>
      </c>
      <c r="E62" s="183">
        <f>+N23+N25</f>
        <v>69</v>
      </c>
      <c r="F62" s="184">
        <v>4303</v>
      </c>
      <c r="N62" s="130">
        <f>+N55*O76</f>
        <v>2313.3449612403101</v>
      </c>
      <c r="O62" s="131">
        <f>+N62</f>
        <v>2313.3449612403101</v>
      </c>
    </row>
    <row r="63" spans="1:18" ht="89.25" x14ac:dyDescent="0.2">
      <c r="A63" s="48">
        <v>11</v>
      </c>
      <c r="B63" s="48"/>
      <c r="C63" s="232" t="s">
        <v>58</v>
      </c>
      <c r="D63" s="188" t="s">
        <v>263</v>
      </c>
      <c r="E63" s="183">
        <f>+N9+N11+N24</f>
        <v>134</v>
      </c>
      <c r="F63" s="184">
        <v>3093</v>
      </c>
      <c r="N63" s="130">
        <f>+N55*O77</f>
        <v>506.09302325581393</v>
      </c>
      <c r="O63" s="131">
        <f>+N63</f>
        <v>506.09302325581393</v>
      </c>
    </row>
    <row r="64" spans="1:18" ht="25.5" x14ac:dyDescent="0.2">
      <c r="A64" s="48">
        <v>12</v>
      </c>
      <c r="B64" s="48"/>
      <c r="C64" s="232" t="s">
        <v>153</v>
      </c>
      <c r="D64" s="188" t="s">
        <v>264</v>
      </c>
      <c r="E64" s="183">
        <f>+N26</f>
        <v>41</v>
      </c>
      <c r="F64" s="184">
        <v>4910</v>
      </c>
      <c r="N64" s="131"/>
      <c r="O64" s="131">
        <f>SUM(O60:O63)</f>
        <v>3224</v>
      </c>
    </row>
    <row r="65" spans="1:23" hidden="1" x14ac:dyDescent="0.2">
      <c r="A65" s="48">
        <v>13</v>
      </c>
      <c r="B65" s="48"/>
      <c r="C65" s="185" t="s">
        <v>155</v>
      </c>
      <c r="D65" s="188"/>
      <c r="E65" s="183">
        <v>0</v>
      </c>
      <c r="F65" s="184"/>
    </row>
    <row r="66" spans="1:23" hidden="1" x14ac:dyDescent="0.2">
      <c r="A66" s="48">
        <v>14</v>
      </c>
      <c r="B66" s="48"/>
      <c r="C66" s="185" t="s">
        <v>156</v>
      </c>
      <c r="D66" s="188"/>
      <c r="E66" s="183">
        <v>0</v>
      </c>
      <c r="F66" s="184"/>
    </row>
    <row r="67" spans="1:23" x14ac:dyDescent="0.2">
      <c r="C67" s="145"/>
      <c r="D67" s="145"/>
      <c r="E67" s="186">
        <f>SUM(E53:E66)</f>
        <v>806</v>
      </c>
      <c r="F67" s="187">
        <f>SUM(F53:F66)</f>
        <v>47872</v>
      </c>
    </row>
    <row r="69" spans="1:23" x14ac:dyDescent="0.2">
      <c r="N69" s="43">
        <v>2268</v>
      </c>
      <c r="O69" s="129">
        <f>+N69/N71</f>
        <v>0.49006050129645634</v>
      </c>
    </row>
    <row r="70" spans="1:23" x14ac:dyDescent="0.2">
      <c r="N70" s="43">
        <v>2360</v>
      </c>
      <c r="O70" s="129">
        <f>+N70/N71</f>
        <v>0.5099394987035436</v>
      </c>
    </row>
    <row r="71" spans="1:23" x14ac:dyDescent="0.2">
      <c r="N71" s="43">
        <f>SUM(N69:N70)</f>
        <v>4628</v>
      </c>
    </row>
    <row r="73" spans="1:23" x14ac:dyDescent="0.2">
      <c r="R73" s="43" t="s">
        <v>188</v>
      </c>
      <c r="S73" s="43" t="s">
        <v>187</v>
      </c>
      <c r="T73" s="43" t="s">
        <v>189</v>
      </c>
      <c r="U73" s="43" t="s">
        <v>190</v>
      </c>
      <c r="V73" s="43" t="s">
        <v>191</v>
      </c>
      <c r="W73" s="43" t="s">
        <v>192</v>
      </c>
    </row>
    <row r="74" spans="1:23" x14ac:dyDescent="0.2">
      <c r="N74" s="43">
        <v>463</v>
      </c>
      <c r="O74" s="129">
        <f>+N74/N78</f>
        <v>0.1121608527131783</v>
      </c>
      <c r="Q74" s="44" t="s">
        <v>193</v>
      </c>
      <c r="R74" s="43">
        <v>30</v>
      </c>
      <c r="S74" s="43">
        <v>1</v>
      </c>
      <c r="T74" s="43">
        <f>+R74/2*60</f>
        <v>900</v>
      </c>
      <c r="U74" s="43">
        <f>+T74*8</f>
        <v>7200</v>
      </c>
      <c r="V74" s="43">
        <f>+U74*20</f>
        <v>144000</v>
      </c>
      <c r="W74" s="43">
        <f>(+V74*12)/1000</f>
        <v>1728</v>
      </c>
    </row>
    <row r="75" spans="1:23" x14ac:dyDescent="0.2">
      <c r="N75" s="43">
        <v>55</v>
      </c>
      <c r="O75" s="129">
        <f>+N75/N78</f>
        <v>1.3323643410852713E-2</v>
      </c>
      <c r="W75" s="54">
        <f>+W74*8</f>
        <v>13824</v>
      </c>
    </row>
    <row r="76" spans="1:23" x14ac:dyDescent="0.2">
      <c r="C76" s="44" t="s">
        <v>265</v>
      </c>
      <c r="N76" s="43">
        <v>2962</v>
      </c>
      <c r="O76" s="129">
        <f>+N76/N78</f>
        <v>0.71753875968992253</v>
      </c>
    </row>
    <row r="77" spans="1:23" x14ac:dyDescent="0.2">
      <c r="C77" s="190" t="s">
        <v>266</v>
      </c>
      <c r="N77" s="43">
        <v>648</v>
      </c>
      <c r="O77" s="129">
        <f>+N77/N78</f>
        <v>0.15697674418604651</v>
      </c>
    </row>
    <row r="78" spans="1:23" x14ac:dyDescent="0.2">
      <c r="N78" s="43">
        <f>SUM(N74:N77)</f>
        <v>4128</v>
      </c>
    </row>
  </sheetData>
  <mergeCells count="6">
    <mergeCell ref="I3:J3"/>
    <mergeCell ref="K3:L3"/>
    <mergeCell ref="A1:L2"/>
    <mergeCell ref="C44:G45"/>
    <mergeCell ref="A32:G32"/>
    <mergeCell ref="B11:B1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workbookViewId="0">
      <selection activeCell="B1" sqref="B1"/>
    </sheetView>
  </sheetViews>
  <sheetFormatPr baseColWidth="10" defaultRowHeight="15" x14ac:dyDescent="0.25"/>
  <cols>
    <col min="1" max="1" width="5.42578125" style="213" bestFit="1" customWidth="1"/>
    <col min="2" max="2" width="45.7109375" style="213" customWidth="1"/>
    <col min="3" max="3" width="23.140625" style="213" customWidth="1"/>
    <col min="4" max="4" width="22.28515625" style="213" bestFit="1" customWidth="1"/>
    <col min="5" max="5" width="30.42578125" style="213" bestFit="1" customWidth="1"/>
    <col min="6" max="6" width="9.140625" style="213" bestFit="1" customWidth="1"/>
    <col min="7" max="7" width="16.7109375" style="213" bestFit="1" customWidth="1"/>
    <col min="8" max="8" width="18.5703125" style="213" bestFit="1" customWidth="1"/>
    <col min="9" max="10" width="11.42578125" style="213"/>
    <col min="11" max="11" width="42.28515625" style="213" customWidth="1"/>
    <col min="12" max="12" width="15" style="213" customWidth="1"/>
    <col min="13" max="14" width="11.42578125" style="213"/>
    <col min="15" max="15" width="17.140625" style="213" bestFit="1" customWidth="1"/>
    <col min="16" max="16384" width="11.42578125" style="213"/>
  </cols>
  <sheetData>
    <row r="1" spans="1:13" x14ac:dyDescent="0.25">
      <c r="B1" s="213" t="s">
        <v>292</v>
      </c>
    </row>
    <row r="2" spans="1:13" ht="15" customHeight="1" x14ac:dyDescent="0.25">
      <c r="A2" s="281" t="s">
        <v>284</v>
      </c>
      <c r="B2" s="281"/>
      <c r="C2" s="281"/>
      <c r="D2" s="281"/>
      <c r="E2" s="281"/>
      <c r="F2" s="281"/>
      <c r="J2" s="281"/>
      <c r="K2" s="281"/>
      <c r="L2" s="281"/>
      <c r="M2" s="281"/>
    </row>
    <row r="3" spans="1:13" ht="15" customHeight="1" x14ac:dyDescent="0.25">
      <c r="A3" s="281"/>
      <c r="B3" s="281"/>
      <c r="C3" s="281"/>
      <c r="D3" s="281"/>
      <c r="E3" s="281"/>
      <c r="F3" s="281"/>
      <c r="J3" s="281"/>
      <c r="K3" s="281"/>
      <c r="L3" s="281"/>
      <c r="M3" s="281"/>
    </row>
    <row r="4" spans="1:13" ht="15.75" thickBot="1" x14ac:dyDescent="0.3"/>
    <row r="5" spans="1:13" ht="39" thickBot="1" x14ac:dyDescent="0.3">
      <c r="A5" s="222" t="s">
        <v>0</v>
      </c>
      <c r="B5" s="216" t="s">
        <v>267</v>
      </c>
      <c r="C5" s="230" t="s">
        <v>286</v>
      </c>
      <c r="D5" s="214" t="s">
        <v>285</v>
      </c>
      <c r="E5" s="214" t="s">
        <v>1</v>
      </c>
      <c r="F5" s="234" t="s">
        <v>3</v>
      </c>
      <c r="G5" s="234" t="s">
        <v>4</v>
      </c>
      <c r="H5" s="215" t="s">
        <v>5</v>
      </c>
      <c r="J5" s="222" t="s">
        <v>0</v>
      </c>
      <c r="K5" s="216" t="s">
        <v>267</v>
      </c>
      <c r="L5" s="230" t="s">
        <v>286</v>
      </c>
      <c r="M5" s="215" t="s">
        <v>285</v>
      </c>
    </row>
    <row r="6" spans="1:13" ht="15.75" thickBot="1" x14ac:dyDescent="0.3">
      <c r="A6" s="279" t="s">
        <v>70</v>
      </c>
      <c r="B6" s="280"/>
      <c r="C6" s="280"/>
      <c r="D6" s="280"/>
      <c r="E6" s="280"/>
      <c r="F6" s="280"/>
      <c r="G6" s="239"/>
      <c r="H6" s="239"/>
      <c r="J6" s="279" t="s">
        <v>70</v>
      </c>
      <c r="K6" s="280"/>
      <c r="L6" s="280"/>
      <c r="M6" s="285"/>
    </row>
    <row r="7" spans="1:13" ht="25.5" x14ac:dyDescent="0.25">
      <c r="A7" s="221">
        <v>1</v>
      </c>
      <c r="B7" s="223" t="s">
        <v>268</v>
      </c>
      <c r="C7" s="226">
        <v>36</v>
      </c>
      <c r="D7" s="224" t="s">
        <v>201</v>
      </c>
      <c r="E7" s="225" t="s">
        <v>61</v>
      </c>
      <c r="F7" s="235">
        <v>1</v>
      </c>
      <c r="G7" s="241">
        <f>+'Hoja V2'!J16</f>
        <v>50180350.000000007</v>
      </c>
      <c r="H7" s="243">
        <f>+G7*F7</f>
        <v>50180350.000000007</v>
      </c>
      <c r="J7" s="221">
        <v>1</v>
      </c>
      <c r="K7" s="223" t="s">
        <v>268</v>
      </c>
      <c r="L7" s="226">
        <v>36</v>
      </c>
      <c r="M7" s="257" t="s">
        <v>201</v>
      </c>
    </row>
    <row r="8" spans="1:13" ht="38.25" x14ac:dyDescent="0.25">
      <c r="A8" s="219">
        <v>2</v>
      </c>
      <c r="B8" s="217" t="s">
        <v>269</v>
      </c>
      <c r="C8" s="227">
        <v>36</v>
      </c>
      <c r="D8" s="205" t="s">
        <v>55</v>
      </c>
      <c r="E8" s="189" t="s">
        <v>60</v>
      </c>
      <c r="F8" s="236">
        <v>1</v>
      </c>
      <c r="G8" s="241">
        <f>+G7+'Hoja V2'!J22</f>
        <v>134362707.66666669</v>
      </c>
      <c r="H8" s="243">
        <f t="shared" ref="H8:H27" si="0">+G8*F8</f>
        <v>134362707.66666669</v>
      </c>
      <c r="J8" s="219">
        <v>2</v>
      </c>
      <c r="K8" s="217" t="s">
        <v>269</v>
      </c>
      <c r="L8" s="227">
        <v>36</v>
      </c>
      <c r="M8" s="254" t="s">
        <v>55</v>
      </c>
    </row>
    <row r="9" spans="1:13" x14ac:dyDescent="0.25">
      <c r="A9" s="219">
        <v>3</v>
      </c>
      <c r="B9" s="217" t="s">
        <v>270</v>
      </c>
      <c r="C9" s="227">
        <v>13</v>
      </c>
      <c r="D9" s="205" t="s">
        <v>150</v>
      </c>
      <c r="E9" s="189" t="s">
        <v>60</v>
      </c>
      <c r="F9" s="236">
        <v>1</v>
      </c>
      <c r="G9" s="241">
        <f>+G8+'Hoja V2'!J23</f>
        <v>134362707.66666669</v>
      </c>
      <c r="H9" s="243">
        <f t="shared" si="0"/>
        <v>134362707.66666669</v>
      </c>
      <c r="J9" s="219">
        <v>3</v>
      </c>
      <c r="K9" s="217" t="s">
        <v>270</v>
      </c>
      <c r="L9" s="227">
        <v>13</v>
      </c>
      <c r="M9" s="254" t="s">
        <v>150</v>
      </c>
    </row>
    <row r="10" spans="1:13" ht="15.75" thickBot="1" x14ac:dyDescent="0.3">
      <c r="A10" s="220">
        <v>4</v>
      </c>
      <c r="B10" s="218" t="s">
        <v>271</v>
      </c>
      <c r="C10" s="227">
        <v>80</v>
      </c>
      <c r="D10" s="210" t="s">
        <v>58</v>
      </c>
      <c r="E10" s="204" t="s">
        <v>159</v>
      </c>
      <c r="F10" s="237">
        <v>1</v>
      </c>
      <c r="G10" s="241">
        <f>+'Hoja V2'!J22</f>
        <v>84182357.666666672</v>
      </c>
      <c r="H10" s="243">
        <f t="shared" si="0"/>
        <v>84182357.666666672</v>
      </c>
      <c r="J10" s="220">
        <v>4</v>
      </c>
      <c r="K10" s="218" t="s">
        <v>271</v>
      </c>
      <c r="L10" s="227">
        <v>80</v>
      </c>
      <c r="M10" s="256" t="s">
        <v>58</v>
      </c>
    </row>
    <row r="11" spans="1:13" ht="15.75" thickBot="1" x14ac:dyDescent="0.3">
      <c r="A11" s="279" t="s">
        <v>72</v>
      </c>
      <c r="B11" s="280"/>
      <c r="C11" s="280"/>
      <c r="D11" s="280"/>
      <c r="E11" s="280"/>
      <c r="F11" s="280"/>
      <c r="G11" s="240"/>
      <c r="H11" s="244">
        <f>SUM(H7:H10)</f>
        <v>403088123.00000006</v>
      </c>
      <c r="J11" s="279" t="s">
        <v>72</v>
      </c>
      <c r="K11" s="280"/>
      <c r="L11" s="280"/>
      <c r="M11" s="285"/>
    </row>
    <row r="12" spans="1:13" x14ac:dyDescent="0.25">
      <c r="A12" s="286">
        <v>5</v>
      </c>
      <c r="B12" s="282" t="s">
        <v>272</v>
      </c>
      <c r="C12" s="227">
        <v>29</v>
      </c>
      <c r="D12" s="208" t="s">
        <v>58</v>
      </c>
      <c r="E12" s="209" t="s">
        <v>63</v>
      </c>
      <c r="F12" s="238">
        <v>1</v>
      </c>
      <c r="G12" s="241">
        <f>+'Hoja V2'!J6</f>
        <v>28941220</v>
      </c>
      <c r="H12" s="243">
        <f t="shared" si="0"/>
        <v>28941220</v>
      </c>
      <c r="J12" s="286">
        <v>5</v>
      </c>
      <c r="K12" s="282" t="s">
        <v>272</v>
      </c>
      <c r="L12" s="227">
        <v>29</v>
      </c>
      <c r="M12" s="255" t="s">
        <v>58</v>
      </c>
    </row>
    <row r="13" spans="1:13" x14ac:dyDescent="0.25">
      <c r="A13" s="286"/>
      <c r="B13" s="283"/>
      <c r="C13" s="227">
        <v>67</v>
      </c>
      <c r="D13" s="205" t="s">
        <v>151</v>
      </c>
      <c r="E13" s="189" t="s">
        <v>63</v>
      </c>
      <c r="F13" s="236">
        <v>2</v>
      </c>
      <c r="G13" s="241">
        <f>+G12</f>
        <v>28941220</v>
      </c>
      <c r="H13" s="243">
        <f t="shared" si="0"/>
        <v>57882440</v>
      </c>
      <c r="J13" s="286"/>
      <c r="K13" s="283"/>
      <c r="L13" s="227">
        <v>67</v>
      </c>
      <c r="M13" s="254" t="s">
        <v>151</v>
      </c>
    </row>
    <row r="14" spans="1:13" x14ac:dyDescent="0.25">
      <c r="A14" s="286"/>
      <c r="B14" s="283"/>
      <c r="C14" s="227">
        <v>31</v>
      </c>
      <c r="D14" s="205" t="s">
        <v>54</v>
      </c>
      <c r="E14" s="189" t="s">
        <v>63</v>
      </c>
      <c r="F14" s="236">
        <v>2</v>
      </c>
      <c r="G14" s="241">
        <f>+G13</f>
        <v>28941220</v>
      </c>
      <c r="H14" s="243">
        <f t="shared" si="0"/>
        <v>57882440</v>
      </c>
      <c r="J14" s="286"/>
      <c r="K14" s="283"/>
      <c r="L14" s="227">
        <v>31</v>
      </c>
      <c r="M14" s="254" t="s">
        <v>54</v>
      </c>
    </row>
    <row r="15" spans="1:13" x14ac:dyDescent="0.25">
      <c r="A15" s="286"/>
      <c r="B15" s="283"/>
      <c r="C15" s="227">
        <v>50</v>
      </c>
      <c r="D15" s="205" t="s">
        <v>56</v>
      </c>
      <c r="E15" s="189" t="s">
        <v>63</v>
      </c>
      <c r="F15" s="236">
        <v>1</v>
      </c>
      <c r="G15" s="241">
        <f>+G14</f>
        <v>28941220</v>
      </c>
      <c r="H15" s="243">
        <f t="shared" si="0"/>
        <v>28941220</v>
      </c>
      <c r="J15" s="286"/>
      <c r="K15" s="283"/>
      <c r="L15" s="227">
        <v>50</v>
      </c>
      <c r="M15" s="254" t="s">
        <v>56</v>
      </c>
    </row>
    <row r="16" spans="1:13" ht="15.75" thickBot="1" x14ac:dyDescent="0.3">
      <c r="A16" s="286"/>
      <c r="B16" s="284"/>
      <c r="C16" s="227">
        <v>65</v>
      </c>
      <c r="D16" s="210" t="s">
        <v>57</v>
      </c>
      <c r="E16" s="204" t="s">
        <v>63</v>
      </c>
      <c r="F16" s="237">
        <v>3</v>
      </c>
      <c r="G16" s="241">
        <f>+G15</f>
        <v>28941220</v>
      </c>
      <c r="H16" s="243">
        <f t="shared" si="0"/>
        <v>86823660</v>
      </c>
      <c r="J16" s="286"/>
      <c r="K16" s="284"/>
      <c r="L16" s="227">
        <v>65</v>
      </c>
      <c r="M16" s="256" t="s">
        <v>57</v>
      </c>
    </row>
    <row r="17" spans="1:15" ht="15.75" thickBot="1" x14ac:dyDescent="0.3">
      <c r="A17" s="279" t="s">
        <v>273</v>
      </c>
      <c r="B17" s="280"/>
      <c r="C17" s="280"/>
      <c r="D17" s="280"/>
      <c r="E17" s="280"/>
      <c r="F17" s="280"/>
      <c r="G17" s="240"/>
      <c r="H17" s="244">
        <f>SUM(H12:H16)</f>
        <v>260470980</v>
      </c>
      <c r="J17" s="279" t="s">
        <v>273</v>
      </c>
      <c r="K17" s="280"/>
      <c r="L17" s="280"/>
      <c r="M17" s="285"/>
    </row>
    <row r="18" spans="1:15" ht="25.5" x14ac:dyDescent="0.25">
      <c r="A18" s="221">
        <v>6</v>
      </c>
      <c r="B18" s="211" t="s">
        <v>274</v>
      </c>
      <c r="C18" s="228">
        <v>51</v>
      </c>
      <c r="D18" s="212" t="s">
        <v>151</v>
      </c>
      <c r="E18" s="209" t="s">
        <v>62</v>
      </c>
      <c r="F18" s="259">
        <v>1</v>
      </c>
      <c r="G18" s="242">
        <f>+'Hoja V2'!E12</f>
        <v>40810000</v>
      </c>
      <c r="H18" s="243">
        <f t="shared" si="0"/>
        <v>40810000</v>
      </c>
      <c r="J18" s="221">
        <v>6</v>
      </c>
      <c r="K18" s="211" t="s">
        <v>274</v>
      </c>
      <c r="L18" s="228">
        <v>51</v>
      </c>
      <c r="M18" s="252" t="s">
        <v>151</v>
      </c>
    </row>
    <row r="19" spans="1:15" ht="25.5" x14ac:dyDescent="0.25">
      <c r="A19" s="219">
        <v>7</v>
      </c>
      <c r="B19" s="202" t="s">
        <v>275</v>
      </c>
      <c r="C19" s="227">
        <v>42</v>
      </c>
      <c r="D19" s="206" t="s">
        <v>151</v>
      </c>
      <c r="E19" s="189" t="s">
        <v>62</v>
      </c>
      <c r="F19" s="260">
        <v>1</v>
      </c>
      <c r="G19" s="241">
        <f>+G18</f>
        <v>40810000</v>
      </c>
      <c r="H19" s="243">
        <f t="shared" si="0"/>
        <v>40810000</v>
      </c>
      <c r="J19" s="219">
        <v>7</v>
      </c>
      <c r="K19" s="202" t="s">
        <v>275</v>
      </c>
      <c r="L19" s="227">
        <v>42</v>
      </c>
      <c r="M19" s="253" t="s">
        <v>151</v>
      </c>
    </row>
    <row r="20" spans="1:15" ht="25.5" x14ac:dyDescent="0.25">
      <c r="A20" s="219">
        <v>8</v>
      </c>
      <c r="B20" s="202" t="s">
        <v>276</v>
      </c>
      <c r="C20" s="227">
        <v>50</v>
      </c>
      <c r="D20" s="206" t="s">
        <v>53</v>
      </c>
      <c r="E20" s="189" t="s">
        <v>106</v>
      </c>
      <c r="F20" s="260">
        <v>1</v>
      </c>
      <c r="G20" s="242">
        <f>+'Hoja V2'!E14</f>
        <v>71060000</v>
      </c>
      <c r="H20" s="243">
        <f t="shared" si="0"/>
        <v>71060000</v>
      </c>
      <c r="J20" s="219">
        <v>8</v>
      </c>
      <c r="K20" s="202" t="s">
        <v>276</v>
      </c>
      <c r="L20" s="227">
        <v>50</v>
      </c>
      <c r="M20" s="253" t="s">
        <v>53</v>
      </c>
    </row>
    <row r="21" spans="1:15" ht="25.5" x14ac:dyDescent="0.25">
      <c r="A21" s="219">
        <v>9</v>
      </c>
      <c r="B21" s="202" t="s">
        <v>277</v>
      </c>
      <c r="C21" s="227">
        <v>49</v>
      </c>
      <c r="D21" s="206" t="s">
        <v>59</v>
      </c>
      <c r="E21" s="189" t="s">
        <v>106</v>
      </c>
      <c r="F21" s="260">
        <v>1</v>
      </c>
      <c r="G21" s="242">
        <f>+G20</f>
        <v>71060000</v>
      </c>
      <c r="H21" s="243">
        <f t="shared" si="0"/>
        <v>71060000</v>
      </c>
      <c r="J21" s="219">
        <v>9</v>
      </c>
      <c r="K21" s="202" t="s">
        <v>277</v>
      </c>
      <c r="L21" s="227">
        <v>49</v>
      </c>
      <c r="M21" s="253" t="s">
        <v>59</v>
      </c>
      <c r="O21" s="213" t="s">
        <v>293</v>
      </c>
    </row>
    <row r="22" spans="1:15" ht="25.5" x14ac:dyDescent="0.25">
      <c r="A22" s="219">
        <v>10</v>
      </c>
      <c r="B22" s="202" t="s">
        <v>278</v>
      </c>
      <c r="C22" s="227">
        <v>43</v>
      </c>
      <c r="D22" s="206" t="s">
        <v>152</v>
      </c>
      <c r="E22" s="189" t="s">
        <v>106</v>
      </c>
      <c r="F22" s="260">
        <v>1</v>
      </c>
      <c r="G22" s="242">
        <f>+G21</f>
        <v>71060000</v>
      </c>
      <c r="H22" s="243">
        <f t="shared" si="0"/>
        <v>71060000</v>
      </c>
      <c r="J22" s="219">
        <v>10</v>
      </c>
      <c r="K22" s="202" t="s">
        <v>278</v>
      </c>
      <c r="L22" s="227">
        <v>43</v>
      </c>
      <c r="M22" s="253" t="s">
        <v>152</v>
      </c>
    </row>
    <row r="23" spans="1:15" x14ac:dyDescent="0.25">
      <c r="A23" s="219">
        <v>11</v>
      </c>
      <c r="B23" s="202" t="s">
        <v>294</v>
      </c>
      <c r="C23" s="227">
        <v>25</v>
      </c>
      <c r="D23" s="206" t="s">
        <v>58</v>
      </c>
      <c r="E23" s="189" t="s">
        <v>62</v>
      </c>
      <c r="F23" s="260">
        <v>5</v>
      </c>
      <c r="G23" s="241">
        <f>+G19</f>
        <v>40810000</v>
      </c>
      <c r="H23" s="243">
        <f t="shared" si="0"/>
        <v>204050000</v>
      </c>
      <c r="J23" s="219">
        <v>11</v>
      </c>
      <c r="K23" s="202" t="s">
        <v>279</v>
      </c>
      <c r="L23" s="227">
        <v>25</v>
      </c>
      <c r="M23" s="253" t="s">
        <v>58</v>
      </c>
    </row>
    <row r="24" spans="1:15" ht="25.5" x14ac:dyDescent="0.25">
      <c r="A24" s="219">
        <v>12</v>
      </c>
      <c r="B24" s="202" t="s">
        <v>280</v>
      </c>
      <c r="C24" s="227">
        <v>26</v>
      </c>
      <c r="D24" s="206" t="s">
        <v>152</v>
      </c>
      <c r="E24" s="189" t="s">
        <v>69</v>
      </c>
      <c r="F24" s="260">
        <v>1</v>
      </c>
      <c r="G24" s="242">
        <f>+'Hoja V2'!E13</f>
        <v>55440000</v>
      </c>
      <c r="H24" s="243">
        <f t="shared" si="0"/>
        <v>55440000</v>
      </c>
      <c r="J24" s="219">
        <v>12</v>
      </c>
      <c r="K24" s="202" t="s">
        <v>280</v>
      </c>
      <c r="L24" s="227">
        <v>26</v>
      </c>
      <c r="M24" s="253" t="s">
        <v>152</v>
      </c>
    </row>
    <row r="25" spans="1:15" ht="38.25" x14ac:dyDescent="0.25">
      <c r="A25" s="219">
        <v>13</v>
      </c>
      <c r="B25" s="202" t="s">
        <v>282</v>
      </c>
      <c r="C25" s="227">
        <f>21+20</f>
        <v>41</v>
      </c>
      <c r="D25" s="206" t="s">
        <v>153</v>
      </c>
      <c r="E25" s="189" t="s">
        <v>69</v>
      </c>
      <c r="F25" s="260">
        <v>2</v>
      </c>
      <c r="G25" s="242">
        <f>+G24</f>
        <v>55440000</v>
      </c>
      <c r="H25" s="243">
        <f t="shared" si="0"/>
        <v>110880000</v>
      </c>
      <c r="J25" s="219">
        <v>13</v>
      </c>
      <c r="K25" s="202" t="s">
        <v>282</v>
      </c>
      <c r="L25" s="227">
        <f>21+20</f>
        <v>41</v>
      </c>
      <c r="M25" s="253" t="s">
        <v>153</v>
      </c>
    </row>
    <row r="26" spans="1:15" ht="38.25" x14ac:dyDescent="0.25">
      <c r="A26" s="219">
        <v>14</v>
      </c>
      <c r="B26" s="202" t="s">
        <v>281</v>
      </c>
      <c r="C26" s="227">
        <v>32</v>
      </c>
      <c r="D26" s="206" t="s">
        <v>150</v>
      </c>
      <c r="E26" s="189" t="s">
        <v>209</v>
      </c>
      <c r="F26" s="236">
        <v>1</v>
      </c>
      <c r="G26" s="242">
        <f>+'Hoja V2'!E15</f>
        <v>96960000</v>
      </c>
      <c r="H26" s="243">
        <f t="shared" si="0"/>
        <v>96960000</v>
      </c>
      <c r="J26" s="219">
        <v>14</v>
      </c>
      <c r="K26" s="202" t="s">
        <v>281</v>
      </c>
      <c r="L26" s="227">
        <v>32</v>
      </c>
      <c r="M26" s="253" t="s">
        <v>150</v>
      </c>
    </row>
    <row r="27" spans="1:15" ht="26.25" thickBot="1" x14ac:dyDescent="0.3">
      <c r="A27" s="220">
        <v>15</v>
      </c>
      <c r="B27" s="203" t="s">
        <v>283</v>
      </c>
      <c r="C27" s="229">
        <v>40</v>
      </c>
      <c r="D27" s="207" t="s">
        <v>245</v>
      </c>
      <c r="E27" s="204" t="s">
        <v>209</v>
      </c>
      <c r="F27" s="237">
        <v>1</v>
      </c>
      <c r="G27" s="245">
        <f>+G26</f>
        <v>96960000</v>
      </c>
      <c r="H27" s="246">
        <f t="shared" si="0"/>
        <v>96960000</v>
      </c>
      <c r="J27" s="220">
        <v>15</v>
      </c>
      <c r="K27" s="203" t="s">
        <v>283</v>
      </c>
      <c r="L27" s="229">
        <v>40</v>
      </c>
      <c r="M27" s="258" t="s">
        <v>245</v>
      </c>
    </row>
    <row r="28" spans="1:15" ht="15.75" thickBot="1" x14ac:dyDescent="0.3">
      <c r="H28" s="247">
        <f>SUM(H18:H27)</f>
        <v>859090000</v>
      </c>
    </row>
    <row r="29" spans="1:15" x14ac:dyDescent="0.25">
      <c r="B29" s="287" t="str">
        <f>+'Hoja V2'!B42</f>
        <v>ASISTENCIA TECNICA</v>
      </c>
      <c r="C29" s="288"/>
      <c r="D29" s="288"/>
      <c r="E29" s="288"/>
      <c r="F29" s="288"/>
      <c r="G29" s="288"/>
      <c r="H29" s="248">
        <f>+'Hoja V2'!G42</f>
        <v>51000000</v>
      </c>
    </row>
    <row r="30" spans="1:15" x14ac:dyDescent="0.25">
      <c r="B30" s="289" t="str">
        <f>+'Hoja V2'!B47</f>
        <v>Apoyo a la supervisón</v>
      </c>
      <c r="C30" s="290"/>
      <c r="D30" s="290"/>
      <c r="E30" s="290"/>
      <c r="F30" s="290"/>
      <c r="G30" s="290"/>
      <c r="H30" s="249">
        <f>+'Hoja V2'!G47</f>
        <v>28000000</v>
      </c>
    </row>
    <row r="31" spans="1:15" ht="15.75" thickBot="1" x14ac:dyDescent="0.3">
      <c r="B31" s="291" t="str">
        <f>+'Hoja V2'!B48</f>
        <v>AIU</v>
      </c>
      <c r="C31" s="292"/>
      <c r="D31" s="292"/>
      <c r="E31" s="292"/>
      <c r="F31" s="292"/>
      <c r="G31" s="292"/>
      <c r="H31" s="250">
        <f>+'Hoja V2'!G48</f>
        <v>173101401</v>
      </c>
    </row>
    <row r="32" spans="1:15" ht="16.5" thickBot="1" x14ac:dyDescent="0.3">
      <c r="B32" s="293" t="str">
        <f>+'Hoja V2'!B49</f>
        <v>TOTAL GENERAL</v>
      </c>
      <c r="C32" s="294"/>
      <c r="D32" s="294"/>
      <c r="E32" s="294"/>
      <c r="F32" s="294"/>
      <c r="G32" s="294"/>
      <c r="H32" s="251">
        <f>+H31+H30+H29+H28+H17+H11</f>
        <v>1774750504</v>
      </c>
    </row>
  </sheetData>
  <mergeCells count="16">
    <mergeCell ref="B29:G29"/>
    <mergeCell ref="B30:G30"/>
    <mergeCell ref="B31:G31"/>
    <mergeCell ref="B32:G32"/>
    <mergeCell ref="A12:A16"/>
    <mergeCell ref="A17:F17"/>
    <mergeCell ref="A11:F11"/>
    <mergeCell ref="A6:F6"/>
    <mergeCell ref="A2:F3"/>
    <mergeCell ref="B12:B16"/>
    <mergeCell ref="J17:M17"/>
    <mergeCell ref="J2:M3"/>
    <mergeCell ref="J6:M6"/>
    <mergeCell ref="J11:M11"/>
    <mergeCell ref="J12:J16"/>
    <mergeCell ref="K12:K16"/>
  </mergeCells>
  <pageMargins left="0.70866141732283472" right="0.70866141732283472" top="0.55118110236220474" bottom="0.55118110236220474" header="0.31496062992125984" footer="0.31496062992125984"/>
  <pageSetup paperSize="9" scale="95" orientation="landscape" r:id="rId1"/>
  <ignoredErrors>
    <ignoredError sqref="C25"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54"/>
  <sheetViews>
    <sheetView view="pageBreakPreview" zoomScaleNormal="120" zoomScaleSheetLayoutView="100" workbookViewId="0"/>
  </sheetViews>
  <sheetFormatPr baseColWidth="10" defaultColWidth="11.42578125" defaultRowHeight="12" x14ac:dyDescent="0.25"/>
  <cols>
    <col min="1" max="1" width="4.42578125" style="9" bestFit="1" customWidth="1"/>
    <col min="2" max="2" width="27.85546875" style="10" customWidth="1"/>
    <col min="3" max="3" width="6.42578125" style="9" bestFit="1" customWidth="1"/>
    <col min="4" max="4" width="8" style="9" bestFit="1" customWidth="1"/>
    <col min="5" max="5" width="12.5703125" style="10" bestFit="1" customWidth="1"/>
    <col min="6" max="6" width="13.85546875" style="10" bestFit="1" customWidth="1"/>
    <col min="7" max="7" width="16.28515625" style="10" bestFit="1" customWidth="1"/>
    <col min="8" max="8" width="14.28515625" style="10" bestFit="1" customWidth="1"/>
    <col min="9" max="16384" width="11.42578125" style="10"/>
  </cols>
  <sheetData>
    <row r="2" spans="1:10" ht="15.75" x14ac:dyDescent="0.25">
      <c r="A2" s="295" t="s">
        <v>98</v>
      </c>
      <c r="B2" s="295"/>
      <c r="C2" s="295"/>
      <c r="D2" s="295"/>
      <c r="E2" s="295"/>
      <c r="F2" s="295"/>
      <c r="G2" s="295"/>
      <c r="H2" s="295"/>
    </row>
    <row r="4" spans="1:10" x14ac:dyDescent="0.25">
      <c r="A4" s="12" t="s">
        <v>0</v>
      </c>
      <c r="B4" s="12" t="s">
        <v>76</v>
      </c>
      <c r="C4" s="12" t="s">
        <v>77</v>
      </c>
      <c r="D4" s="12" t="s">
        <v>3</v>
      </c>
      <c r="E4" s="12" t="s">
        <v>4</v>
      </c>
      <c r="F4" s="12" t="s">
        <v>5</v>
      </c>
      <c r="G4" s="12" t="s">
        <v>78</v>
      </c>
      <c r="H4" s="12" t="s">
        <v>79</v>
      </c>
    </row>
    <row r="5" spans="1:10" x14ac:dyDescent="0.25">
      <c r="A5" s="13" t="s">
        <v>94</v>
      </c>
      <c r="B5" s="14" t="s">
        <v>95</v>
      </c>
      <c r="C5" s="13"/>
      <c r="D5" s="13"/>
      <c r="E5" s="13"/>
      <c r="F5" s="15">
        <f>+F6+F9+F13</f>
        <v>349999500</v>
      </c>
      <c r="G5" s="15">
        <f>+G6+G9+G13</f>
        <v>299999500</v>
      </c>
      <c r="H5" s="15">
        <f>+H6+H9+H13</f>
        <v>50000000</v>
      </c>
      <c r="J5" s="11"/>
    </row>
    <row r="6" spans="1:10" x14ac:dyDescent="0.25">
      <c r="A6" s="16">
        <v>1</v>
      </c>
      <c r="B6" s="17" t="s">
        <v>80</v>
      </c>
      <c r="C6" s="18"/>
      <c r="D6" s="18"/>
      <c r="E6" s="18"/>
      <c r="F6" s="19">
        <f>+F7+F8</f>
        <v>273999500</v>
      </c>
      <c r="G6" s="19">
        <f>+G7+G8</f>
        <v>273999500</v>
      </c>
      <c r="H6" s="19">
        <f>+H7+H8</f>
        <v>0</v>
      </c>
    </row>
    <row r="7" spans="1:10" ht="33.75" x14ac:dyDescent="0.25">
      <c r="A7" s="20">
        <v>1.1000000000000001</v>
      </c>
      <c r="B7" s="21" t="s">
        <v>81</v>
      </c>
      <c r="C7" s="20" t="s">
        <v>82</v>
      </c>
      <c r="D7" s="20">
        <v>8</v>
      </c>
      <c r="E7" s="22">
        <v>31750000</v>
      </c>
      <c r="F7" s="22">
        <f>+E7*D7</f>
        <v>254000000</v>
      </c>
      <c r="G7" s="23">
        <f>+F7</f>
        <v>254000000</v>
      </c>
      <c r="H7" s="23">
        <v>0</v>
      </c>
    </row>
    <row r="8" spans="1:10" ht="56.25" x14ac:dyDescent="0.25">
      <c r="A8" s="20">
        <v>1.2</v>
      </c>
      <c r="B8" s="21" t="s">
        <v>84</v>
      </c>
      <c r="C8" s="20" t="s">
        <v>83</v>
      </c>
      <c r="D8" s="20">
        <v>1500</v>
      </c>
      <c r="E8" s="22">
        <v>13333</v>
      </c>
      <c r="F8" s="22">
        <f>+E8*D8</f>
        <v>19999500</v>
      </c>
      <c r="G8" s="23">
        <f>+F8</f>
        <v>19999500</v>
      </c>
      <c r="H8" s="23">
        <v>0</v>
      </c>
    </row>
    <row r="9" spans="1:10" x14ac:dyDescent="0.25">
      <c r="A9" s="16">
        <v>2</v>
      </c>
      <c r="B9" s="24" t="s">
        <v>86</v>
      </c>
      <c r="C9" s="18"/>
      <c r="D9" s="18"/>
      <c r="E9" s="25"/>
      <c r="F9" s="26">
        <f>+F10+F11+F12</f>
        <v>47000000</v>
      </c>
      <c r="G9" s="26">
        <f>+G10+G11+G12</f>
        <v>0</v>
      </c>
      <c r="H9" s="26">
        <f>+H10+H11+H12</f>
        <v>47000000</v>
      </c>
    </row>
    <row r="10" spans="1:10" ht="123.75" x14ac:dyDescent="0.25">
      <c r="A10" s="20">
        <v>2.1</v>
      </c>
      <c r="B10" s="21" t="s">
        <v>89</v>
      </c>
      <c r="C10" s="27" t="s">
        <v>82</v>
      </c>
      <c r="D10" s="20">
        <v>8</v>
      </c>
      <c r="E10" s="22">
        <v>1000000</v>
      </c>
      <c r="F10" s="22">
        <f t="shared" ref="F10:F20" si="0">+E10*D10</f>
        <v>8000000</v>
      </c>
      <c r="G10" s="23">
        <v>0</v>
      </c>
      <c r="H10" s="23">
        <f>+F10</f>
        <v>8000000</v>
      </c>
    </row>
    <row r="11" spans="1:10" ht="45" x14ac:dyDescent="0.25">
      <c r="A11" s="20">
        <v>2.2000000000000002</v>
      </c>
      <c r="B11" s="21" t="s">
        <v>87</v>
      </c>
      <c r="C11" s="27" t="s">
        <v>85</v>
      </c>
      <c r="D11" s="20">
        <v>12</v>
      </c>
      <c r="E11" s="22">
        <v>2000000</v>
      </c>
      <c r="F11" s="22">
        <f t="shared" si="0"/>
        <v>24000000</v>
      </c>
      <c r="G11" s="23">
        <v>0</v>
      </c>
      <c r="H11" s="23">
        <f t="shared" ref="H11:H12" si="1">+F11</f>
        <v>24000000</v>
      </c>
    </row>
    <row r="12" spans="1:10" ht="33.75" x14ac:dyDescent="0.25">
      <c r="A12" s="20">
        <v>2.2999999999999998</v>
      </c>
      <c r="B12" s="21" t="s">
        <v>88</v>
      </c>
      <c r="C12" s="27" t="s">
        <v>85</v>
      </c>
      <c r="D12" s="20">
        <v>12</v>
      </c>
      <c r="E12" s="22">
        <v>1250000</v>
      </c>
      <c r="F12" s="22">
        <f t="shared" si="0"/>
        <v>15000000</v>
      </c>
      <c r="G12" s="23">
        <v>0</v>
      </c>
      <c r="H12" s="23">
        <f t="shared" si="1"/>
        <v>15000000</v>
      </c>
    </row>
    <row r="13" spans="1:10" ht="22.5" x14ac:dyDescent="0.25">
      <c r="A13" s="16">
        <v>3</v>
      </c>
      <c r="B13" s="28" t="s">
        <v>90</v>
      </c>
      <c r="C13" s="29"/>
      <c r="D13" s="29"/>
      <c r="E13" s="30"/>
      <c r="F13" s="26">
        <f>+F14+F15+F16</f>
        <v>29000000</v>
      </c>
      <c r="G13" s="26">
        <f>+G14+G15+G16</f>
        <v>26000000</v>
      </c>
      <c r="H13" s="26">
        <f>+H14+H15+H16</f>
        <v>3000000</v>
      </c>
    </row>
    <row r="14" spans="1:10" ht="45" x14ac:dyDescent="0.25">
      <c r="A14" s="20">
        <v>3.1</v>
      </c>
      <c r="B14" s="21" t="s">
        <v>91</v>
      </c>
      <c r="C14" s="27" t="s">
        <v>82</v>
      </c>
      <c r="D14" s="20">
        <v>1</v>
      </c>
      <c r="E14" s="22">
        <v>3000000</v>
      </c>
      <c r="F14" s="22">
        <f t="shared" si="0"/>
        <v>3000000</v>
      </c>
      <c r="G14" s="23">
        <v>0</v>
      </c>
      <c r="H14" s="23">
        <f>+F14</f>
        <v>3000000</v>
      </c>
    </row>
    <row r="15" spans="1:10" ht="33.75" x14ac:dyDescent="0.25">
      <c r="A15" s="20">
        <v>3.2</v>
      </c>
      <c r="B15" s="21" t="s">
        <v>92</v>
      </c>
      <c r="C15" s="27" t="s">
        <v>82</v>
      </c>
      <c r="D15" s="20">
        <v>1</v>
      </c>
      <c r="E15" s="22">
        <v>6000000</v>
      </c>
      <c r="F15" s="22">
        <f t="shared" si="0"/>
        <v>6000000</v>
      </c>
      <c r="G15" s="23">
        <f>+F15</f>
        <v>6000000</v>
      </c>
      <c r="H15" s="23">
        <v>0</v>
      </c>
    </row>
    <row r="16" spans="1:10" ht="45" x14ac:dyDescent="0.25">
      <c r="A16" s="20">
        <v>3.3</v>
      </c>
      <c r="B16" s="21" t="s">
        <v>93</v>
      </c>
      <c r="C16" s="27" t="s">
        <v>82</v>
      </c>
      <c r="D16" s="20">
        <v>1</v>
      </c>
      <c r="E16" s="22">
        <v>20000000</v>
      </c>
      <c r="F16" s="22">
        <f t="shared" si="0"/>
        <v>20000000</v>
      </c>
      <c r="G16" s="23">
        <f>+F16</f>
        <v>20000000</v>
      </c>
      <c r="H16" s="23">
        <v>0</v>
      </c>
    </row>
    <row r="17" spans="1:14" x14ac:dyDescent="0.25">
      <c r="A17" s="12" t="s">
        <v>0</v>
      </c>
      <c r="B17" s="12" t="s">
        <v>76</v>
      </c>
      <c r="C17" s="12" t="s">
        <v>77</v>
      </c>
      <c r="D17" s="12" t="s">
        <v>3</v>
      </c>
      <c r="E17" s="12" t="s">
        <v>4</v>
      </c>
      <c r="F17" s="12" t="s">
        <v>5</v>
      </c>
      <c r="G17" s="12" t="s">
        <v>78</v>
      </c>
      <c r="H17" s="12" t="s">
        <v>100</v>
      </c>
    </row>
    <row r="18" spans="1:14" x14ac:dyDescent="0.25">
      <c r="A18" s="13" t="s">
        <v>96</v>
      </c>
      <c r="B18" s="14" t="s">
        <v>99</v>
      </c>
      <c r="C18" s="13"/>
      <c r="D18" s="13"/>
      <c r="E18" s="13"/>
      <c r="F18" s="15">
        <f>+F19</f>
        <v>257767000</v>
      </c>
      <c r="G18" s="15">
        <f t="shared" ref="G18:H18" si="2">+G19</f>
        <v>257767000</v>
      </c>
      <c r="H18" s="15">
        <f t="shared" si="2"/>
        <v>0</v>
      </c>
    </row>
    <row r="19" spans="1:14" x14ac:dyDescent="0.25">
      <c r="A19" s="16">
        <v>1</v>
      </c>
      <c r="B19" s="17" t="s">
        <v>102</v>
      </c>
      <c r="C19" s="18"/>
      <c r="D19" s="18"/>
      <c r="E19" s="18"/>
      <c r="F19" s="19">
        <f>+F20</f>
        <v>257767000</v>
      </c>
      <c r="G19" s="19">
        <f>+G20</f>
        <v>257767000</v>
      </c>
      <c r="H19" s="19">
        <f>+H20</f>
        <v>0</v>
      </c>
    </row>
    <row r="20" spans="1:14" ht="45" x14ac:dyDescent="0.25">
      <c r="A20" s="20">
        <v>1.1000000000000001</v>
      </c>
      <c r="B20" s="35" t="s">
        <v>101</v>
      </c>
      <c r="C20" s="27" t="s">
        <v>82</v>
      </c>
      <c r="D20" s="20">
        <v>1</v>
      </c>
      <c r="E20" s="22">
        <f>62870*4100</f>
        <v>257767000</v>
      </c>
      <c r="F20" s="22">
        <f t="shared" si="0"/>
        <v>257767000</v>
      </c>
      <c r="G20" s="23">
        <f>+F20</f>
        <v>257767000</v>
      </c>
      <c r="H20" s="23">
        <v>0</v>
      </c>
    </row>
    <row r="21" spans="1:14" x14ac:dyDescent="0.25">
      <c r="A21" s="12" t="s">
        <v>0</v>
      </c>
      <c r="B21" s="12" t="s">
        <v>76</v>
      </c>
      <c r="C21" s="12" t="s">
        <v>77</v>
      </c>
      <c r="D21" s="12" t="s">
        <v>3</v>
      </c>
      <c r="E21" s="12" t="s">
        <v>4</v>
      </c>
      <c r="F21" s="12" t="s">
        <v>5</v>
      </c>
      <c r="G21" s="12" t="s">
        <v>78</v>
      </c>
      <c r="H21" s="12" t="s">
        <v>100</v>
      </c>
    </row>
    <row r="22" spans="1:14" x14ac:dyDescent="0.25">
      <c r="A22" s="13" t="s">
        <v>96</v>
      </c>
      <c r="B22" s="14" t="s">
        <v>97</v>
      </c>
      <c r="C22" s="13"/>
      <c r="D22" s="13"/>
      <c r="E22" s="13"/>
      <c r="F22" s="15">
        <f>+F23+F28+F34</f>
        <v>1209987396</v>
      </c>
      <c r="G22" s="15">
        <f>+G23+G28+G34</f>
        <v>1209987396</v>
      </c>
      <c r="H22" s="15">
        <f t="shared" ref="H22" si="3">+H23</f>
        <v>0</v>
      </c>
    </row>
    <row r="23" spans="1:14" x14ac:dyDescent="0.25">
      <c r="A23" s="16">
        <v>1</v>
      </c>
      <c r="B23" s="17" t="s">
        <v>103</v>
      </c>
      <c r="C23" s="18"/>
      <c r="D23" s="18"/>
      <c r="E23" s="18"/>
      <c r="F23" s="19">
        <f>+F24+F25+F26+F27</f>
        <v>973300000</v>
      </c>
      <c r="G23" s="19">
        <f>+G24+G25+G26+G27</f>
        <v>973300000</v>
      </c>
      <c r="H23" s="19">
        <f>+H24+H25</f>
        <v>0</v>
      </c>
    </row>
    <row r="24" spans="1:14" ht="45" x14ac:dyDescent="0.25">
      <c r="A24" s="20">
        <v>1.1000000000000001</v>
      </c>
      <c r="B24" s="35" t="s">
        <v>104</v>
      </c>
      <c r="C24" s="27" t="s">
        <v>82</v>
      </c>
      <c r="D24" s="20">
        <v>7</v>
      </c>
      <c r="E24" s="22">
        <v>30100000</v>
      </c>
      <c r="F24" s="22">
        <f t="shared" ref="F24:F26" si="4">+E24*D24</f>
        <v>210700000</v>
      </c>
      <c r="G24" s="23">
        <f>+F24</f>
        <v>210700000</v>
      </c>
      <c r="H24" s="23">
        <v>0</v>
      </c>
      <c r="K24" s="10">
        <v>7</v>
      </c>
      <c r="L24" s="10">
        <v>6</v>
      </c>
      <c r="M24" s="10">
        <v>9</v>
      </c>
      <c r="N24" s="10">
        <f>SUM(L24:M24)</f>
        <v>15</v>
      </c>
    </row>
    <row r="25" spans="1:14" ht="45" x14ac:dyDescent="0.25">
      <c r="A25" s="20">
        <v>1.2</v>
      </c>
      <c r="B25" s="35" t="s">
        <v>105</v>
      </c>
      <c r="C25" s="27" t="s">
        <v>82</v>
      </c>
      <c r="D25" s="20">
        <v>3</v>
      </c>
      <c r="E25" s="22">
        <v>49600000</v>
      </c>
      <c r="F25" s="22">
        <f t="shared" si="4"/>
        <v>148800000</v>
      </c>
      <c r="G25" s="23">
        <f t="shared" ref="G25:G26" si="5">+F25</f>
        <v>148800000</v>
      </c>
      <c r="H25" s="23">
        <v>0</v>
      </c>
      <c r="N25" s="10">
        <f>+N24*5*52</f>
        <v>3900</v>
      </c>
    </row>
    <row r="26" spans="1:14" ht="45" x14ac:dyDescent="0.25">
      <c r="A26" s="20">
        <v>1.3</v>
      </c>
      <c r="B26" s="35" t="s">
        <v>143</v>
      </c>
      <c r="C26" s="27" t="s">
        <v>82</v>
      </c>
      <c r="D26" s="20">
        <v>3</v>
      </c>
      <c r="E26" s="22">
        <v>64600000</v>
      </c>
      <c r="F26" s="22">
        <f t="shared" si="4"/>
        <v>193800000</v>
      </c>
      <c r="G26" s="23">
        <f t="shared" si="5"/>
        <v>193800000</v>
      </c>
      <c r="H26" s="23">
        <v>0</v>
      </c>
    </row>
    <row r="27" spans="1:14" x14ac:dyDescent="0.25">
      <c r="A27" s="36">
        <v>1.4</v>
      </c>
      <c r="B27" s="37" t="s">
        <v>114</v>
      </c>
      <c r="C27" s="38" t="s">
        <v>82</v>
      </c>
      <c r="D27" s="36">
        <v>6</v>
      </c>
      <c r="E27" s="39">
        <v>70000000</v>
      </c>
      <c r="F27" s="39">
        <f>+E27*D27</f>
        <v>420000000</v>
      </c>
      <c r="G27" s="39">
        <f>+F27</f>
        <v>420000000</v>
      </c>
      <c r="H27" s="40"/>
    </row>
    <row r="28" spans="1:14" x14ac:dyDescent="0.25">
      <c r="A28" s="16">
        <v>2</v>
      </c>
      <c r="B28" s="17" t="s">
        <v>107</v>
      </c>
      <c r="C28" s="18"/>
      <c r="D28" s="18"/>
      <c r="E28" s="18"/>
      <c r="F28" s="19">
        <f>SUM(F29:F33)</f>
        <v>135249000</v>
      </c>
      <c r="G28" s="19">
        <f>SUM(G29:G33)</f>
        <v>135249000</v>
      </c>
      <c r="H28" s="19">
        <f>+H29+H30</f>
        <v>0</v>
      </c>
    </row>
    <row r="29" spans="1:14" ht="123.75" x14ac:dyDescent="0.25">
      <c r="A29" s="20">
        <v>2.1</v>
      </c>
      <c r="B29" s="35" t="s">
        <v>112</v>
      </c>
      <c r="C29" s="27" t="s">
        <v>82</v>
      </c>
      <c r="D29" s="20">
        <v>3</v>
      </c>
      <c r="E29" s="22">
        <v>21420000</v>
      </c>
      <c r="F29" s="22">
        <f>+E29*D29</f>
        <v>64260000</v>
      </c>
      <c r="G29" s="23">
        <f t="shared" ref="G29:G50" si="6">+F29</f>
        <v>64260000</v>
      </c>
      <c r="H29" s="23">
        <v>0</v>
      </c>
    </row>
    <row r="30" spans="1:14" ht="101.25" x14ac:dyDescent="0.25">
      <c r="A30" s="20">
        <v>2.2000000000000002</v>
      </c>
      <c r="B30" s="35" t="s">
        <v>108</v>
      </c>
      <c r="C30" s="27" t="s">
        <v>82</v>
      </c>
      <c r="D30" s="20">
        <v>3</v>
      </c>
      <c r="E30" s="22">
        <v>5000000</v>
      </c>
      <c r="F30" s="22">
        <f>+E30*D30</f>
        <v>15000000</v>
      </c>
      <c r="G30" s="23">
        <f t="shared" si="6"/>
        <v>15000000</v>
      </c>
      <c r="H30" s="23"/>
    </row>
    <row r="31" spans="1:14" ht="101.25" x14ac:dyDescent="0.25">
      <c r="A31" s="20">
        <v>2.2999999999999998</v>
      </c>
      <c r="B31" s="35" t="s">
        <v>111</v>
      </c>
      <c r="C31" s="27" t="s">
        <v>82</v>
      </c>
      <c r="D31" s="20">
        <v>3</v>
      </c>
      <c r="E31" s="22">
        <v>9500000</v>
      </c>
      <c r="F31" s="22">
        <f>+E31*D31</f>
        <v>28500000</v>
      </c>
      <c r="G31" s="23">
        <f t="shared" si="6"/>
        <v>28500000</v>
      </c>
      <c r="H31" s="23"/>
    </row>
    <row r="32" spans="1:14" ht="112.5" x14ac:dyDescent="0.25">
      <c r="A32" s="20">
        <v>2.4</v>
      </c>
      <c r="B32" s="35" t="s">
        <v>110</v>
      </c>
      <c r="C32" s="27" t="s">
        <v>82</v>
      </c>
      <c r="D32" s="20">
        <v>3</v>
      </c>
      <c r="E32" s="22">
        <v>3808000</v>
      </c>
      <c r="F32" s="22">
        <f>+E32*D32</f>
        <v>11424000</v>
      </c>
      <c r="G32" s="23">
        <f t="shared" si="6"/>
        <v>11424000</v>
      </c>
      <c r="H32" s="23"/>
    </row>
    <row r="33" spans="1:8" ht="90" x14ac:dyDescent="0.25">
      <c r="A33" s="20">
        <v>2.5</v>
      </c>
      <c r="B33" s="35" t="s">
        <v>109</v>
      </c>
      <c r="C33" s="27" t="s">
        <v>82</v>
      </c>
      <c r="D33" s="20">
        <v>3</v>
      </c>
      <c r="E33" s="22">
        <v>5355000</v>
      </c>
      <c r="F33" s="22">
        <f>+E33*D33</f>
        <v>16065000</v>
      </c>
      <c r="G33" s="23">
        <f t="shared" si="6"/>
        <v>16065000</v>
      </c>
      <c r="H33" s="23"/>
    </row>
    <row r="34" spans="1:8" x14ac:dyDescent="0.25">
      <c r="A34" s="16">
        <v>3</v>
      </c>
      <c r="B34" s="17" t="s">
        <v>113</v>
      </c>
      <c r="C34" s="18"/>
      <c r="D34" s="18"/>
      <c r="E34" s="18"/>
      <c r="F34" s="19">
        <f>SUM(F35:F53)</f>
        <v>101438396</v>
      </c>
      <c r="G34" s="19">
        <f>SUM(G35:G53)</f>
        <v>101438396</v>
      </c>
      <c r="H34" s="19">
        <f>+H35+H36</f>
        <v>0</v>
      </c>
    </row>
    <row r="35" spans="1:8" ht="22.5" x14ac:dyDescent="0.25">
      <c r="A35" s="20">
        <v>3.1</v>
      </c>
      <c r="B35" s="35" t="s">
        <v>115</v>
      </c>
      <c r="C35" s="27" t="s">
        <v>82</v>
      </c>
      <c r="D35" s="20">
        <v>3</v>
      </c>
      <c r="E35" s="22">
        <v>1428000</v>
      </c>
      <c r="F35" s="22">
        <f t="shared" ref="F35:F40" si="7">+E35*D35</f>
        <v>4284000</v>
      </c>
      <c r="G35" s="23">
        <f t="shared" si="6"/>
        <v>4284000</v>
      </c>
      <c r="H35" s="23">
        <v>0</v>
      </c>
    </row>
    <row r="36" spans="1:8" ht="45" x14ac:dyDescent="0.25">
      <c r="A36" s="20">
        <v>3.2</v>
      </c>
      <c r="B36" s="35" t="s">
        <v>116</v>
      </c>
      <c r="C36" s="27" t="s">
        <v>82</v>
      </c>
      <c r="D36" s="20">
        <v>1</v>
      </c>
      <c r="E36" s="22">
        <v>3927000</v>
      </c>
      <c r="F36" s="22">
        <f t="shared" si="7"/>
        <v>3927000</v>
      </c>
      <c r="G36" s="23">
        <f t="shared" si="6"/>
        <v>3927000</v>
      </c>
      <c r="H36" s="23"/>
    </row>
    <row r="37" spans="1:8" ht="33.75" x14ac:dyDescent="0.25">
      <c r="A37" s="20">
        <v>3.3</v>
      </c>
      <c r="B37" s="35" t="s">
        <v>117</v>
      </c>
      <c r="C37" s="27" t="s">
        <v>82</v>
      </c>
      <c r="D37" s="20">
        <v>1</v>
      </c>
      <c r="E37" s="22">
        <v>36900000</v>
      </c>
      <c r="F37" s="22">
        <f t="shared" si="7"/>
        <v>36900000</v>
      </c>
      <c r="G37" s="23">
        <f t="shared" si="6"/>
        <v>36900000</v>
      </c>
      <c r="H37" s="31"/>
    </row>
    <row r="38" spans="1:8" ht="78.75" x14ac:dyDescent="0.25">
      <c r="A38" s="20">
        <v>3.4</v>
      </c>
      <c r="B38" s="35" t="s">
        <v>118</v>
      </c>
      <c r="C38" s="27" t="s">
        <v>82</v>
      </c>
      <c r="D38" s="20">
        <v>1</v>
      </c>
      <c r="E38" s="22">
        <v>6188000</v>
      </c>
      <c r="F38" s="22">
        <f t="shared" si="7"/>
        <v>6188000</v>
      </c>
      <c r="G38" s="23">
        <f t="shared" si="6"/>
        <v>6188000</v>
      </c>
      <c r="H38" s="31"/>
    </row>
    <row r="39" spans="1:8" ht="56.25" x14ac:dyDescent="0.25">
      <c r="A39" s="20">
        <v>3.5</v>
      </c>
      <c r="B39" s="35" t="s">
        <v>119</v>
      </c>
      <c r="C39" s="27" t="s">
        <v>82</v>
      </c>
      <c r="D39" s="20">
        <v>1</v>
      </c>
      <c r="E39" s="22">
        <v>2116000</v>
      </c>
      <c r="F39" s="22">
        <f t="shared" si="7"/>
        <v>2116000</v>
      </c>
      <c r="G39" s="23">
        <f t="shared" si="6"/>
        <v>2116000</v>
      </c>
      <c r="H39" s="31"/>
    </row>
    <row r="40" spans="1:8" ht="45" x14ac:dyDescent="0.25">
      <c r="A40" s="20">
        <v>3.6</v>
      </c>
      <c r="B40" s="35" t="s">
        <v>120</v>
      </c>
      <c r="C40" s="27" t="s">
        <v>82</v>
      </c>
      <c r="D40" s="20">
        <v>1</v>
      </c>
      <c r="E40" s="22">
        <v>4233306</v>
      </c>
      <c r="F40" s="22">
        <f t="shared" si="7"/>
        <v>4233306</v>
      </c>
      <c r="G40" s="23">
        <f t="shared" si="6"/>
        <v>4233306</v>
      </c>
      <c r="H40" s="31"/>
    </row>
    <row r="41" spans="1:8" ht="135" x14ac:dyDescent="0.25">
      <c r="A41" s="20">
        <v>3.7</v>
      </c>
      <c r="B41" s="35" t="s">
        <v>121</v>
      </c>
      <c r="C41" s="27" t="s">
        <v>82</v>
      </c>
      <c r="D41" s="20">
        <v>1</v>
      </c>
      <c r="E41" s="22">
        <v>24871000</v>
      </c>
      <c r="F41" s="22">
        <f t="shared" ref="F41:F46" si="8">+E41*D41</f>
        <v>24871000</v>
      </c>
      <c r="G41" s="23">
        <f t="shared" si="6"/>
        <v>24871000</v>
      </c>
      <c r="H41" s="31"/>
    </row>
    <row r="42" spans="1:8" ht="33.75" x14ac:dyDescent="0.25">
      <c r="A42" s="20">
        <v>3.8</v>
      </c>
      <c r="B42" s="35" t="s">
        <v>122</v>
      </c>
      <c r="C42" s="27" t="s">
        <v>82</v>
      </c>
      <c r="D42" s="20">
        <v>1</v>
      </c>
      <c r="E42" s="22">
        <v>279701</v>
      </c>
      <c r="F42" s="22">
        <f t="shared" si="8"/>
        <v>279701</v>
      </c>
      <c r="G42" s="23">
        <f t="shared" si="6"/>
        <v>279701</v>
      </c>
      <c r="H42" s="31"/>
    </row>
    <row r="43" spans="1:8" ht="33.75" x14ac:dyDescent="0.25">
      <c r="A43" s="20">
        <v>3.9</v>
      </c>
      <c r="B43" s="35" t="s">
        <v>123</v>
      </c>
      <c r="C43" s="27" t="s">
        <v>82</v>
      </c>
      <c r="D43" s="20">
        <v>1</v>
      </c>
      <c r="E43" s="22">
        <v>102809</v>
      </c>
      <c r="F43" s="22">
        <f t="shared" si="8"/>
        <v>102809</v>
      </c>
      <c r="G43" s="23">
        <f t="shared" si="6"/>
        <v>102809</v>
      </c>
      <c r="H43" s="31"/>
    </row>
    <row r="44" spans="1:8" ht="22.5" x14ac:dyDescent="0.25">
      <c r="A44" s="32">
        <v>3.1</v>
      </c>
      <c r="B44" s="35" t="s">
        <v>124</v>
      </c>
      <c r="C44" s="27" t="s">
        <v>82</v>
      </c>
      <c r="D44" s="20">
        <v>1</v>
      </c>
      <c r="E44" s="22">
        <v>2201500</v>
      </c>
      <c r="F44" s="22">
        <f t="shared" si="8"/>
        <v>2201500</v>
      </c>
      <c r="G44" s="23">
        <f t="shared" si="6"/>
        <v>2201500</v>
      </c>
      <c r="H44" s="31"/>
    </row>
    <row r="45" spans="1:8" ht="22.5" x14ac:dyDescent="0.25">
      <c r="A45" s="20">
        <v>3.11</v>
      </c>
      <c r="B45" s="35" t="s">
        <v>129</v>
      </c>
      <c r="C45" s="27" t="s">
        <v>82</v>
      </c>
      <c r="D45" s="20">
        <v>1</v>
      </c>
      <c r="E45" s="22">
        <v>15000</v>
      </c>
      <c r="F45" s="22">
        <f t="shared" si="8"/>
        <v>15000</v>
      </c>
      <c r="G45" s="23">
        <f t="shared" si="6"/>
        <v>15000</v>
      </c>
      <c r="H45" s="31"/>
    </row>
    <row r="46" spans="1:8" ht="33.75" x14ac:dyDescent="0.25">
      <c r="A46" s="32">
        <v>3.12</v>
      </c>
      <c r="B46" s="35" t="s">
        <v>125</v>
      </c>
      <c r="C46" s="27" t="s">
        <v>82</v>
      </c>
      <c r="D46" s="20">
        <v>1</v>
      </c>
      <c r="E46" s="22">
        <v>20230</v>
      </c>
      <c r="F46" s="22">
        <f t="shared" si="8"/>
        <v>20230</v>
      </c>
      <c r="G46" s="23">
        <f t="shared" si="6"/>
        <v>20230</v>
      </c>
      <c r="H46" s="31"/>
    </row>
    <row r="47" spans="1:8" ht="22.5" x14ac:dyDescent="0.25">
      <c r="A47" s="20">
        <v>3.13</v>
      </c>
      <c r="B47" s="35" t="s">
        <v>126</v>
      </c>
      <c r="C47" s="27" t="s">
        <v>82</v>
      </c>
      <c r="D47" s="20">
        <v>1</v>
      </c>
      <c r="E47" s="22">
        <v>29750</v>
      </c>
      <c r="F47" s="22">
        <f t="shared" ref="F47:F50" si="9">+E47*D47</f>
        <v>29750</v>
      </c>
      <c r="G47" s="23">
        <f t="shared" si="6"/>
        <v>29750</v>
      </c>
      <c r="H47" s="31"/>
    </row>
    <row r="48" spans="1:8" ht="33.75" x14ac:dyDescent="0.25">
      <c r="A48" s="32">
        <v>3.14</v>
      </c>
      <c r="B48" s="35" t="s">
        <v>127</v>
      </c>
      <c r="C48" s="27" t="s">
        <v>82</v>
      </c>
      <c r="D48" s="20">
        <v>1</v>
      </c>
      <c r="E48" s="22">
        <v>71400</v>
      </c>
      <c r="F48" s="22">
        <f t="shared" si="9"/>
        <v>71400</v>
      </c>
      <c r="G48" s="23">
        <f t="shared" si="6"/>
        <v>71400</v>
      </c>
      <c r="H48" s="31"/>
    </row>
    <row r="49" spans="1:8" x14ac:dyDescent="0.25">
      <c r="A49" s="20">
        <v>3.15</v>
      </c>
      <c r="B49" s="35" t="s">
        <v>128</v>
      </c>
      <c r="C49" s="27" t="s">
        <v>82</v>
      </c>
      <c r="D49" s="20">
        <v>1</v>
      </c>
      <c r="E49" s="22">
        <v>142800</v>
      </c>
      <c r="F49" s="22">
        <f t="shared" si="9"/>
        <v>142800</v>
      </c>
      <c r="G49" s="23">
        <f t="shared" si="6"/>
        <v>142800</v>
      </c>
      <c r="H49" s="31"/>
    </row>
    <row r="50" spans="1:8" ht="33.75" x14ac:dyDescent="0.25">
      <c r="A50" s="32">
        <v>3.16</v>
      </c>
      <c r="B50" s="35" t="s">
        <v>130</v>
      </c>
      <c r="C50" s="27" t="s">
        <v>82</v>
      </c>
      <c r="D50" s="20">
        <v>1</v>
      </c>
      <c r="E50" s="22">
        <v>105900</v>
      </c>
      <c r="F50" s="22">
        <f t="shared" si="9"/>
        <v>105900</v>
      </c>
      <c r="G50" s="23">
        <f t="shared" si="6"/>
        <v>105900</v>
      </c>
      <c r="H50" s="31"/>
    </row>
    <row r="51" spans="1:8" x14ac:dyDescent="0.25">
      <c r="A51" s="20">
        <v>3.17</v>
      </c>
      <c r="B51" s="35" t="s">
        <v>131</v>
      </c>
      <c r="C51" s="27" t="s">
        <v>82</v>
      </c>
      <c r="D51" s="20">
        <v>1</v>
      </c>
      <c r="E51" s="22">
        <v>10000000</v>
      </c>
      <c r="F51" s="22">
        <f t="shared" ref="F51:F53" si="10">+E51*D51</f>
        <v>10000000</v>
      </c>
      <c r="G51" s="23">
        <f t="shared" ref="G51:G53" si="11">+F51</f>
        <v>10000000</v>
      </c>
      <c r="H51" s="31"/>
    </row>
    <row r="52" spans="1:8" ht="56.25" x14ac:dyDescent="0.25">
      <c r="A52" s="32">
        <v>3.18</v>
      </c>
      <c r="B52" s="35" t="s">
        <v>132</v>
      </c>
      <c r="C52" s="27" t="s">
        <v>82</v>
      </c>
      <c r="D52" s="20">
        <v>1</v>
      </c>
      <c r="E52" s="22">
        <v>952000</v>
      </c>
      <c r="F52" s="22">
        <f t="shared" si="10"/>
        <v>952000</v>
      </c>
      <c r="G52" s="23">
        <f t="shared" si="11"/>
        <v>952000</v>
      </c>
      <c r="H52" s="31"/>
    </row>
    <row r="53" spans="1:8" ht="45" x14ac:dyDescent="0.25">
      <c r="A53" s="20">
        <v>3.19</v>
      </c>
      <c r="B53" s="35" t="s">
        <v>133</v>
      </c>
      <c r="C53" s="27" t="s">
        <v>82</v>
      </c>
      <c r="D53" s="20">
        <v>1</v>
      </c>
      <c r="E53" s="22">
        <v>4998000</v>
      </c>
      <c r="F53" s="22">
        <f t="shared" si="10"/>
        <v>4998000</v>
      </c>
      <c r="G53" s="23">
        <f t="shared" si="11"/>
        <v>4998000</v>
      </c>
      <c r="H53" s="31"/>
    </row>
    <row r="54" spans="1:8" x14ac:dyDescent="0.25">
      <c r="A54" s="33"/>
      <c r="B54" s="296" t="s">
        <v>134</v>
      </c>
      <c r="C54" s="297"/>
      <c r="D54" s="297"/>
      <c r="E54" s="298"/>
      <c r="F54" s="34">
        <f>+F22+F18+F5</f>
        <v>1817753896</v>
      </c>
      <c r="G54" s="34">
        <f>+G22+G18+G5</f>
        <v>1767753896</v>
      </c>
      <c r="H54" s="34">
        <f>+H22+H18+H5</f>
        <v>50000000</v>
      </c>
    </row>
  </sheetData>
  <mergeCells count="2">
    <mergeCell ref="A2:H2"/>
    <mergeCell ref="B54:E54"/>
  </mergeCells>
  <printOptions horizontalCentered="1"/>
  <pageMargins left="0.51181102362204722" right="0.51181102362204722" top="0.74803149606299213" bottom="0.74803149606299213" header="0.31496062992125984" footer="0.31496062992125984"/>
  <pageSetup scale="90" orientation="portrait" r:id="rId1"/>
  <rowBreaks count="1" manualBreakCount="1">
    <brk id="2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53"/>
  <sheetViews>
    <sheetView view="pageBreakPreview" topLeftCell="A41" zoomScaleNormal="120" zoomScaleSheetLayoutView="100" workbookViewId="0">
      <selection activeCell="A22" sqref="A22:D41"/>
    </sheetView>
  </sheetViews>
  <sheetFormatPr baseColWidth="10" defaultColWidth="11.42578125" defaultRowHeight="12" x14ac:dyDescent="0.25"/>
  <cols>
    <col min="1" max="1" width="4.42578125" style="9" bestFit="1" customWidth="1"/>
    <col min="2" max="2" width="27.85546875" style="10" customWidth="1"/>
    <col min="3" max="3" width="6.42578125" style="9" bestFit="1" customWidth="1"/>
    <col min="4" max="4" width="8" style="9" bestFit="1" customWidth="1"/>
    <col min="5" max="5" width="12.5703125" style="10" bestFit="1" customWidth="1"/>
    <col min="6" max="6" width="15.85546875" style="10" bestFit="1" customWidth="1"/>
    <col min="7" max="7" width="16.5703125" style="10" bestFit="1" customWidth="1"/>
    <col min="8" max="8" width="15.42578125" style="173" bestFit="1" customWidth="1"/>
    <col min="9" max="9" width="11.42578125" style="10"/>
    <col min="10" max="10" width="13.28515625" style="10" bestFit="1" customWidth="1"/>
    <col min="11" max="11" width="12.42578125" style="10" bestFit="1" customWidth="1"/>
    <col min="12" max="16384" width="11.42578125" style="10"/>
  </cols>
  <sheetData>
    <row r="2" spans="1:11" ht="15.75" x14ac:dyDescent="0.25">
      <c r="A2" s="295" t="s">
        <v>98</v>
      </c>
      <c r="B2" s="295"/>
      <c r="C2" s="295"/>
      <c r="D2" s="295"/>
      <c r="E2" s="295"/>
      <c r="F2" s="295"/>
      <c r="G2" s="295"/>
    </row>
    <row r="4" spans="1:11" x14ac:dyDescent="0.25">
      <c r="A4" s="12" t="s">
        <v>0</v>
      </c>
      <c r="B4" s="12" t="s">
        <v>76</v>
      </c>
      <c r="C4" s="12" t="s">
        <v>77</v>
      </c>
      <c r="D4" s="12" t="s">
        <v>3</v>
      </c>
      <c r="E4" s="12" t="s">
        <v>4</v>
      </c>
      <c r="F4" s="12" t="s">
        <v>5</v>
      </c>
      <c r="G4" s="12" t="s">
        <v>78</v>
      </c>
    </row>
    <row r="5" spans="1:11" x14ac:dyDescent="0.25">
      <c r="A5" s="13" t="s">
        <v>94</v>
      </c>
      <c r="B5" s="14" t="s">
        <v>95</v>
      </c>
      <c r="C5" s="13"/>
      <c r="D5" s="13"/>
      <c r="E5" s="13"/>
      <c r="F5" s="15">
        <f>+F6</f>
        <v>260470980</v>
      </c>
      <c r="G5" s="15">
        <f>+G6</f>
        <v>260470980</v>
      </c>
    </row>
    <row r="6" spans="1:11" x14ac:dyDescent="0.25">
      <c r="A6" s="16">
        <v>1</v>
      </c>
      <c r="B6" s="17" t="s">
        <v>80</v>
      </c>
      <c r="C6" s="18"/>
      <c r="D6" s="18"/>
      <c r="E6" s="18"/>
      <c r="F6" s="19">
        <f>+F7+F8</f>
        <v>260470980</v>
      </c>
      <c r="G6" s="19">
        <f>+G7+G8</f>
        <v>260470980</v>
      </c>
      <c r="J6" s="173">
        <f>+G6/9</f>
        <v>28941220</v>
      </c>
    </row>
    <row r="7" spans="1:11" ht="67.5" x14ac:dyDescent="0.25">
      <c r="A7" s="20">
        <v>1.1000000000000001</v>
      </c>
      <c r="B7" s="85" t="s">
        <v>146</v>
      </c>
      <c r="C7" s="83" t="s">
        <v>82</v>
      </c>
      <c r="D7" s="83">
        <v>9</v>
      </c>
      <c r="E7" s="84">
        <v>25938000</v>
      </c>
      <c r="F7" s="84">
        <f>+E7*D7</f>
        <v>233442000</v>
      </c>
      <c r="G7" s="90">
        <f>+F7</f>
        <v>233442000</v>
      </c>
      <c r="H7" s="173">
        <f>+G7*1.11</f>
        <v>259120620.00000003</v>
      </c>
      <c r="K7" s="11"/>
    </row>
    <row r="8" spans="1:11" ht="67.5" x14ac:dyDescent="0.25">
      <c r="A8" s="20">
        <v>1.2</v>
      </c>
      <c r="B8" s="85" t="s">
        <v>147</v>
      </c>
      <c r="C8" s="83" t="s">
        <v>83</v>
      </c>
      <c r="D8" s="83">
        <v>1683</v>
      </c>
      <c r="E8" s="84">
        <v>16060</v>
      </c>
      <c r="F8" s="84">
        <f>+E8*D8</f>
        <v>27028980</v>
      </c>
      <c r="G8" s="90">
        <f>+F8</f>
        <v>27028980</v>
      </c>
      <c r="H8" s="173">
        <f>ROUND(+G8*1.11,0)</f>
        <v>30002168</v>
      </c>
      <c r="J8" s="174"/>
      <c r="K8" s="173"/>
    </row>
    <row r="9" spans="1:11" x14ac:dyDescent="0.25">
      <c r="A9" s="12" t="s">
        <v>0</v>
      </c>
      <c r="B9" s="12" t="s">
        <v>76</v>
      </c>
      <c r="C9" s="12" t="s">
        <v>77</v>
      </c>
      <c r="D9" s="12" t="s">
        <v>3</v>
      </c>
      <c r="E9" s="12" t="s">
        <v>4</v>
      </c>
      <c r="F9" s="12" t="s">
        <v>5</v>
      </c>
      <c r="G9" s="12" t="s">
        <v>78</v>
      </c>
      <c r="K9" s="11"/>
    </row>
    <row r="10" spans="1:11" x14ac:dyDescent="0.25">
      <c r="A10" s="13" t="s">
        <v>96</v>
      </c>
      <c r="B10" s="14" t="s">
        <v>97</v>
      </c>
      <c r="C10" s="13"/>
      <c r="D10" s="13"/>
      <c r="E10" s="13"/>
      <c r="F10" s="15">
        <f>+F11+F16+F22+F42</f>
        <v>1313178123</v>
      </c>
      <c r="G10" s="15">
        <f>+G11+G16+G22+G42</f>
        <v>1313178123</v>
      </c>
    </row>
    <row r="11" spans="1:11" x14ac:dyDescent="0.25">
      <c r="A11" s="16">
        <v>1</v>
      </c>
      <c r="B11" s="17" t="s">
        <v>103</v>
      </c>
      <c r="C11" s="18"/>
      <c r="D11" s="18"/>
      <c r="E11" s="18"/>
      <c r="F11" s="19">
        <f>+F12+F13+F14+F15</f>
        <v>859090000</v>
      </c>
      <c r="G11" s="19">
        <f>+G12+G13+G14+G15</f>
        <v>859090000</v>
      </c>
    </row>
    <row r="12" spans="1:11" ht="45" x14ac:dyDescent="0.25">
      <c r="A12" s="20">
        <v>1.1000000000000001</v>
      </c>
      <c r="B12" s="85" t="s">
        <v>211</v>
      </c>
      <c r="C12" s="27" t="s">
        <v>82</v>
      </c>
      <c r="D12" s="20">
        <v>7</v>
      </c>
      <c r="E12" s="165">
        <v>40810000</v>
      </c>
      <c r="F12" s="153">
        <f>+E12*D12</f>
        <v>285670000</v>
      </c>
      <c r="G12" s="154">
        <f>+F12</f>
        <v>285670000</v>
      </c>
      <c r="H12" s="173">
        <f t="shared" ref="H12:H45" si="0">+G12*1.11</f>
        <v>317093700</v>
      </c>
    </row>
    <row r="13" spans="1:11" ht="45" x14ac:dyDescent="0.25">
      <c r="A13" s="20">
        <v>1.2</v>
      </c>
      <c r="B13" s="85" t="s">
        <v>212</v>
      </c>
      <c r="C13" s="27" t="s">
        <v>82</v>
      </c>
      <c r="D13" s="20">
        <v>3</v>
      </c>
      <c r="E13" s="165">
        <v>55440000</v>
      </c>
      <c r="F13" s="153">
        <f t="shared" ref="F13:F14" si="1">+E13*D13</f>
        <v>166320000</v>
      </c>
      <c r="G13" s="154">
        <f t="shared" ref="G13:G14" si="2">+F13</f>
        <v>166320000</v>
      </c>
      <c r="H13" s="173">
        <f t="shared" si="0"/>
        <v>184615200.00000003</v>
      </c>
      <c r="J13" s="152"/>
    </row>
    <row r="14" spans="1:11" ht="45" x14ac:dyDescent="0.25">
      <c r="A14" s="20">
        <v>1.3</v>
      </c>
      <c r="B14" s="85" t="s">
        <v>213</v>
      </c>
      <c r="C14" s="27" t="s">
        <v>82</v>
      </c>
      <c r="D14" s="20">
        <v>3</v>
      </c>
      <c r="E14" s="165">
        <v>71060000</v>
      </c>
      <c r="F14" s="153">
        <f t="shared" si="1"/>
        <v>213180000</v>
      </c>
      <c r="G14" s="154">
        <f t="shared" si="2"/>
        <v>213180000</v>
      </c>
      <c r="H14" s="173">
        <f t="shared" si="0"/>
        <v>236629800.00000003</v>
      </c>
    </row>
    <row r="15" spans="1:11" ht="45" x14ac:dyDescent="0.25">
      <c r="A15" s="20">
        <v>1.4</v>
      </c>
      <c r="B15" s="85" t="s">
        <v>214</v>
      </c>
      <c r="C15" s="27" t="s">
        <v>82</v>
      </c>
      <c r="D15" s="20">
        <v>2</v>
      </c>
      <c r="E15" s="165">
        <v>96960000</v>
      </c>
      <c r="F15" s="153">
        <f t="shared" ref="F15" si="3">+E15*D15</f>
        <v>193920000</v>
      </c>
      <c r="G15" s="154">
        <f t="shared" ref="G15" si="4">+F15</f>
        <v>193920000</v>
      </c>
      <c r="H15" s="173">
        <f t="shared" si="0"/>
        <v>215251200.00000003</v>
      </c>
    </row>
    <row r="16" spans="1:11" x14ac:dyDescent="0.25">
      <c r="A16" s="16">
        <v>2</v>
      </c>
      <c r="B16" s="17" t="s">
        <v>107</v>
      </c>
      <c r="C16" s="18"/>
      <c r="D16" s="18"/>
      <c r="E16" s="18"/>
      <c r="F16" s="19">
        <f>SUM(F17:F21)</f>
        <v>150541050.00000003</v>
      </c>
      <c r="G16" s="19">
        <f>SUM(G17:G21)</f>
        <v>150541050.00000003</v>
      </c>
      <c r="J16" s="173">
        <f>+G16/3</f>
        <v>50180350.000000007</v>
      </c>
    </row>
    <row r="17" spans="1:10" ht="119.25" customHeight="1" x14ac:dyDescent="0.25">
      <c r="A17" s="20">
        <v>2.1</v>
      </c>
      <c r="B17" s="85" t="s">
        <v>112</v>
      </c>
      <c r="C17" s="27" t="s">
        <v>82</v>
      </c>
      <c r="D17" s="20">
        <v>3</v>
      </c>
      <c r="E17" s="22">
        <f>21420000*1.1</f>
        <v>23562000.000000004</v>
      </c>
      <c r="F17" s="22">
        <f>+E17*D17</f>
        <v>70686000.000000015</v>
      </c>
      <c r="G17" s="23">
        <f t="shared" ref="G17:G41" si="5">+F17</f>
        <v>70686000.000000015</v>
      </c>
      <c r="H17" s="173">
        <f t="shared" si="0"/>
        <v>78461460.00000003</v>
      </c>
    </row>
    <row r="18" spans="1:10" ht="97.5" customHeight="1" x14ac:dyDescent="0.25">
      <c r="A18" s="20">
        <v>2.2000000000000002</v>
      </c>
      <c r="B18" s="85" t="s">
        <v>144</v>
      </c>
      <c r="C18" s="27" t="s">
        <v>82</v>
      </c>
      <c r="D18" s="20">
        <v>3</v>
      </c>
      <c r="E18" s="22">
        <f>5000000*1.1</f>
        <v>5500000</v>
      </c>
      <c r="F18" s="22">
        <f>+E18*D18</f>
        <v>16500000</v>
      </c>
      <c r="G18" s="23">
        <f t="shared" si="5"/>
        <v>16500000</v>
      </c>
      <c r="H18" s="173">
        <f t="shared" si="0"/>
        <v>18315000</v>
      </c>
    </row>
    <row r="19" spans="1:10" ht="105.75" customHeight="1" x14ac:dyDescent="0.25">
      <c r="A19" s="20">
        <v>2.2999999999999998</v>
      </c>
      <c r="B19" s="85" t="s">
        <v>145</v>
      </c>
      <c r="C19" s="27" t="s">
        <v>82</v>
      </c>
      <c r="D19" s="20">
        <v>3</v>
      </c>
      <c r="E19" s="22">
        <f>9500000*1.1</f>
        <v>10450000</v>
      </c>
      <c r="F19" s="22">
        <f>+E19*D19</f>
        <v>31350000</v>
      </c>
      <c r="G19" s="23">
        <f t="shared" si="5"/>
        <v>31350000</v>
      </c>
      <c r="H19" s="173">
        <f t="shared" si="0"/>
        <v>34798500</v>
      </c>
    </row>
    <row r="20" spans="1:10" ht="113.25" customHeight="1" x14ac:dyDescent="0.25">
      <c r="A20" s="20">
        <v>2.4</v>
      </c>
      <c r="B20" s="85" t="s">
        <v>148</v>
      </c>
      <c r="C20" s="27" t="s">
        <v>82</v>
      </c>
      <c r="D20" s="20">
        <v>3</v>
      </c>
      <c r="E20" s="22">
        <f>3808000*1.1</f>
        <v>4188800.0000000005</v>
      </c>
      <c r="F20" s="22">
        <f>+E20*D20</f>
        <v>12566400.000000002</v>
      </c>
      <c r="G20" s="23">
        <f t="shared" si="5"/>
        <v>12566400.000000002</v>
      </c>
      <c r="H20" s="173">
        <f t="shared" si="0"/>
        <v>13948704.000000004</v>
      </c>
    </row>
    <row r="21" spans="1:10" ht="92.25" customHeight="1" x14ac:dyDescent="0.25">
      <c r="A21" s="20">
        <v>2.5</v>
      </c>
      <c r="B21" s="85" t="s">
        <v>109</v>
      </c>
      <c r="C21" s="27" t="s">
        <v>82</v>
      </c>
      <c r="D21" s="20">
        <v>3</v>
      </c>
      <c r="E21" s="22">
        <f>5890500*1.1</f>
        <v>6479550.0000000009</v>
      </c>
      <c r="F21" s="22">
        <f>+E21*D21</f>
        <v>19438650.000000004</v>
      </c>
      <c r="G21" s="23">
        <f t="shared" si="5"/>
        <v>19438650.000000004</v>
      </c>
      <c r="H21" s="173">
        <f>ROUND(+G21*1.11,0)</f>
        <v>21576902</v>
      </c>
    </row>
    <row r="22" spans="1:10" x14ac:dyDescent="0.25">
      <c r="A22" s="16">
        <v>3</v>
      </c>
      <c r="B22" s="17" t="s">
        <v>113</v>
      </c>
      <c r="C22" s="18"/>
      <c r="D22" s="18"/>
      <c r="E22" s="18"/>
      <c r="F22" s="19">
        <f>SUM(F23:F41)</f>
        <v>252547073</v>
      </c>
      <c r="G22" s="19">
        <f>SUM(G23:G41)</f>
        <v>252547073</v>
      </c>
      <c r="J22" s="173">
        <f>+G22/3</f>
        <v>84182357.666666672</v>
      </c>
    </row>
    <row r="23" spans="1:10" ht="22.5" x14ac:dyDescent="0.25">
      <c r="A23" s="20">
        <v>3.1</v>
      </c>
      <c r="B23" s="85" t="s">
        <v>115</v>
      </c>
      <c r="C23" s="27" t="s">
        <v>82</v>
      </c>
      <c r="D23" s="20">
        <v>3</v>
      </c>
      <c r="E23" s="22">
        <f>1428000*1.1</f>
        <v>1570800.0000000002</v>
      </c>
      <c r="F23" s="22">
        <f t="shared" ref="F23:F41" si="6">+E23*D23</f>
        <v>4712400.0000000009</v>
      </c>
      <c r="G23" s="23">
        <f t="shared" si="5"/>
        <v>4712400.0000000009</v>
      </c>
      <c r="H23" s="173">
        <f t="shared" si="0"/>
        <v>5230764.0000000019</v>
      </c>
    </row>
    <row r="24" spans="1:10" ht="45" x14ac:dyDescent="0.25">
      <c r="A24" s="20">
        <v>3.2</v>
      </c>
      <c r="B24" s="85" t="s">
        <v>116</v>
      </c>
      <c r="C24" s="27" t="s">
        <v>82</v>
      </c>
      <c r="D24" s="20">
        <v>3</v>
      </c>
      <c r="E24" s="22">
        <f>3927000*1.1</f>
        <v>4319700</v>
      </c>
      <c r="F24" s="22">
        <f t="shared" si="6"/>
        <v>12959100</v>
      </c>
      <c r="G24" s="23">
        <f t="shared" si="5"/>
        <v>12959100</v>
      </c>
      <c r="H24" s="173">
        <f t="shared" si="0"/>
        <v>14384601.000000002</v>
      </c>
    </row>
    <row r="25" spans="1:10" ht="33.75" x14ac:dyDescent="0.25">
      <c r="A25" s="20">
        <v>3.3</v>
      </c>
      <c r="B25" s="85" t="s">
        <v>117</v>
      </c>
      <c r="C25" s="27" t="s">
        <v>82</v>
      </c>
      <c r="D25" s="20">
        <v>3</v>
      </c>
      <c r="E25" s="22">
        <f>36900000*1.1</f>
        <v>40590000</v>
      </c>
      <c r="F25" s="22">
        <f t="shared" si="6"/>
        <v>121770000</v>
      </c>
      <c r="G25" s="23">
        <f t="shared" si="5"/>
        <v>121770000</v>
      </c>
      <c r="H25" s="173">
        <f t="shared" si="0"/>
        <v>135164700</v>
      </c>
    </row>
    <row r="26" spans="1:10" ht="72.75" customHeight="1" x14ac:dyDescent="0.25">
      <c r="A26" s="20">
        <v>3.4</v>
      </c>
      <c r="B26" s="85" t="s">
        <v>118</v>
      </c>
      <c r="C26" s="27" t="s">
        <v>82</v>
      </c>
      <c r="D26" s="20">
        <v>3</v>
      </c>
      <c r="E26" s="22">
        <f>6188000*1.1</f>
        <v>6806800.0000000009</v>
      </c>
      <c r="F26" s="22">
        <f t="shared" si="6"/>
        <v>20420400.000000004</v>
      </c>
      <c r="G26" s="23">
        <f t="shared" si="5"/>
        <v>20420400.000000004</v>
      </c>
      <c r="H26" s="173">
        <f t="shared" si="0"/>
        <v>22666644.000000007</v>
      </c>
    </row>
    <row r="27" spans="1:10" ht="52.5" customHeight="1" x14ac:dyDescent="0.25">
      <c r="A27" s="20">
        <v>3.5</v>
      </c>
      <c r="B27" s="85" t="s">
        <v>119</v>
      </c>
      <c r="C27" s="27" t="s">
        <v>82</v>
      </c>
      <c r="D27" s="20">
        <v>3</v>
      </c>
      <c r="E27" s="22">
        <f>2116000*1.1</f>
        <v>2327600</v>
      </c>
      <c r="F27" s="22">
        <f t="shared" si="6"/>
        <v>6982800</v>
      </c>
      <c r="G27" s="23">
        <f t="shared" si="5"/>
        <v>6982800</v>
      </c>
      <c r="H27" s="173">
        <f t="shared" si="0"/>
        <v>7750908.0000000009</v>
      </c>
    </row>
    <row r="28" spans="1:10" ht="45" x14ac:dyDescent="0.25">
      <c r="A28" s="20">
        <v>3.6</v>
      </c>
      <c r="B28" s="85" t="s">
        <v>120</v>
      </c>
      <c r="C28" s="27" t="s">
        <v>82</v>
      </c>
      <c r="D28" s="20">
        <v>3</v>
      </c>
      <c r="E28" s="22">
        <f>4233306*1.1</f>
        <v>4656636.6000000006</v>
      </c>
      <c r="F28" s="22">
        <f>ROUND(+E28*D28,0)</f>
        <v>13969910</v>
      </c>
      <c r="G28" s="23">
        <f t="shared" si="5"/>
        <v>13969910</v>
      </c>
      <c r="H28" s="173">
        <f>ROUND(+G28*1.11,0)</f>
        <v>15506600</v>
      </c>
    </row>
    <row r="29" spans="1:10" ht="133.5" customHeight="1" x14ac:dyDescent="0.25">
      <c r="A29" s="20">
        <v>3.7</v>
      </c>
      <c r="B29" s="85" t="s">
        <v>121</v>
      </c>
      <c r="C29" s="27" t="s">
        <v>82</v>
      </c>
      <c r="D29" s="20">
        <v>3</v>
      </c>
      <c r="E29" s="22">
        <f>2487100*1.1</f>
        <v>2735810</v>
      </c>
      <c r="F29" s="22">
        <f t="shared" si="6"/>
        <v>8207430</v>
      </c>
      <c r="G29" s="23">
        <f t="shared" si="5"/>
        <v>8207430</v>
      </c>
      <c r="H29" s="173">
        <f>ROUND(+G29*1.11,0)</f>
        <v>9110247</v>
      </c>
    </row>
    <row r="30" spans="1:10" ht="33.75" x14ac:dyDescent="0.25">
      <c r="A30" s="20">
        <v>3.8</v>
      </c>
      <c r="B30" s="85" t="s">
        <v>122</v>
      </c>
      <c r="C30" s="27" t="s">
        <v>82</v>
      </c>
      <c r="D30" s="20">
        <v>3</v>
      </c>
      <c r="E30" s="22">
        <f>279701*1.1</f>
        <v>307671.10000000003</v>
      </c>
      <c r="F30" s="22">
        <f>ROUND(+E30*D30,0)</f>
        <v>923013</v>
      </c>
      <c r="G30" s="23">
        <f t="shared" si="5"/>
        <v>923013</v>
      </c>
      <c r="H30" s="173">
        <f>ROUND(+G30*1.11,0)</f>
        <v>1024544</v>
      </c>
    </row>
    <row r="31" spans="1:10" ht="33.75" x14ac:dyDescent="0.25">
      <c r="A31" s="20">
        <v>3.9</v>
      </c>
      <c r="B31" s="85" t="s">
        <v>123</v>
      </c>
      <c r="C31" s="27" t="s">
        <v>82</v>
      </c>
      <c r="D31" s="20">
        <v>3</v>
      </c>
      <c r="E31" s="22">
        <f>102809*1.1</f>
        <v>113089.90000000001</v>
      </c>
      <c r="F31" s="22">
        <f>ROUND(+E31*D31,0)</f>
        <v>339270</v>
      </c>
      <c r="G31" s="23">
        <f t="shared" si="5"/>
        <v>339270</v>
      </c>
      <c r="H31" s="173">
        <f>ROUND(+G31*1.11,0)</f>
        <v>376590</v>
      </c>
    </row>
    <row r="32" spans="1:10" ht="22.5" x14ac:dyDescent="0.25">
      <c r="A32" s="32">
        <v>3.1</v>
      </c>
      <c r="B32" s="85" t="s">
        <v>124</v>
      </c>
      <c r="C32" s="27" t="s">
        <v>82</v>
      </c>
      <c r="D32" s="20">
        <v>3</v>
      </c>
      <c r="E32" s="22">
        <f>2201500*1.1</f>
        <v>2421650</v>
      </c>
      <c r="F32" s="22">
        <f t="shared" si="6"/>
        <v>7264950</v>
      </c>
      <c r="G32" s="23">
        <f t="shared" si="5"/>
        <v>7264950</v>
      </c>
      <c r="H32" s="173">
        <f>ROUND(+G32*1.11,0)</f>
        <v>8064095</v>
      </c>
    </row>
    <row r="33" spans="1:10" ht="22.5" x14ac:dyDescent="0.25">
      <c r="A33" s="20">
        <v>3.11</v>
      </c>
      <c r="B33" s="85" t="s">
        <v>129</v>
      </c>
      <c r="C33" s="27" t="s">
        <v>82</v>
      </c>
      <c r="D33" s="20">
        <v>30</v>
      </c>
      <c r="E33" s="22">
        <f>15000*1.1</f>
        <v>16500</v>
      </c>
      <c r="F33" s="22">
        <f t="shared" si="6"/>
        <v>495000</v>
      </c>
      <c r="G33" s="23">
        <f t="shared" si="5"/>
        <v>495000</v>
      </c>
      <c r="H33" s="173">
        <f t="shared" si="0"/>
        <v>549450</v>
      </c>
    </row>
    <row r="34" spans="1:10" ht="33.75" x14ac:dyDescent="0.25">
      <c r="A34" s="32">
        <v>3.12</v>
      </c>
      <c r="B34" s="85" t="s">
        <v>125</v>
      </c>
      <c r="C34" s="27" t="s">
        <v>82</v>
      </c>
      <c r="D34" s="20">
        <v>15</v>
      </c>
      <c r="E34" s="22">
        <f>20230*1.1</f>
        <v>22253</v>
      </c>
      <c r="F34" s="22">
        <f t="shared" si="6"/>
        <v>333795</v>
      </c>
      <c r="G34" s="23">
        <f t="shared" si="5"/>
        <v>333795</v>
      </c>
      <c r="H34" s="173">
        <f>ROUND(+G34*1.11,0)</f>
        <v>370512</v>
      </c>
    </row>
    <row r="35" spans="1:10" ht="22.5" x14ac:dyDescent="0.25">
      <c r="A35" s="20">
        <v>3.13</v>
      </c>
      <c r="B35" s="85" t="s">
        <v>126</v>
      </c>
      <c r="C35" s="27" t="s">
        <v>82</v>
      </c>
      <c r="D35" s="20">
        <v>3</v>
      </c>
      <c r="E35" s="22">
        <f>29750*1.1</f>
        <v>32725.000000000004</v>
      </c>
      <c r="F35" s="22">
        <f t="shared" si="6"/>
        <v>98175.000000000015</v>
      </c>
      <c r="G35" s="23">
        <f t="shared" si="5"/>
        <v>98175.000000000015</v>
      </c>
      <c r="H35" s="173">
        <f>ROUND(+G35*1.11,0)</f>
        <v>108974</v>
      </c>
    </row>
    <row r="36" spans="1:10" ht="33.75" x14ac:dyDescent="0.25">
      <c r="A36" s="32">
        <v>3.14</v>
      </c>
      <c r="B36" s="85" t="s">
        <v>127</v>
      </c>
      <c r="C36" s="27" t="s">
        <v>82</v>
      </c>
      <c r="D36" s="20">
        <v>3</v>
      </c>
      <c r="E36" s="22">
        <f>71400*1.1</f>
        <v>78540</v>
      </c>
      <c r="F36" s="22">
        <f t="shared" si="6"/>
        <v>235620</v>
      </c>
      <c r="G36" s="23">
        <f t="shared" si="5"/>
        <v>235620</v>
      </c>
      <c r="H36" s="173">
        <f>ROUND(+G36*1.11,0)</f>
        <v>261538</v>
      </c>
    </row>
    <row r="37" spans="1:10" x14ac:dyDescent="0.25">
      <c r="A37" s="20">
        <v>3.15</v>
      </c>
      <c r="B37" s="85" t="s">
        <v>128</v>
      </c>
      <c r="C37" s="27" t="s">
        <v>82</v>
      </c>
      <c r="D37" s="20">
        <v>3</v>
      </c>
      <c r="E37" s="22">
        <f>142800*1.1</f>
        <v>157080</v>
      </c>
      <c r="F37" s="22">
        <f t="shared" si="6"/>
        <v>471240</v>
      </c>
      <c r="G37" s="23">
        <f t="shared" si="5"/>
        <v>471240</v>
      </c>
      <c r="H37" s="173">
        <f>ROUND(+G37*1.11,0)</f>
        <v>523076</v>
      </c>
    </row>
    <row r="38" spans="1:10" ht="33.75" x14ac:dyDescent="0.25">
      <c r="A38" s="32">
        <v>3.16</v>
      </c>
      <c r="B38" s="85" t="s">
        <v>130</v>
      </c>
      <c r="C38" s="27" t="s">
        <v>82</v>
      </c>
      <c r="D38" s="20">
        <v>3</v>
      </c>
      <c r="E38" s="22">
        <f>105900*1.1</f>
        <v>116490.00000000001</v>
      </c>
      <c r="F38" s="22">
        <f t="shared" si="6"/>
        <v>349470.00000000006</v>
      </c>
      <c r="G38" s="23">
        <f t="shared" si="5"/>
        <v>349470.00000000006</v>
      </c>
      <c r="H38" s="173">
        <f>ROUND(+G38*1.11,0)</f>
        <v>387912</v>
      </c>
    </row>
    <row r="39" spans="1:10" x14ac:dyDescent="0.25">
      <c r="A39" s="20">
        <v>3.17</v>
      </c>
      <c r="B39" s="85" t="s">
        <v>131</v>
      </c>
      <c r="C39" s="27" t="s">
        <v>82</v>
      </c>
      <c r="D39" s="20">
        <v>3</v>
      </c>
      <c r="E39" s="22">
        <f>10115000*1.1</f>
        <v>11126500</v>
      </c>
      <c r="F39" s="22">
        <f t="shared" si="6"/>
        <v>33379500</v>
      </c>
      <c r="G39" s="23">
        <f t="shared" si="5"/>
        <v>33379500</v>
      </c>
      <c r="H39" s="173">
        <f t="shared" si="0"/>
        <v>37051245</v>
      </c>
    </row>
    <row r="40" spans="1:10" ht="56.25" x14ac:dyDescent="0.25">
      <c r="A40" s="32">
        <v>3.18</v>
      </c>
      <c r="B40" s="85" t="s">
        <v>132</v>
      </c>
      <c r="C40" s="27" t="s">
        <v>82</v>
      </c>
      <c r="D40" s="20">
        <v>3</v>
      </c>
      <c r="E40" s="22">
        <f>952000*1.1</f>
        <v>1047200.0000000001</v>
      </c>
      <c r="F40" s="22">
        <f t="shared" si="6"/>
        <v>3141600.0000000005</v>
      </c>
      <c r="G40" s="23">
        <f t="shared" si="5"/>
        <v>3141600.0000000005</v>
      </c>
      <c r="H40" s="173">
        <f t="shared" si="0"/>
        <v>3487176.0000000009</v>
      </c>
    </row>
    <row r="41" spans="1:10" ht="45" x14ac:dyDescent="0.25">
      <c r="A41" s="20">
        <v>3.19</v>
      </c>
      <c r="B41" s="85" t="s">
        <v>154</v>
      </c>
      <c r="C41" s="27" t="s">
        <v>82</v>
      </c>
      <c r="D41" s="20">
        <v>3</v>
      </c>
      <c r="E41" s="22">
        <f>4998000*1.1</f>
        <v>5497800</v>
      </c>
      <c r="F41" s="22">
        <f t="shared" si="6"/>
        <v>16493400</v>
      </c>
      <c r="G41" s="23">
        <f t="shared" si="5"/>
        <v>16493400</v>
      </c>
      <c r="H41" s="173">
        <f t="shared" si="0"/>
        <v>18307674</v>
      </c>
    </row>
    <row r="42" spans="1:10" x14ac:dyDescent="0.25">
      <c r="A42" s="16">
        <v>4</v>
      </c>
      <c r="B42" s="17" t="s">
        <v>86</v>
      </c>
      <c r="C42" s="18"/>
      <c r="D42" s="18"/>
      <c r="E42" s="18"/>
      <c r="F42" s="19">
        <f>SUM(F43:F45)</f>
        <v>51000000</v>
      </c>
      <c r="G42" s="19">
        <f>SUM(G43:G45)</f>
        <v>51000000</v>
      </c>
    </row>
    <row r="43" spans="1:10" ht="90" x14ac:dyDescent="0.25">
      <c r="A43" s="20">
        <v>4.0999999999999996</v>
      </c>
      <c r="B43" s="85" t="s">
        <v>289</v>
      </c>
      <c r="C43" s="27" t="s">
        <v>82</v>
      </c>
      <c r="D43" s="20">
        <v>20</v>
      </c>
      <c r="E43" s="22">
        <v>2000000</v>
      </c>
      <c r="F43" s="22">
        <f t="shared" ref="F43:F44" si="7">+E43*D43</f>
        <v>40000000</v>
      </c>
      <c r="G43" s="23">
        <f t="shared" ref="G43:G44" si="8">+F43</f>
        <v>40000000</v>
      </c>
      <c r="H43" s="173">
        <f t="shared" si="0"/>
        <v>44400000.000000007</v>
      </c>
    </row>
    <row r="44" spans="1:10" ht="33.75" x14ac:dyDescent="0.25">
      <c r="A44" s="20">
        <v>4.2</v>
      </c>
      <c r="B44" s="85" t="s">
        <v>290</v>
      </c>
      <c r="C44" s="27" t="s">
        <v>82</v>
      </c>
      <c r="D44" s="20">
        <v>1</v>
      </c>
      <c r="E44" s="22">
        <v>6000000</v>
      </c>
      <c r="F44" s="22">
        <f t="shared" si="7"/>
        <v>6000000</v>
      </c>
      <c r="G44" s="23">
        <f t="shared" si="8"/>
        <v>6000000</v>
      </c>
      <c r="H44" s="173">
        <f t="shared" si="0"/>
        <v>6660000.0000000009</v>
      </c>
    </row>
    <row r="45" spans="1:10" ht="90" x14ac:dyDescent="0.25">
      <c r="A45" s="20">
        <v>4.3</v>
      </c>
      <c r="B45" s="85" t="s">
        <v>291</v>
      </c>
      <c r="C45" s="27" t="s">
        <v>82</v>
      </c>
      <c r="D45" s="20">
        <v>1</v>
      </c>
      <c r="E45" s="84">
        <v>5000000</v>
      </c>
      <c r="F45" s="84">
        <f t="shared" ref="F45" si="9">+E45*D45</f>
        <v>5000000</v>
      </c>
      <c r="G45" s="23">
        <f t="shared" ref="G45" si="10">+F45</f>
        <v>5000000</v>
      </c>
      <c r="H45" s="173">
        <f t="shared" si="0"/>
        <v>5550000.0000000009</v>
      </c>
      <c r="J45" s="11"/>
    </row>
    <row r="46" spans="1:10" ht="12.75" x14ac:dyDescent="0.25">
      <c r="A46" s="33"/>
      <c r="B46" s="299" t="s">
        <v>134</v>
      </c>
      <c r="C46" s="300"/>
      <c r="D46" s="300"/>
      <c r="E46" s="301"/>
      <c r="F46" s="81">
        <f>+F10+F5</f>
        <v>1573649103</v>
      </c>
      <c r="G46" s="81">
        <f>+G10+G5</f>
        <v>1573649103</v>
      </c>
      <c r="H46" s="176">
        <f>SUM(H7:H45)</f>
        <v>1746750504</v>
      </c>
      <c r="I46" s="91">
        <f>100*20000</f>
        <v>2000000</v>
      </c>
      <c r="J46" s="10" t="s">
        <v>196</v>
      </c>
    </row>
    <row r="47" spans="1:10" x14ac:dyDescent="0.25">
      <c r="A47" s="94">
        <v>5</v>
      </c>
      <c r="B47" s="35" t="s">
        <v>140</v>
      </c>
      <c r="C47" s="27" t="s">
        <v>141</v>
      </c>
      <c r="D47" s="20">
        <v>4</v>
      </c>
      <c r="E47" s="22">
        <v>7000000</v>
      </c>
      <c r="F47" s="22">
        <f>+E47*D47</f>
        <v>28000000</v>
      </c>
      <c r="G47" s="23">
        <f t="shared" ref="G47" si="11">+F47</f>
        <v>28000000</v>
      </c>
      <c r="I47" s="91">
        <v>500000</v>
      </c>
      <c r="J47" s="10" t="s">
        <v>195</v>
      </c>
    </row>
    <row r="48" spans="1:10" x14ac:dyDescent="0.25">
      <c r="B48" s="35" t="s">
        <v>185</v>
      </c>
      <c r="C48" s="27" t="s">
        <v>186</v>
      </c>
      <c r="D48" s="20">
        <v>11</v>
      </c>
      <c r="E48" s="22"/>
      <c r="F48" s="22">
        <f>ROUND(+F46*D48%,0)</f>
        <v>173101401</v>
      </c>
      <c r="G48" s="23">
        <f>+F48</f>
        <v>173101401</v>
      </c>
      <c r="I48" s="91">
        <v>1000000</v>
      </c>
      <c r="J48" s="10" t="s">
        <v>198</v>
      </c>
    </row>
    <row r="49" spans="2:10" ht="12.75" x14ac:dyDescent="0.25">
      <c r="B49" s="299" t="s">
        <v>142</v>
      </c>
      <c r="C49" s="300"/>
      <c r="D49" s="300"/>
      <c r="E49" s="301"/>
      <c r="F49" s="81">
        <f>+F47+F46+F48</f>
        <v>1774750504</v>
      </c>
      <c r="G49" s="81">
        <f>+G47+G46+G48</f>
        <v>1774750504</v>
      </c>
      <c r="I49" s="91">
        <v>1500000</v>
      </c>
      <c r="J49" s="10" t="s">
        <v>197</v>
      </c>
    </row>
    <row r="50" spans="2:10" x14ac:dyDescent="0.25">
      <c r="I50" s="133">
        <f>SUM(I46:I49)</f>
        <v>5000000</v>
      </c>
    </row>
    <row r="52" spans="2:10" x14ac:dyDescent="0.25">
      <c r="B52" s="233" t="s">
        <v>287</v>
      </c>
    </row>
    <row r="53" spans="2:10" x14ac:dyDescent="0.25">
      <c r="B53" s="10" t="s">
        <v>288</v>
      </c>
    </row>
  </sheetData>
  <mergeCells count="3">
    <mergeCell ref="A2:G2"/>
    <mergeCell ref="B46:E46"/>
    <mergeCell ref="B49:E49"/>
  </mergeCells>
  <printOptions horizontalCentered="1"/>
  <pageMargins left="0.51181102362204722" right="0.51181102362204722" top="0.74803149606299213" bottom="0.74803149606299213" header="0.31496062992125984" footer="0.31496062992125984"/>
  <pageSetup scale="95" fitToHeight="3" orientation="portrait" r:id="rId1"/>
  <rowBreaks count="3" manualBreakCount="3">
    <brk id="18" max="6" man="1"/>
    <brk id="28" max="6" man="1"/>
    <brk id="53" max="11" man="1"/>
  </rowBreaks>
  <colBreaks count="1" manualBreakCount="1">
    <brk id="7" max="5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54"/>
  <sheetViews>
    <sheetView tabSelected="1" view="pageBreakPreview" topLeftCell="A46" zoomScale="120" zoomScaleNormal="120" zoomScaleSheetLayoutView="120" workbookViewId="0">
      <selection activeCell="E51" sqref="E51"/>
    </sheetView>
  </sheetViews>
  <sheetFormatPr baseColWidth="10" defaultColWidth="11.42578125" defaultRowHeight="12" x14ac:dyDescent="0.25"/>
  <cols>
    <col min="1" max="1" width="4.42578125" style="9" bestFit="1" customWidth="1"/>
    <col min="2" max="2" width="27.85546875" style="10" customWidth="1"/>
    <col min="3" max="3" width="6.42578125" style="9" bestFit="1" customWidth="1"/>
    <col min="4" max="4" width="8" style="9" bestFit="1" customWidth="1"/>
    <col min="5" max="5" width="12.5703125" style="10" bestFit="1" customWidth="1"/>
    <col min="6" max="6" width="15.85546875" style="10" bestFit="1" customWidth="1"/>
    <col min="7" max="7" width="15.42578125" style="173" hidden="1" customWidth="1"/>
    <col min="8" max="8" width="0" style="10" hidden="1" customWidth="1"/>
    <col min="9" max="9" width="14.140625" style="10" hidden="1" customWidth="1"/>
    <col min="10" max="11" width="12.42578125" style="10" hidden="1" customWidth="1"/>
    <col min="12" max="12" width="0" style="10" hidden="1" customWidth="1"/>
    <col min="13" max="16384" width="11.42578125" style="10"/>
  </cols>
  <sheetData>
    <row r="2" spans="1:10" ht="15.75" x14ac:dyDescent="0.25">
      <c r="A2" s="295" t="s">
        <v>98</v>
      </c>
      <c r="B2" s="295"/>
      <c r="C2" s="295"/>
      <c r="D2" s="295"/>
      <c r="E2" s="295"/>
      <c r="F2" s="295"/>
    </row>
    <row r="4" spans="1:10" x14ac:dyDescent="0.25">
      <c r="A4" s="12" t="s">
        <v>0</v>
      </c>
      <c r="B4" s="12" t="s">
        <v>76</v>
      </c>
      <c r="C4" s="12" t="s">
        <v>77</v>
      </c>
      <c r="D4" s="12" t="s">
        <v>3</v>
      </c>
      <c r="E4" s="12" t="s">
        <v>4</v>
      </c>
      <c r="F4" s="12" t="s">
        <v>5</v>
      </c>
    </row>
    <row r="5" spans="1:10" x14ac:dyDescent="0.25">
      <c r="A5" s="13" t="s">
        <v>94</v>
      </c>
      <c r="B5" s="14" t="s">
        <v>95</v>
      </c>
      <c r="C5" s="13"/>
      <c r="D5" s="13"/>
      <c r="E5" s="13"/>
      <c r="F5" s="15">
        <v>0</v>
      </c>
    </row>
    <row r="6" spans="1:10" x14ac:dyDescent="0.25">
      <c r="A6" s="269"/>
      <c r="B6" s="268"/>
      <c r="C6" s="269"/>
      <c r="D6" s="269"/>
      <c r="E6" s="269"/>
      <c r="F6" s="270"/>
    </row>
    <row r="7" spans="1:10" x14ac:dyDescent="0.25">
      <c r="A7" s="16">
        <v>1</v>
      </c>
      <c r="B7" s="17" t="s">
        <v>80</v>
      </c>
      <c r="C7" s="18"/>
      <c r="D7" s="18"/>
      <c r="E7" s="18"/>
      <c r="F7" s="19">
        <v>0</v>
      </c>
      <c r="I7" s="173" t="e">
        <f>+#REF!/9</f>
        <v>#REF!</v>
      </c>
    </row>
    <row r="8" spans="1:10" ht="67.5" x14ac:dyDescent="0.25">
      <c r="A8" s="20">
        <v>1.1000000000000001</v>
      </c>
      <c r="B8" s="85" t="s">
        <v>146</v>
      </c>
      <c r="C8" s="83" t="s">
        <v>82</v>
      </c>
      <c r="D8" s="83">
        <v>9</v>
      </c>
      <c r="E8" s="84">
        <v>0</v>
      </c>
      <c r="F8" s="84">
        <v>0</v>
      </c>
      <c r="G8" s="173" t="e">
        <f>+#REF!*1.11</f>
        <v>#REF!</v>
      </c>
      <c r="J8" s="11"/>
    </row>
    <row r="9" spans="1:10" ht="67.5" x14ac:dyDescent="0.25">
      <c r="A9" s="20">
        <v>1.2</v>
      </c>
      <c r="B9" s="85" t="s">
        <v>147</v>
      </c>
      <c r="C9" s="83" t="s">
        <v>83</v>
      </c>
      <c r="D9" s="83">
        <v>1683</v>
      </c>
      <c r="E9" s="84">
        <v>0</v>
      </c>
      <c r="F9" s="84">
        <f>+E9*D9</f>
        <v>0</v>
      </c>
      <c r="G9" s="173" t="e">
        <f>ROUND(+#REF!*1.11,0)</f>
        <v>#REF!</v>
      </c>
      <c r="I9" s="174"/>
      <c r="J9" s="173"/>
    </row>
    <row r="10" spans="1:10" x14ac:dyDescent="0.25">
      <c r="A10" s="12" t="s">
        <v>0</v>
      </c>
      <c r="B10" s="12" t="s">
        <v>76</v>
      </c>
      <c r="C10" s="12" t="s">
        <v>77</v>
      </c>
      <c r="D10" s="12" t="s">
        <v>3</v>
      </c>
      <c r="E10" s="12" t="s">
        <v>4</v>
      </c>
      <c r="F10" s="12" t="s">
        <v>5</v>
      </c>
      <c r="J10" s="11"/>
    </row>
    <row r="11" spans="1:10" x14ac:dyDescent="0.25">
      <c r="A11" s="13" t="s">
        <v>96</v>
      </c>
      <c r="B11" s="14" t="s">
        <v>97</v>
      </c>
      <c r="C11" s="13"/>
      <c r="D11" s="13"/>
      <c r="E11" s="13"/>
      <c r="F11" s="15">
        <v>0</v>
      </c>
      <c r="I11" s="11" t="e">
        <f>+#REF!-#REF!</f>
        <v>#REF!</v>
      </c>
    </row>
    <row r="12" spans="1:10" x14ac:dyDescent="0.25">
      <c r="A12" s="269"/>
      <c r="B12" s="268"/>
      <c r="C12" s="269"/>
      <c r="D12" s="269"/>
      <c r="E12" s="269"/>
      <c r="F12" s="270"/>
    </row>
    <row r="13" spans="1:10" x14ac:dyDescent="0.25">
      <c r="A13" s="16">
        <v>1</v>
      </c>
      <c r="B13" s="17" t="s">
        <v>103</v>
      </c>
      <c r="C13" s="18"/>
      <c r="D13" s="18"/>
      <c r="E13" s="18"/>
      <c r="F13" s="19">
        <v>0</v>
      </c>
    </row>
    <row r="14" spans="1:10" ht="45" x14ac:dyDescent="0.25">
      <c r="A14" s="20">
        <v>1.1000000000000001</v>
      </c>
      <c r="B14" s="85" t="s">
        <v>211</v>
      </c>
      <c r="C14" s="27" t="s">
        <v>82</v>
      </c>
      <c r="D14" s="20">
        <v>7</v>
      </c>
      <c r="E14" s="165">
        <v>0</v>
      </c>
      <c r="F14" s="153">
        <v>0</v>
      </c>
      <c r="G14" s="173" t="e">
        <f>+#REF!*1.11</f>
        <v>#REF!</v>
      </c>
    </row>
    <row r="15" spans="1:10" ht="45" x14ac:dyDescent="0.25">
      <c r="A15" s="20">
        <v>1.2</v>
      </c>
      <c r="B15" s="85" t="s">
        <v>212</v>
      </c>
      <c r="C15" s="27" t="s">
        <v>82</v>
      </c>
      <c r="D15" s="20">
        <v>3</v>
      </c>
      <c r="E15" s="165">
        <v>0</v>
      </c>
      <c r="F15" s="153">
        <v>0</v>
      </c>
      <c r="G15" s="173" t="e">
        <f>+#REF!*1.11</f>
        <v>#REF!</v>
      </c>
      <c r="I15" s="152"/>
    </row>
    <row r="16" spans="1:10" ht="45" x14ac:dyDescent="0.25">
      <c r="A16" s="20">
        <v>1.3</v>
      </c>
      <c r="B16" s="85" t="s">
        <v>213</v>
      </c>
      <c r="C16" s="27" t="s">
        <v>82</v>
      </c>
      <c r="D16" s="20">
        <v>3</v>
      </c>
      <c r="E16" s="165">
        <v>0</v>
      </c>
      <c r="F16" s="153">
        <v>0</v>
      </c>
      <c r="G16" s="173" t="e">
        <f>+#REF!*1.11</f>
        <v>#REF!</v>
      </c>
    </row>
    <row r="17" spans="1:9" ht="45" x14ac:dyDescent="0.25">
      <c r="A17" s="20">
        <v>1.4</v>
      </c>
      <c r="B17" s="85" t="s">
        <v>214</v>
      </c>
      <c r="C17" s="27" t="s">
        <v>82</v>
      </c>
      <c r="D17" s="20">
        <v>2</v>
      </c>
      <c r="E17" s="165">
        <v>0</v>
      </c>
      <c r="F17" s="153">
        <f t="shared" ref="F15:F17" si="0">+E17*D17</f>
        <v>0</v>
      </c>
      <c r="G17" s="173" t="e">
        <f>+#REF!*1.11</f>
        <v>#REF!</v>
      </c>
    </row>
    <row r="18" spans="1:9" x14ac:dyDescent="0.25">
      <c r="A18" s="16">
        <v>2</v>
      </c>
      <c r="B18" s="17" t="s">
        <v>107</v>
      </c>
      <c r="C18" s="18"/>
      <c r="D18" s="18"/>
      <c r="E18" s="18"/>
      <c r="F18" s="19">
        <v>0</v>
      </c>
      <c r="I18" s="173" t="e">
        <f>+#REF!/3</f>
        <v>#REF!</v>
      </c>
    </row>
    <row r="19" spans="1:9" ht="119.25" customHeight="1" x14ac:dyDescent="0.25">
      <c r="A19" s="20">
        <v>2.1</v>
      </c>
      <c r="B19" s="85" t="s">
        <v>112</v>
      </c>
      <c r="C19" s="27" t="s">
        <v>82</v>
      </c>
      <c r="D19" s="20">
        <v>3</v>
      </c>
      <c r="E19" s="22">
        <v>0</v>
      </c>
      <c r="F19" s="22">
        <v>0</v>
      </c>
      <c r="G19" s="173" t="e">
        <f>+#REF!*1.11</f>
        <v>#REF!</v>
      </c>
    </row>
    <row r="20" spans="1:9" ht="97.5" customHeight="1" x14ac:dyDescent="0.25">
      <c r="A20" s="20">
        <v>2.2000000000000002</v>
      </c>
      <c r="B20" s="85" t="s">
        <v>144</v>
      </c>
      <c r="C20" s="27" t="s">
        <v>82</v>
      </c>
      <c r="D20" s="20">
        <v>3</v>
      </c>
      <c r="E20" s="22">
        <v>0</v>
      </c>
      <c r="F20" s="22">
        <f>+E20*D20</f>
        <v>0</v>
      </c>
      <c r="G20" s="173" t="e">
        <f>+#REF!*1.11</f>
        <v>#REF!</v>
      </c>
    </row>
    <row r="21" spans="1:9" ht="105.75" customHeight="1" x14ac:dyDescent="0.25">
      <c r="A21" s="20">
        <v>2.2999999999999998</v>
      </c>
      <c r="B21" s="85" t="s">
        <v>145</v>
      </c>
      <c r="C21" s="27" t="s">
        <v>82</v>
      </c>
      <c r="D21" s="20">
        <v>3</v>
      </c>
      <c r="E21" s="22">
        <v>0</v>
      </c>
      <c r="F21" s="22">
        <v>0</v>
      </c>
      <c r="G21" s="173" t="e">
        <f>+#REF!*1.11</f>
        <v>#REF!</v>
      </c>
    </row>
    <row r="22" spans="1:9" ht="113.25" customHeight="1" x14ac:dyDescent="0.25">
      <c r="A22" s="20">
        <v>2.4</v>
      </c>
      <c r="B22" s="85" t="s">
        <v>148</v>
      </c>
      <c r="C22" s="27" t="s">
        <v>82</v>
      </c>
      <c r="D22" s="20">
        <v>3</v>
      </c>
      <c r="E22" s="22">
        <v>0</v>
      </c>
      <c r="F22" s="22">
        <v>0</v>
      </c>
      <c r="G22" s="173" t="e">
        <f>+#REF!*1.11</f>
        <v>#REF!</v>
      </c>
    </row>
    <row r="23" spans="1:9" ht="92.25" customHeight="1" x14ac:dyDescent="0.25">
      <c r="A23" s="20">
        <v>2.5</v>
      </c>
      <c r="B23" s="85" t="s">
        <v>109</v>
      </c>
      <c r="C23" s="27" t="s">
        <v>82</v>
      </c>
      <c r="D23" s="20">
        <v>3</v>
      </c>
      <c r="E23" s="22">
        <v>0</v>
      </c>
      <c r="F23" s="22">
        <v>0</v>
      </c>
      <c r="G23" s="173" t="e">
        <f>ROUND(+#REF!*1.11,0)</f>
        <v>#REF!</v>
      </c>
    </row>
    <row r="24" spans="1:9" x14ac:dyDescent="0.25">
      <c r="A24" s="16">
        <v>3</v>
      </c>
      <c r="B24" s="17" t="s">
        <v>113</v>
      </c>
      <c r="C24" s="18"/>
      <c r="D24" s="18"/>
      <c r="E24" s="18"/>
      <c r="F24" s="19">
        <v>0</v>
      </c>
      <c r="I24" s="173" t="e">
        <f>+#REF!/3</f>
        <v>#REF!</v>
      </c>
    </row>
    <row r="25" spans="1:9" ht="22.5" x14ac:dyDescent="0.25">
      <c r="A25" s="20">
        <v>3.1</v>
      </c>
      <c r="B25" s="85" t="s">
        <v>115</v>
      </c>
      <c r="C25" s="27" t="s">
        <v>82</v>
      </c>
      <c r="D25" s="20">
        <v>3</v>
      </c>
      <c r="E25" s="22">
        <v>0</v>
      </c>
      <c r="F25" s="22">
        <v>0</v>
      </c>
      <c r="G25" s="173" t="e">
        <f>+#REF!*1.11</f>
        <v>#REF!</v>
      </c>
    </row>
    <row r="26" spans="1:9" ht="45" x14ac:dyDescent="0.25">
      <c r="A26" s="20">
        <v>3.2</v>
      </c>
      <c r="B26" s="85" t="s">
        <v>116</v>
      </c>
      <c r="C26" s="27" t="s">
        <v>82</v>
      </c>
      <c r="D26" s="20">
        <v>3</v>
      </c>
      <c r="E26" s="22">
        <v>0</v>
      </c>
      <c r="F26" s="22">
        <v>0</v>
      </c>
      <c r="G26" s="173" t="e">
        <f>+#REF!*1.11</f>
        <v>#REF!</v>
      </c>
    </row>
    <row r="27" spans="1:9" ht="33.75" x14ac:dyDescent="0.25">
      <c r="A27" s="20">
        <v>3.3</v>
      </c>
      <c r="B27" s="85" t="s">
        <v>117</v>
      </c>
      <c r="C27" s="27" t="s">
        <v>82</v>
      </c>
      <c r="D27" s="20">
        <v>3</v>
      </c>
      <c r="E27" s="22">
        <v>0</v>
      </c>
      <c r="F27" s="22">
        <v>0</v>
      </c>
      <c r="G27" s="173" t="e">
        <f>+#REF!*1.11</f>
        <v>#REF!</v>
      </c>
    </row>
    <row r="28" spans="1:9" ht="72.75" customHeight="1" x14ac:dyDescent="0.25">
      <c r="A28" s="20">
        <v>3.4</v>
      </c>
      <c r="B28" s="85" t="s">
        <v>118</v>
      </c>
      <c r="C28" s="27" t="s">
        <v>82</v>
      </c>
      <c r="D28" s="20">
        <v>3</v>
      </c>
      <c r="E28" s="22">
        <v>0</v>
      </c>
      <c r="F28" s="22">
        <v>0</v>
      </c>
      <c r="G28" s="173" t="e">
        <f>+#REF!*1.11</f>
        <v>#REF!</v>
      </c>
    </row>
    <row r="29" spans="1:9" ht="52.5" customHeight="1" x14ac:dyDescent="0.25">
      <c r="A29" s="20">
        <v>3.5</v>
      </c>
      <c r="B29" s="85" t="s">
        <v>119</v>
      </c>
      <c r="C29" s="27" t="s">
        <v>82</v>
      </c>
      <c r="D29" s="20">
        <v>3</v>
      </c>
      <c r="E29" s="22">
        <v>0</v>
      </c>
      <c r="F29" s="22">
        <v>0</v>
      </c>
      <c r="G29" s="173" t="e">
        <f>+#REF!*1.11</f>
        <v>#REF!</v>
      </c>
    </row>
    <row r="30" spans="1:9" ht="45" x14ac:dyDescent="0.25">
      <c r="A30" s="20">
        <v>3.6</v>
      </c>
      <c r="B30" s="85" t="s">
        <v>120</v>
      </c>
      <c r="C30" s="27" t="s">
        <v>82</v>
      </c>
      <c r="D30" s="20">
        <v>3</v>
      </c>
      <c r="E30" s="22">
        <v>0</v>
      </c>
      <c r="F30" s="22">
        <v>0</v>
      </c>
      <c r="G30" s="173" t="e">
        <f>ROUND(+#REF!*1.11,0)</f>
        <v>#REF!</v>
      </c>
    </row>
    <row r="31" spans="1:9" ht="133.5" customHeight="1" x14ac:dyDescent="0.25">
      <c r="A31" s="20">
        <v>3.7</v>
      </c>
      <c r="B31" s="85" t="s">
        <v>121</v>
      </c>
      <c r="C31" s="27" t="s">
        <v>82</v>
      </c>
      <c r="D31" s="20">
        <v>3</v>
      </c>
      <c r="E31" s="22">
        <v>0</v>
      </c>
      <c r="F31" s="22">
        <v>0</v>
      </c>
      <c r="G31" s="173" t="e">
        <f>ROUND(+#REF!*1.11,0)</f>
        <v>#REF!</v>
      </c>
    </row>
    <row r="32" spans="1:9" ht="33.75" x14ac:dyDescent="0.25">
      <c r="A32" s="20">
        <v>3.8</v>
      </c>
      <c r="B32" s="85" t="s">
        <v>122</v>
      </c>
      <c r="C32" s="27" t="s">
        <v>82</v>
      </c>
      <c r="D32" s="20">
        <v>3</v>
      </c>
      <c r="E32" s="22">
        <v>0</v>
      </c>
      <c r="F32" s="22">
        <v>0</v>
      </c>
      <c r="G32" s="173" t="e">
        <f>ROUND(+#REF!*1.11,0)</f>
        <v>#REF!</v>
      </c>
    </row>
    <row r="33" spans="1:9" ht="33.75" x14ac:dyDescent="0.25">
      <c r="A33" s="20">
        <v>3.9</v>
      </c>
      <c r="B33" s="85" t="s">
        <v>123</v>
      </c>
      <c r="C33" s="27" t="s">
        <v>82</v>
      </c>
      <c r="D33" s="20">
        <v>3</v>
      </c>
      <c r="E33" s="22">
        <v>0</v>
      </c>
      <c r="F33" s="22">
        <v>0</v>
      </c>
      <c r="G33" s="173" t="e">
        <f>ROUND(+#REF!*1.11,0)</f>
        <v>#REF!</v>
      </c>
    </row>
    <row r="34" spans="1:9" ht="22.5" x14ac:dyDescent="0.25">
      <c r="A34" s="32">
        <v>3.1</v>
      </c>
      <c r="B34" s="85" t="s">
        <v>124</v>
      </c>
      <c r="C34" s="27" t="s">
        <v>82</v>
      </c>
      <c r="D34" s="20">
        <v>3</v>
      </c>
      <c r="E34" s="22">
        <v>0</v>
      </c>
      <c r="F34" s="22">
        <v>0</v>
      </c>
      <c r="G34" s="173" t="e">
        <f>ROUND(+#REF!*1.11,0)</f>
        <v>#REF!</v>
      </c>
    </row>
    <row r="35" spans="1:9" ht="22.5" x14ac:dyDescent="0.25">
      <c r="A35" s="20">
        <v>3.11</v>
      </c>
      <c r="B35" s="85" t="s">
        <v>129</v>
      </c>
      <c r="C35" s="27" t="s">
        <v>82</v>
      </c>
      <c r="D35" s="20">
        <v>30</v>
      </c>
      <c r="E35" s="22">
        <v>0</v>
      </c>
      <c r="F35" s="22">
        <v>0</v>
      </c>
      <c r="G35" s="173" t="e">
        <f>+#REF!*1.11</f>
        <v>#REF!</v>
      </c>
    </row>
    <row r="36" spans="1:9" ht="33.75" x14ac:dyDescent="0.25">
      <c r="A36" s="32">
        <v>3.12</v>
      </c>
      <c r="B36" s="85" t="s">
        <v>125</v>
      </c>
      <c r="C36" s="27" t="s">
        <v>82</v>
      </c>
      <c r="D36" s="20">
        <v>15</v>
      </c>
      <c r="E36" s="22">
        <v>0</v>
      </c>
      <c r="F36" s="22">
        <f t="shared" ref="F25:F43" si="1">+E36*D36</f>
        <v>0</v>
      </c>
      <c r="G36" s="173" t="e">
        <f>ROUND(+#REF!*1.11,0)</f>
        <v>#REF!</v>
      </c>
    </row>
    <row r="37" spans="1:9" ht="22.5" x14ac:dyDescent="0.25">
      <c r="A37" s="20">
        <v>3.13</v>
      </c>
      <c r="B37" s="85" t="s">
        <v>126</v>
      </c>
      <c r="C37" s="27" t="s">
        <v>82</v>
      </c>
      <c r="D37" s="20">
        <v>3</v>
      </c>
      <c r="E37" s="22">
        <v>0</v>
      </c>
      <c r="F37" s="22">
        <f t="shared" si="1"/>
        <v>0</v>
      </c>
      <c r="G37" s="173" t="e">
        <f>ROUND(+#REF!*1.11,0)</f>
        <v>#REF!</v>
      </c>
    </row>
    <row r="38" spans="1:9" ht="33.75" x14ac:dyDescent="0.25">
      <c r="A38" s="32">
        <v>3.14</v>
      </c>
      <c r="B38" s="85" t="s">
        <v>127</v>
      </c>
      <c r="C38" s="27" t="s">
        <v>82</v>
      </c>
      <c r="D38" s="20">
        <v>3</v>
      </c>
      <c r="E38" s="22">
        <v>0</v>
      </c>
      <c r="F38" s="22">
        <f t="shared" si="1"/>
        <v>0</v>
      </c>
      <c r="G38" s="173" t="e">
        <f>ROUND(+#REF!*1.11,0)</f>
        <v>#REF!</v>
      </c>
    </row>
    <row r="39" spans="1:9" x14ac:dyDescent="0.25">
      <c r="A39" s="20">
        <v>3.15</v>
      </c>
      <c r="B39" s="85" t="s">
        <v>128</v>
      </c>
      <c r="C39" s="27" t="s">
        <v>82</v>
      </c>
      <c r="D39" s="20">
        <v>3</v>
      </c>
      <c r="E39" s="22">
        <v>0</v>
      </c>
      <c r="F39" s="22">
        <f t="shared" si="1"/>
        <v>0</v>
      </c>
      <c r="G39" s="173" t="e">
        <f>ROUND(+#REF!*1.11,0)</f>
        <v>#REF!</v>
      </c>
    </row>
    <row r="40" spans="1:9" ht="33.75" x14ac:dyDescent="0.25">
      <c r="A40" s="32">
        <v>3.16</v>
      </c>
      <c r="B40" s="85" t="s">
        <v>130</v>
      </c>
      <c r="C40" s="27" t="s">
        <v>82</v>
      </c>
      <c r="D40" s="20">
        <v>3</v>
      </c>
      <c r="E40" s="22">
        <v>0</v>
      </c>
      <c r="F40" s="22">
        <f t="shared" si="1"/>
        <v>0</v>
      </c>
      <c r="G40" s="173" t="e">
        <f>ROUND(+#REF!*1.11,0)</f>
        <v>#REF!</v>
      </c>
    </row>
    <row r="41" spans="1:9" x14ac:dyDescent="0.25">
      <c r="A41" s="20">
        <v>3.17</v>
      </c>
      <c r="B41" s="85" t="s">
        <v>131</v>
      </c>
      <c r="C41" s="27" t="s">
        <v>82</v>
      </c>
      <c r="D41" s="20">
        <v>3</v>
      </c>
      <c r="E41" s="22">
        <v>0</v>
      </c>
      <c r="F41" s="22">
        <f t="shared" si="1"/>
        <v>0</v>
      </c>
      <c r="G41" s="173" t="e">
        <f>+#REF!*1.11</f>
        <v>#REF!</v>
      </c>
    </row>
    <row r="42" spans="1:9" ht="56.25" x14ac:dyDescent="0.25">
      <c r="A42" s="32">
        <v>3.18</v>
      </c>
      <c r="B42" s="85" t="s">
        <v>132</v>
      </c>
      <c r="C42" s="27" t="s">
        <v>82</v>
      </c>
      <c r="D42" s="20">
        <v>3</v>
      </c>
      <c r="E42" s="22">
        <v>0</v>
      </c>
      <c r="F42" s="22">
        <f t="shared" si="1"/>
        <v>0</v>
      </c>
      <c r="G42" s="173" t="e">
        <f>+#REF!*1.11</f>
        <v>#REF!</v>
      </c>
    </row>
    <row r="43" spans="1:9" ht="45" x14ac:dyDescent="0.25">
      <c r="A43" s="20">
        <v>3.19</v>
      </c>
      <c r="B43" s="85" t="s">
        <v>154</v>
      </c>
      <c r="C43" s="27" t="s">
        <v>82</v>
      </c>
      <c r="D43" s="20">
        <v>3</v>
      </c>
      <c r="E43" s="22">
        <v>0</v>
      </c>
      <c r="F43" s="22">
        <f t="shared" si="1"/>
        <v>0</v>
      </c>
      <c r="G43" s="173" t="e">
        <f>+#REF!*1.11</f>
        <v>#REF!</v>
      </c>
    </row>
    <row r="44" spans="1:9" x14ac:dyDescent="0.25">
      <c r="A44" s="16">
        <v>4</v>
      </c>
      <c r="B44" s="17" t="s">
        <v>86</v>
      </c>
      <c r="C44" s="18"/>
      <c r="D44" s="18"/>
      <c r="E44" s="18"/>
      <c r="F44" s="19">
        <v>0</v>
      </c>
    </row>
    <row r="45" spans="1:9" ht="90" x14ac:dyDescent="0.25">
      <c r="A45" s="20">
        <v>4.0999999999999996</v>
      </c>
      <c r="B45" s="85" t="s">
        <v>289</v>
      </c>
      <c r="C45" s="27" t="s">
        <v>82</v>
      </c>
      <c r="D45" s="20">
        <v>20</v>
      </c>
      <c r="E45" s="22">
        <v>0</v>
      </c>
      <c r="F45" s="22">
        <v>0</v>
      </c>
      <c r="G45" s="173" t="e">
        <f>+#REF!*1.11</f>
        <v>#REF!</v>
      </c>
    </row>
    <row r="46" spans="1:9" ht="33.75" x14ac:dyDescent="0.25">
      <c r="A46" s="20">
        <v>4.2</v>
      </c>
      <c r="B46" s="85" t="s">
        <v>290</v>
      </c>
      <c r="C46" s="27" t="s">
        <v>82</v>
      </c>
      <c r="D46" s="20">
        <v>1</v>
      </c>
      <c r="E46" s="22">
        <v>0</v>
      </c>
      <c r="F46" s="22">
        <f t="shared" ref="F45:F47" si="2">+E46*D46</f>
        <v>0</v>
      </c>
      <c r="G46" s="173" t="e">
        <f>+#REF!*1.11</f>
        <v>#REF!</v>
      </c>
    </row>
    <row r="47" spans="1:9" ht="90" x14ac:dyDescent="0.25">
      <c r="A47" s="20">
        <v>4.3</v>
      </c>
      <c r="B47" s="85" t="s">
        <v>291</v>
      </c>
      <c r="C47" s="27" t="s">
        <v>82</v>
      </c>
      <c r="D47" s="20">
        <v>1</v>
      </c>
      <c r="E47" s="84">
        <v>0</v>
      </c>
      <c r="F47" s="84">
        <v>0</v>
      </c>
      <c r="G47" s="173" t="e">
        <f>+#REF!*1.11</f>
        <v>#REF!</v>
      </c>
      <c r="I47" s="11"/>
    </row>
    <row r="48" spans="1:9" ht="12.75" x14ac:dyDescent="0.25">
      <c r="A48" s="33"/>
      <c r="B48" s="299" t="s">
        <v>134</v>
      </c>
      <c r="C48" s="300"/>
      <c r="D48" s="300"/>
      <c r="E48" s="301"/>
      <c r="F48" s="81">
        <f>+F11+F5</f>
        <v>0</v>
      </c>
      <c r="G48" s="176" t="e">
        <f>SUM(G8:G47)</f>
        <v>#REF!</v>
      </c>
      <c r="H48" s="91">
        <f>100*20000</f>
        <v>2000000</v>
      </c>
      <c r="I48" s="10" t="s">
        <v>196</v>
      </c>
    </row>
    <row r="49" spans="2:9" x14ac:dyDescent="0.25">
      <c r="B49" s="35" t="s">
        <v>295</v>
      </c>
      <c r="C49" s="27" t="s">
        <v>186</v>
      </c>
      <c r="D49" s="20">
        <v>11</v>
      </c>
      <c r="E49" s="22"/>
      <c r="F49" s="22">
        <f>ROUND(+F48*D49%,0)</f>
        <v>0</v>
      </c>
      <c r="H49" s="91">
        <v>1000000</v>
      </c>
      <c r="I49" s="10" t="s">
        <v>198</v>
      </c>
    </row>
    <row r="50" spans="2:9" ht="12.75" x14ac:dyDescent="0.25">
      <c r="B50" s="299" t="s">
        <v>142</v>
      </c>
      <c r="C50" s="300"/>
      <c r="D50" s="300"/>
      <c r="E50" s="301"/>
      <c r="F50" s="81">
        <f>+F48+F49</f>
        <v>0</v>
      </c>
      <c r="H50" s="91">
        <v>1500000</v>
      </c>
      <c r="I50" s="10" t="s">
        <v>197</v>
      </c>
    </row>
    <row r="51" spans="2:9" x14ac:dyDescent="0.25">
      <c r="H51" s="133">
        <f>SUM(H48:H50)</f>
        <v>4500000</v>
      </c>
    </row>
    <row r="53" spans="2:9" x14ac:dyDescent="0.25">
      <c r="B53" s="233" t="s">
        <v>287</v>
      </c>
    </row>
    <row r="54" spans="2:9" x14ac:dyDescent="0.25">
      <c r="B54" s="10" t="s">
        <v>288</v>
      </c>
    </row>
  </sheetData>
  <mergeCells count="3">
    <mergeCell ref="A2:F2"/>
    <mergeCell ref="B48:E48"/>
    <mergeCell ref="B50:E50"/>
  </mergeCells>
  <printOptions horizontalCentered="1"/>
  <pageMargins left="0.51181102362204722" right="0.51181102362204722" top="0.74803149606299213" bottom="0.74803149606299213" header="0.31496062992125984" footer="0.31496062992125984"/>
  <pageSetup scale="95" fitToHeight="3" orientation="portrait" r:id="rId1"/>
  <rowBreaks count="3" manualBreakCount="3">
    <brk id="20" max="6" man="1"/>
    <brk id="30" max="6" man="1"/>
    <brk id="54" max="11" man="1"/>
  </rowBreaks>
  <colBreaks count="1" manualBreakCount="1">
    <brk id="6" max="5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55"/>
  <sheetViews>
    <sheetView view="pageBreakPreview" topLeftCell="A44" zoomScaleNormal="120" zoomScaleSheetLayoutView="100" workbookViewId="0">
      <selection activeCell="D50" sqref="D50"/>
    </sheetView>
  </sheetViews>
  <sheetFormatPr baseColWidth="10" defaultColWidth="11.42578125" defaultRowHeight="12" x14ac:dyDescent="0.25"/>
  <cols>
    <col min="1" max="1" width="4.42578125" style="9" bestFit="1" customWidth="1"/>
    <col min="2" max="2" width="27.85546875" style="10" customWidth="1"/>
    <col min="3" max="3" width="6.42578125" style="9" bestFit="1" customWidth="1"/>
    <col min="4" max="4" width="8" style="9" bestFit="1" customWidth="1"/>
    <col min="5" max="5" width="12.5703125" style="10" bestFit="1" customWidth="1"/>
    <col min="6" max="6" width="15.85546875" style="10" bestFit="1" customWidth="1"/>
    <col min="7" max="7" width="16.5703125" style="10" bestFit="1" customWidth="1"/>
    <col min="8" max="8" width="15.42578125" style="173" bestFit="1" customWidth="1"/>
    <col min="9" max="9" width="11.42578125" style="10"/>
    <col min="10" max="10" width="14.140625" style="10" bestFit="1" customWidth="1"/>
    <col min="11" max="11" width="12.42578125" style="10" bestFit="1" customWidth="1"/>
    <col min="12" max="16384" width="11.42578125" style="10"/>
  </cols>
  <sheetData>
    <row r="2" spans="1:11" ht="15.75" x14ac:dyDescent="0.25">
      <c r="A2" s="295" t="s">
        <v>98</v>
      </c>
      <c r="B2" s="295"/>
      <c r="C2" s="295"/>
      <c r="D2" s="295"/>
      <c r="E2" s="295"/>
      <c r="F2" s="295"/>
      <c r="G2" s="295"/>
    </row>
    <row r="4" spans="1:11" x14ac:dyDescent="0.25">
      <c r="A4" s="12" t="s">
        <v>0</v>
      </c>
      <c r="B4" s="12" t="s">
        <v>76</v>
      </c>
      <c r="C4" s="12" t="s">
        <v>77</v>
      </c>
      <c r="D4" s="12" t="s">
        <v>3</v>
      </c>
      <c r="E4" s="12" t="s">
        <v>4</v>
      </c>
      <c r="F4" s="12" t="s">
        <v>5</v>
      </c>
      <c r="G4" s="12" t="s">
        <v>78</v>
      </c>
    </row>
    <row r="5" spans="1:11" x14ac:dyDescent="0.25">
      <c r="A5" s="13" t="s">
        <v>94</v>
      </c>
      <c r="B5" s="14" t="s">
        <v>95</v>
      </c>
      <c r="C5" s="13"/>
      <c r="D5" s="13"/>
      <c r="E5" s="13"/>
      <c r="F5" s="15">
        <f>+F7</f>
        <v>260470980</v>
      </c>
      <c r="G5" s="15">
        <f>+G7</f>
        <v>260470980</v>
      </c>
    </row>
    <row r="6" spans="1:11" x14ac:dyDescent="0.25">
      <c r="A6" s="269"/>
      <c r="B6" s="268"/>
      <c r="C6" s="269"/>
      <c r="D6" s="269"/>
      <c r="E6" s="269"/>
      <c r="F6" s="270"/>
      <c r="G6" s="270"/>
    </row>
    <row r="7" spans="1:11" x14ac:dyDescent="0.25">
      <c r="A7" s="16">
        <v>1</v>
      </c>
      <c r="B7" s="17" t="s">
        <v>80</v>
      </c>
      <c r="C7" s="18"/>
      <c r="D7" s="18"/>
      <c r="E7" s="18"/>
      <c r="F7" s="19">
        <f>+F8+F9</f>
        <v>260470980</v>
      </c>
      <c r="G7" s="19">
        <f>+G8+G9</f>
        <v>260470980</v>
      </c>
      <c r="J7" s="173">
        <f>+G7/9</f>
        <v>28941220</v>
      </c>
    </row>
    <row r="8" spans="1:11" ht="67.5" x14ac:dyDescent="0.25">
      <c r="A8" s="20">
        <v>1.1000000000000001</v>
      </c>
      <c r="B8" s="85" t="s">
        <v>146</v>
      </c>
      <c r="C8" s="83" t="s">
        <v>82</v>
      </c>
      <c r="D8" s="83">
        <v>9</v>
      </c>
      <c r="E8" s="84">
        <v>25938000</v>
      </c>
      <c r="F8" s="84">
        <f>+E8*D8</f>
        <v>233442000</v>
      </c>
      <c r="G8" s="90">
        <f>+F8</f>
        <v>233442000</v>
      </c>
      <c r="H8" s="173">
        <f>+G8*1.11</f>
        <v>259120620.00000003</v>
      </c>
      <c r="K8" s="11"/>
    </row>
    <row r="9" spans="1:11" ht="67.5" x14ac:dyDescent="0.25">
      <c r="A9" s="20">
        <v>1.2</v>
      </c>
      <c r="B9" s="85" t="s">
        <v>147</v>
      </c>
      <c r="C9" s="83" t="s">
        <v>83</v>
      </c>
      <c r="D9" s="83">
        <v>1683</v>
      </c>
      <c r="E9" s="84">
        <v>16060</v>
      </c>
      <c r="F9" s="84">
        <f>+E9*D9</f>
        <v>27028980</v>
      </c>
      <c r="G9" s="90">
        <f>+F9</f>
        <v>27028980</v>
      </c>
      <c r="H9" s="173">
        <f>ROUND(+G9*1.11,0)</f>
        <v>30002168</v>
      </c>
      <c r="J9" s="174"/>
      <c r="K9" s="173"/>
    </row>
    <row r="10" spans="1:11" x14ac:dyDescent="0.25">
      <c r="A10" s="12" t="s">
        <v>0</v>
      </c>
      <c r="B10" s="12" t="s">
        <v>76</v>
      </c>
      <c r="C10" s="12" t="s">
        <v>77</v>
      </c>
      <c r="D10" s="12" t="s">
        <v>3</v>
      </c>
      <c r="E10" s="12" t="s">
        <v>4</v>
      </c>
      <c r="F10" s="12" t="s">
        <v>5</v>
      </c>
      <c r="G10" s="12" t="s">
        <v>78</v>
      </c>
      <c r="K10" s="11"/>
    </row>
    <row r="11" spans="1:11" x14ac:dyDescent="0.25">
      <c r="A11" s="13" t="s">
        <v>96</v>
      </c>
      <c r="B11" s="14" t="s">
        <v>97</v>
      </c>
      <c r="C11" s="13"/>
      <c r="D11" s="13"/>
      <c r="E11" s="13"/>
      <c r="F11" s="15">
        <f>+F13+F18+F24+F44</f>
        <v>1313178123</v>
      </c>
      <c r="G11" s="15">
        <f>+G13+G18+G24+G44</f>
        <v>1313178123</v>
      </c>
      <c r="J11" s="11">
        <f>+G11-G44</f>
        <v>1262178123</v>
      </c>
    </row>
    <row r="12" spans="1:11" x14ac:dyDescent="0.25">
      <c r="A12" s="269"/>
      <c r="B12" s="268"/>
      <c r="C12" s="269"/>
      <c r="D12" s="269"/>
      <c r="E12" s="269"/>
      <c r="F12" s="270"/>
      <c r="G12" s="270"/>
    </row>
    <row r="13" spans="1:11" x14ac:dyDescent="0.25">
      <c r="A13" s="16">
        <v>1</v>
      </c>
      <c r="B13" s="17" t="s">
        <v>103</v>
      </c>
      <c r="C13" s="18"/>
      <c r="D13" s="18"/>
      <c r="E13" s="18"/>
      <c r="F13" s="19">
        <f>+F14+F15+F16+F17</f>
        <v>859090000</v>
      </c>
      <c r="G13" s="19">
        <f>+G14+G15+G16+G17</f>
        <v>859090000</v>
      </c>
    </row>
    <row r="14" spans="1:11" ht="45" x14ac:dyDescent="0.25">
      <c r="A14" s="20">
        <v>1.1000000000000001</v>
      </c>
      <c r="B14" s="85" t="s">
        <v>211</v>
      </c>
      <c r="C14" s="27" t="s">
        <v>82</v>
      </c>
      <c r="D14" s="20">
        <v>7</v>
      </c>
      <c r="E14" s="165">
        <v>40810000</v>
      </c>
      <c r="F14" s="153">
        <f>+E14*D14</f>
        <v>285670000</v>
      </c>
      <c r="G14" s="154">
        <f>+F14</f>
        <v>285670000</v>
      </c>
      <c r="H14" s="173">
        <f t="shared" ref="H14:H47" si="0">+G14*1.11</f>
        <v>317093700</v>
      </c>
    </row>
    <row r="15" spans="1:11" ht="45" x14ac:dyDescent="0.25">
      <c r="A15" s="20">
        <v>1.2</v>
      </c>
      <c r="B15" s="85" t="s">
        <v>212</v>
      </c>
      <c r="C15" s="27" t="s">
        <v>82</v>
      </c>
      <c r="D15" s="20">
        <v>3</v>
      </c>
      <c r="E15" s="165">
        <v>55440000</v>
      </c>
      <c r="F15" s="153">
        <f t="shared" ref="F15:F17" si="1">+E15*D15</f>
        <v>166320000</v>
      </c>
      <c r="G15" s="154">
        <f t="shared" ref="G15:G17" si="2">+F15</f>
        <v>166320000</v>
      </c>
      <c r="H15" s="173">
        <f t="shared" si="0"/>
        <v>184615200.00000003</v>
      </c>
      <c r="J15" s="152"/>
    </row>
    <row r="16" spans="1:11" ht="45" x14ac:dyDescent="0.25">
      <c r="A16" s="20">
        <v>1.3</v>
      </c>
      <c r="B16" s="85" t="s">
        <v>213</v>
      </c>
      <c r="C16" s="27" t="s">
        <v>82</v>
      </c>
      <c r="D16" s="20">
        <v>3</v>
      </c>
      <c r="E16" s="165">
        <v>71060000</v>
      </c>
      <c r="F16" s="153">
        <f t="shared" si="1"/>
        <v>213180000</v>
      </c>
      <c r="G16" s="154">
        <f t="shared" si="2"/>
        <v>213180000</v>
      </c>
      <c r="H16" s="173">
        <f t="shared" si="0"/>
        <v>236629800.00000003</v>
      </c>
    </row>
    <row r="17" spans="1:10" ht="45" x14ac:dyDescent="0.25">
      <c r="A17" s="20">
        <v>1.4</v>
      </c>
      <c r="B17" s="85" t="s">
        <v>214</v>
      </c>
      <c r="C17" s="27" t="s">
        <v>82</v>
      </c>
      <c r="D17" s="20">
        <v>2</v>
      </c>
      <c r="E17" s="165">
        <v>96960000</v>
      </c>
      <c r="F17" s="153">
        <f t="shared" si="1"/>
        <v>193920000</v>
      </c>
      <c r="G17" s="154">
        <f t="shared" si="2"/>
        <v>193920000</v>
      </c>
      <c r="H17" s="173">
        <f t="shared" si="0"/>
        <v>215251200.00000003</v>
      </c>
    </row>
    <row r="18" spans="1:10" x14ac:dyDescent="0.25">
      <c r="A18" s="16">
        <v>2</v>
      </c>
      <c r="B18" s="17" t="s">
        <v>107</v>
      </c>
      <c r="C18" s="18"/>
      <c r="D18" s="18"/>
      <c r="E18" s="18"/>
      <c r="F18" s="19">
        <f>SUM(F19:F23)</f>
        <v>150541050.00000003</v>
      </c>
      <c r="G18" s="19">
        <f>SUM(G19:G23)</f>
        <v>150541050.00000003</v>
      </c>
      <c r="J18" s="173">
        <f>+G18/3</f>
        <v>50180350.000000007</v>
      </c>
    </row>
    <row r="19" spans="1:10" ht="119.25" customHeight="1" x14ac:dyDescent="0.25">
      <c r="A19" s="20">
        <v>2.1</v>
      </c>
      <c r="B19" s="85" t="s">
        <v>112</v>
      </c>
      <c r="C19" s="27" t="s">
        <v>82</v>
      </c>
      <c r="D19" s="20">
        <v>3</v>
      </c>
      <c r="E19" s="22">
        <f>21420000*1.1</f>
        <v>23562000.000000004</v>
      </c>
      <c r="F19" s="22">
        <f>+E19*D19</f>
        <v>70686000.000000015</v>
      </c>
      <c r="G19" s="23">
        <f t="shared" ref="G19:G43" si="3">+F19</f>
        <v>70686000.000000015</v>
      </c>
      <c r="H19" s="173">
        <f t="shared" si="0"/>
        <v>78461460.00000003</v>
      </c>
    </row>
    <row r="20" spans="1:10" ht="97.5" customHeight="1" x14ac:dyDescent="0.25">
      <c r="A20" s="20">
        <v>2.2000000000000002</v>
      </c>
      <c r="B20" s="85" t="s">
        <v>144</v>
      </c>
      <c r="C20" s="27" t="s">
        <v>82</v>
      </c>
      <c r="D20" s="20">
        <v>3</v>
      </c>
      <c r="E20" s="22">
        <f>5000000*1.1</f>
        <v>5500000</v>
      </c>
      <c r="F20" s="22">
        <f>+E20*D20</f>
        <v>16500000</v>
      </c>
      <c r="G20" s="23">
        <f t="shared" si="3"/>
        <v>16500000</v>
      </c>
      <c r="H20" s="173">
        <f t="shared" si="0"/>
        <v>18315000</v>
      </c>
    </row>
    <row r="21" spans="1:10" ht="105.75" customHeight="1" x14ac:dyDescent="0.25">
      <c r="A21" s="20">
        <v>2.2999999999999998</v>
      </c>
      <c r="B21" s="85" t="s">
        <v>145</v>
      </c>
      <c r="C21" s="27" t="s">
        <v>82</v>
      </c>
      <c r="D21" s="20">
        <v>3</v>
      </c>
      <c r="E21" s="22">
        <f>9500000*1.1</f>
        <v>10450000</v>
      </c>
      <c r="F21" s="22">
        <f>+E21*D21</f>
        <v>31350000</v>
      </c>
      <c r="G21" s="23">
        <f t="shared" si="3"/>
        <v>31350000</v>
      </c>
      <c r="H21" s="173">
        <f t="shared" si="0"/>
        <v>34798500</v>
      </c>
    </row>
    <row r="22" spans="1:10" ht="113.25" customHeight="1" x14ac:dyDescent="0.25">
      <c r="A22" s="20">
        <v>2.4</v>
      </c>
      <c r="B22" s="85" t="s">
        <v>148</v>
      </c>
      <c r="C22" s="27" t="s">
        <v>82</v>
      </c>
      <c r="D22" s="20">
        <v>3</v>
      </c>
      <c r="E22" s="22">
        <f>3808000*1.1</f>
        <v>4188800.0000000005</v>
      </c>
      <c r="F22" s="22">
        <f>+E22*D22</f>
        <v>12566400.000000002</v>
      </c>
      <c r="G22" s="23">
        <f t="shared" si="3"/>
        <v>12566400.000000002</v>
      </c>
      <c r="H22" s="173">
        <f t="shared" si="0"/>
        <v>13948704.000000004</v>
      </c>
    </row>
    <row r="23" spans="1:10" ht="92.25" customHeight="1" x14ac:dyDescent="0.25">
      <c r="A23" s="20">
        <v>2.5</v>
      </c>
      <c r="B23" s="85" t="s">
        <v>109</v>
      </c>
      <c r="C23" s="27" t="s">
        <v>82</v>
      </c>
      <c r="D23" s="20">
        <v>3</v>
      </c>
      <c r="E23" s="22">
        <f>5890500*1.1</f>
        <v>6479550.0000000009</v>
      </c>
      <c r="F23" s="22">
        <f>+E23*D23</f>
        <v>19438650.000000004</v>
      </c>
      <c r="G23" s="23">
        <f t="shared" si="3"/>
        <v>19438650.000000004</v>
      </c>
      <c r="H23" s="173">
        <f>ROUND(+G23*1.11,0)</f>
        <v>21576902</v>
      </c>
    </row>
    <row r="24" spans="1:10" x14ac:dyDescent="0.25">
      <c r="A24" s="16">
        <v>3</v>
      </c>
      <c r="B24" s="17" t="s">
        <v>113</v>
      </c>
      <c r="C24" s="18"/>
      <c r="D24" s="18"/>
      <c r="E24" s="18"/>
      <c r="F24" s="19">
        <f>SUM(F25:F43)</f>
        <v>252547073</v>
      </c>
      <c r="G24" s="19">
        <f>SUM(G25:G43)</f>
        <v>252547073</v>
      </c>
      <c r="J24" s="173">
        <f>+G24/3</f>
        <v>84182357.666666672</v>
      </c>
    </row>
    <row r="25" spans="1:10" ht="22.5" x14ac:dyDescent="0.25">
      <c r="A25" s="20">
        <v>3.1</v>
      </c>
      <c r="B25" s="85" t="s">
        <v>115</v>
      </c>
      <c r="C25" s="27" t="s">
        <v>82</v>
      </c>
      <c r="D25" s="20">
        <v>3</v>
      </c>
      <c r="E25" s="22">
        <f>1428000*1.1</f>
        <v>1570800.0000000002</v>
      </c>
      <c r="F25" s="22">
        <f t="shared" ref="F25:F43" si="4">+E25*D25</f>
        <v>4712400.0000000009</v>
      </c>
      <c r="G25" s="23">
        <f t="shared" si="3"/>
        <v>4712400.0000000009</v>
      </c>
      <c r="H25" s="173">
        <f t="shared" si="0"/>
        <v>5230764.0000000019</v>
      </c>
    </row>
    <row r="26" spans="1:10" ht="45" x14ac:dyDescent="0.25">
      <c r="A26" s="20">
        <v>3.2</v>
      </c>
      <c r="B26" s="85" t="s">
        <v>116</v>
      </c>
      <c r="C26" s="27" t="s">
        <v>82</v>
      </c>
      <c r="D26" s="20">
        <v>3</v>
      </c>
      <c r="E26" s="22">
        <f>3927000*1.1</f>
        <v>4319700</v>
      </c>
      <c r="F26" s="22">
        <f t="shared" si="4"/>
        <v>12959100</v>
      </c>
      <c r="G26" s="23">
        <f t="shared" si="3"/>
        <v>12959100</v>
      </c>
      <c r="H26" s="173">
        <f t="shared" si="0"/>
        <v>14384601.000000002</v>
      </c>
    </row>
    <row r="27" spans="1:10" ht="33.75" x14ac:dyDescent="0.25">
      <c r="A27" s="20">
        <v>3.3</v>
      </c>
      <c r="B27" s="85" t="s">
        <v>117</v>
      </c>
      <c r="C27" s="27" t="s">
        <v>82</v>
      </c>
      <c r="D27" s="20">
        <v>3</v>
      </c>
      <c r="E27" s="22">
        <f>36900000*1.1</f>
        <v>40590000</v>
      </c>
      <c r="F27" s="22">
        <f t="shared" si="4"/>
        <v>121770000</v>
      </c>
      <c r="G27" s="23">
        <f t="shared" si="3"/>
        <v>121770000</v>
      </c>
      <c r="H27" s="173">
        <f t="shared" si="0"/>
        <v>135164700</v>
      </c>
    </row>
    <row r="28" spans="1:10" ht="72.75" customHeight="1" x14ac:dyDescent="0.25">
      <c r="A28" s="20">
        <v>3.4</v>
      </c>
      <c r="B28" s="85" t="s">
        <v>118</v>
      </c>
      <c r="C28" s="27" t="s">
        <v>82</v>
      </c>
      <c r="D28" s="20">
        <v>3</v>
      </c>
      <c r="E28" s="22">
        <f>6188000*1.1</f>
        <v>6806800.0000000009</v>
      </c>
      <c r="F28" s="22">
        <f t="shared" si="4"/>
        <v>20420400.000000004</v>
      </c>
      <c r="G28" s="23">
        <f t="shared" si="3"/>
        <v>20420400.000000004</v>
      </c>
      <c r="H28" s="173">
        <f t="shared" si="0"/>
        <v>22666644.000000007</v>
      </c>
    </row>
    <row r="29" spans="1:10" ht="52.5" customHeight="1" x14ac:dyDescent="0.25">
      <c r="A29" s="20">
        <v>3.5</v>
      </c>
      <c r="B29" s="85" t="s">
        <v>119</v>
      </c>
      <c r="C29" s="27" t="s">
        <v>82</v>
      </c>
      <c r="D29" s="20">
        <v>3</v>
      </c>
      <c r="E29" s="22">
        <f>2116000*1.1</f>
        <v>2327600</v>
      </c>
      <c r="F29" s="22">
        <f t="shared" si="4"/>
        <v>6982800</v>
      </c>
      <c r="G29" s="23">
        <f t="shared" si="3"/>
        <v>6982800</v>
      </c>
      <c r="H29" s="173">
        <f t="shared" si="0"/>
        <v>7750908.0000000009</v>
      </c>
    </row>
    <row r="30" spans="1:10" ht="45" x14ac:dyDescent="0.25">
      <c r="A30" s="20">
        <v>3.6</v>
      </c>
      <c r="B30" s="85" t="s">
        <v>120</v>
      </c>
      <c r="C30" s="27" t="s">
        <v>82</v>
      </c>
      <c r="D30" s="20">
        <v>3</v>
      </c>
      <c r="E30" s="22">
        <f>4233306*1.1</f>
        <v>4656636.6000000006</v>
      </c>
      <c r="F30" s="22">
        <f>ROUND(+E30*D30,0)</f>
        <v>13969910</v>
      </c>
      <c r="G30" s="23">
        <f t="shared" si="3"/>
        <v>13969910</v>
      </c>
      <c r="H30" s="173">
        <f>ROUND(+G30*1.11,0)</f>
        <v>15506600</v>
      </c>
    </row>
    <row r="31" spans="1:10" ht="133.5" customHeight="1" x14ac:dyDescent="0.25">
      <c r="A31" s="20">
        <v>3.7</v>
      </c>
      <c r="B31" s="85" t="s">
        <v>121</v>
      </c>
      <c r="C31" s="27" t="s">
        <v>82</v>
      </c>
      <c r="D31" s="20">
        <v>3</v>
      </c>
      <c r="E31" s="22">
        <f>2487100*1.1</f>
        <v>2735810</v>
      </c>
      <c r="F31" s="22">
        <f t="shared" si="4"/>
        <v>8207430</v>
      </c>
      <c r="G31" s="23">
        <f t="shared" si="3"/>
        <v>8207430</v>
      </c>
      <c r="H31" s="173">
        <f>ROUND(+G31*1.11,0)</f>
        <v>9110247</v>
      </c>
    </row>
    <row r="32" spans="1:10" ht="33.75" x14ac:dyDescent="0.25">
      <c r="A32" s="20">
        <v>3.8</v>
      </c>
      <c r="B32" s="85" t="s">
        <v>122</v>
      </c>
      <c r="C32" s="27" t="s">
        <v>82</v>
      </c>
      <c r="D32" s="20">
        <v>3</v>
      </c>
      <c r="E32" s="22">
        <f>279701*1.1</f>
        <v>307671.10000000003</v>
      </c>
      <c r="F32" s="22">
        <f>ROUND(+E32*D32,0)</f>
        <v>923013</v>
      </c>
      <c r="G32" s="23">
        <f t="shared" si="3"/>
        <v>923013</v>
      </c>
      <c r="H32" s="173">
        <f>ROUND(+G32*1.11,0)</f>
        <v>1024544</v>
      </c>
    </row>
    <row r="33" spans="1:10" ht="33.75" x14ac:dyDescent="0.25">
      <c r="A33" s="20">
        <v>3.9</v>
      </c>
      <c r="B33" s="85" t="s">
        <v>123</v>
      </c>
      <c r="C33" s="27" t="s">
        <v>82</v>
      </c>
      <c r="D33" s="20">
        <v>3</v>
      </c>
      <c r="E33" s="22">
        <f>102809*1.1</f>
        <v>113089.90000000001</v>
      </c>
      <c r="F33" s="22">
        <f>ROUND(+E33*D33,0)</f>
        <v>339270</v>
      </c>
      <c r="G33" s="23">
        <f t="shared" si="3"/>
        <v>339270</v>
      </c>
      <c r="H33" s="173">
        <f>ROUND(+G33*1.11,0)</f>
        <v>376590</v>
      </c>
    </row>
    <row r="34" spans="1:10" ht="22.5" x14ac:dyDescent="0.25">
      <c r="A34" s="32">
        <v>3.1</v>
      </c>
      <c r="B34" s="85" t="s">
        <v>124</v>
      </c>
      <c r="C34" s="27" t="s">
        <v>82</v>
      </c>
      <c r="D34" s="20">
        <v>3</v>
      </c>
      <c r="E34" s="22">
        <f>2201500*1.1</f>
        <v>2421650</v>
      </c>
      <c r="F34" s="22">
        <f t="shared" si="4"/>
        <v>7264950</v>
      </c>
      <c r="G34" s="23">
        <f t="shared" si="3"/>
        <v>7264950</v>
      </c>
      <c r="H34" s="173">
        <f>ROUND(+G34*1.11,0)</f>
        <v>8064095</v>
      </c>
    </row>
    <row r="35" spans="1:10" ht="22.5" x14ac:dyDescent="0.25">
      <c r="A35" s="20">
        <v>3.11</v>
      </c>
      <c r="B35" s="85" t="s">
        <v>129</v>
      </c>
      <c r="C35" s="27" t="s">
        <v>82</v>
      </c>
      <c r="D35" s="20">
        <v>30</v>
      </c>
      <c r="E35" s="22">
        <f>15000*1.1</f>
        <v>16500</v>
      </c>
      <c r="F35" s="22">
        <f t="shared" si="4"/>
        <v>495000</v>
      </c>
      <c r="G35" s="23">
        <f t="shared" si="3"/>
        <v>495000</v>
      </c>
      <c r="H35" s="173">
        <f t="shared" si="0"/>
        <v>549450</v>
      </c>
    </row>
    <row r="36" spans="1:10" ht="33.75" x14ac:dyDescent="0.25">
      <c r="A36" s="32">
        <v>3.12</v>
      </c>
      <c r="B36" s="85" t="s">
        <v>125</v>
      </c>
      <c r="C36" s="27" t="s">
        <v>82</v>
      </c>
      <c r="D36" s="20">
        <v>15</v>
      </c>
      <c r="E36" s="22">
        <f>20230*1.1</f>
        <v>22253</v>
      </c>
      <c r="F36" s="22">
        <f t="shared" si="4"/>
        <v>333795</v>
      </c>
      <c r="G36" s="23">
        <f t="shared" si="3"/>
        <v>333795</v>
      </c>
      <c r="H36" s="173">
        <f>ROUND(+G36*1.11,0)</f>
        <v>370512</v>
      </c>
    </row>
    <row r="37" spans="1:10" ht="22.5" x14ac:dyDescent="0.25">
      <c r="A37" s="20">
        <v>3.13</v>
      </c>
      <c r="B37" s="85" t="s">
        <v>126</v>
      </c>
      <c r="C37" s="27" t="s">
        <v>82</v>
      </c>
      <c r="D37" s="20">
        <v>3</v>
      </c>
      <c r="E37" s="22">
        <f>29750*1.1</f>
        <v>32725.000000000004</v>
      </c>
      <c r="F37" s="22">
        <f t="shared" si="4"/>
        <v>98175.000000000015</v>
      </c>
      <c r="G37" s="23">
        <f t="shared" si="3"/>
        <v>98175.000000000015</v>
      </c>
      <c r="H37" s="173">
        <f>ROUND(+G37*1.11,0)</f>
        <v>108974</v>
      </c>
    </row>
    <row r="38" spans="1:10" ht="33.75" x14ac:dyDescent="0.25">
      <c r="A38" s="32">
        <v>3.14</v>
      </c>
      <c r="B38" s="85" t="s">
        <v>127</v>
      </c>
      <c r="C38" s="27" t="s">
        <v>82</v>
      </c>
      <c r="D38" s="20">
        <v>3</v>
      </c>
      <c r="E38" s="22">
        <f>71400*1.1</f>
        <v>78540</v>
      </c>
      <c r="F38" s="22">
        <f t="shared" si="4"/>
        <v>235620</v>
      </c>
      <c r="G38" s="23">
        <f t="shared" si="3"/>
        <v>235620</v>
      </c>
      <c r="H38" s="173">
        <f>ROUND(+G38*1.11,0)</f>
        <v>261538</v>
      </c>
    </row>
    <row r="39" spans="1:10" x14ac:dyDescent="0.25">
      <c r="A39" s="20">
        <v>3.15</v>
      </c>
      <c r="B39" s="85" t="s">
        <v>128</v>
      </c>
      <c r="C39" s="27" t="s">
        <v>82</v>
      </c>
      <c r="D39" s="20">
        <v>3</v>
      </c>
      <c r="E39" s="22">
        <f>142800*1.1</f>
        <v>157080</v>
      </c>
      <c r="F39" s="22">
        <f t="shared" si="4"/>
        <v>471240</v>
      </c>
      <c r="G39" s="23">
        <f t="shared" si="3"/>
        <v>471240</v>
      </c>
      <c r="H39" s="173">
        <f>ROUND(+G39*1.11,0)</f>
        <v>523076</v>
      </c>
    </row>
    <row r="40" spans="1:10" ht="33.75" x14ac:dyDescent="0.25">
      <c r="A40" s="32">
        <v>3.16</v>
      </c>
      <c r="B40" s="85" t="s">
        <v>130</v>
      </c>
      <c r="C40" s="27" t="s">
        <v>82</v>
      </c>
      <c r="D40" s="20">
        <v>3</v>
      </c>
      <c r="E40" s="22">
        <f>105900*1.1</f>
        <v>116490.00000000001</v>
      </c>
      <c r="F40" s="22">
        <f t="shared" si="4"/>
        <v>349470.00000000006</v>
      </c>
      <c r="G40" s="23">
        <f t="shared" si="3"/>
        <v>349470.00000000006</v>
      </c>
      <c r="H40" s="173">
        <f>ROUND(+G40*1.11,0)</f>
        <v>387912</v>
      </c>
    </row>
    <row r="41" spans="1:10" x14ac:dyDescent="0.25">
      <c r="A41" s="20">
        <v>3.17</v>
      </c>
      <c r="B41" s="85" t="s">
        <v>131</v>
      </c>
      <c r="C41" s="27" t="s">
        <v>82</v>
      </c>
      <c r="D41" s="20">
        <v>3</v>
      </c>
      <c r="E41" s="22">
        <f>10115000*1.1</f>
        <v>11126500</v>
      </c>
      <c r="F41" s="22">
        <f t="shared" si="4"/>
        <v>33379500</v>
      </c>
      <c r="G41" s="23">
        <f t="shared" si="3"/>
        <v>33379500</v>
      </c>
      <c r="H41" s="173">
        <f t="shared" si="0"/>
        <v>37051245</v>
      </c>
    </row>
    <row r="42" spans="1:10" ht="56.25" x14ac:dyDescent="0.25">
      <c r="A42" s="32">
        <v>3.18</v>
      </c>
      <c r="B42" s="85" t="s">
        <v>132</v>
      </c>
      <c r="C42" s="27" t="s">
        <v>82</v>
      </c>
      <c r="D42" s="20">
        <v>3</v>
      </c>
      <c r="E42" s="22">
        <f>952000*1.1</f>
        <v>1047200.0000000001</v>
      </c>
      <c r="F42" s="22">
        <f t="shared" si="4"/>
        <v>3141600.0000000005</v>
      </c>
      <c r="G42" s="23">
        <f t="shared" si="3"/>
        <v>3141600.0000000005</v>
      </c>
      <c r="H42" s="173">
        <f t="shared" si="0"/>
        <v>3487176.0000000009</v>
      </c>
    </row>
    <row r="43" spans="1:10" ht="45" x14ac:dyDescent="0.25">
      <c r="A43" s="20">
        <v>3.19</v>
      </c>
      <c r="B43" s="85" t="s">
        <v>154</v>
      </c>
      <c r="C43" s="27" t="s">
        <v>82</v>
      </c>
      <c r="D43" s="20">
        <v>3</v>
      </c>
      <c r="E43" s="22">
        <f>4998000*1.1</f>
        <v>5497800</v>
      </c>
      <c r="F43" s="22">
        <f t="shared" si="4"/>
        <v>16493400</v>
      </c>
      <c r="G43" s="23">
        <f t="shared" si="3"/>
        <v>16493400</v>
      </c>
      <c r="H43" s="173">
        <f t="shared" si="0"/>
        <v>18307674</v>
      </c>
    </row>
    <row r="44" spans="1:10" x14ac:dyDescent="0.25">
      <c r="A44" s="16">
        <v>4</v>
      </c>
      <c r="B44" s="17" t="s">
        <v>86</v>
      </c>
      <c r="C44" s="18"/>
      <c r="D44" s="18"/>
      <c r="E44" s="18"/>
      <c r="F44" s="19">
        <f>SUM(F45:F47)</f>
        <v>51000000</v>
      </c>
      <c r="G44" s="19">
        <f>SUM(G45:G47)</f>
        <v>51000000</v>
      </c>
    </row>
    <row r="45" spans="1:10" ht="90" x14ac:dyDescent="0.25">
      <c r="A45" s="20">
        <v>4.0999999999999996</v>
      </c>
      <c r="B45" s="85" t="s">
        <v>289</v>
      </c>
      <c r="C45" s="27" t="s">
        <v>82</v>
      </c>
      <c r="D45" s="20">
        <v>20</v>
      </c>
      <c r="E45" s="22">
        <v>2000000</v>
      </c>
      <c r="F45" s="22">
        <f t="shared" ref="F45:F47" si="5">+E45*D45</f>
        <v>40000000</v>
      </c>
      <c r="G45" s="23">
        <f t="shared" ref="G45:G47" si="6">+F45</f>
        <v>40000000</v>
      </c>
      <c r="H45" s="173">
        <f t="shared" si="0"/>
        <v>44400000.000000007</v>
      </c>
    </row>
    <row r="46" spans="1:10" ht="33.75" x14ac:dyDescent="0.25">
      <c r="A46" s="20">
        <v>4.2</v>
      </c>
      <c r="B46" s="85" t="s">
        <v>290</v>
      </c>
      <c r="C46" s="27" t="s">
        <v>82</v>
      </c>
      <c r="D46" s="20">
        <v>1</v>
      </c>
      <c r="E46" s="22">
        <v>6000000</v>
      </c>
      <c r="F46" s="22">
        <f t="shared" si="5"/>
        <v>6000000</v>
      </c>
      <c r="G46" s="23">
        <f t="shared" si="6"/>
        <v>6000000</v>
      </c>
      <c r="H46" s="173">
        <f t="shared" si="0"/>
        <v>6660000.0000000009</v>
      </c>
    </row>
    <row r="47" spans="1:10" ht="90" x14ac:dyDescent="0.25">
      <c r="A47" s="20">
        <v>4.3</v>
      </c>
      <c r="B47" s="85" t="s">
        <v>291</v>
      </c>
      <c r="C47" s="27" t="s">
        <v>82</v>
      </c>
      <c r="D47" s="20">
        <v>1</v>
      </c>
      <c r="E47" s="84">
        <v>5000000</v>
      </c>
      <c r="F47" s="84">
        <f t="shared" si="5"/>
        <v>5000000</v>
      </c>
      <c r="G47" s="23">
        <f t="shared" si="6"/>
        <v>5000000</v>
      </c>
      <c r="H47" s="173">
        <f t="shared" si="0"/>
        <v>5550000.0000000009</v>
      </c>
      <c r="J47" s="11"/>
    </row>
    <row r="48" spans="1:10" ht="12.75" x14ac:dyDescent="0.25">
      <c r="A48" s="33"/>
      <c r="B48" s="299" t="s">
        <v>134</v>
      </c>
      <c r="C48" s="300"/>
      <c r="D48" s="300"/>
      <c r="E48" s="301"/>
      <c r="F48" s="81">
        <f>+F11+F5</f>
        <v>1573649103</v>
      </c>
      <c r="G48" s="81">
        <f>+G11+G5</f>
        <v>1573649103</v>
      </c>
      <c r="H48" s="176">
        <f>SUM(H8:H47)</f>
        <v>1746750504</v>
      </c>
      <c r="I48" s="91">
        <f>100*20000</f>
        <v>2000000</v>
      </c>
      <c r="J48" s="10" t="s">
        <v>196</v>
      </c>
    </row>
    <row r="49" spans="1:10" x14ac:dyDescent="0.25">
      <c r="A49" s="94">
        <v>5</v>
      </c>
      <c r="B49" s="35" t="s">
        <v>140</v>
      </c>
      <c r="C49" s="27" t="s">
        <v>141</v>
      </c>
      <c r="D49" s="20">
        <v>4</v>
      </c>
      <c r="E49" s="22">
        <v>7000000</v>
      </c>
      <c r="F49" s="22">
        <f>+E49*D49</f>
        <v>28000000</v>
      </c>
      <c r="G49" s="23">
        <f t="shared" ref="G49" si="7">+F49</f>
        <v>28000000</v>
      </c>
      <c r="I49" s="91">
        <v>500000</v>
      </c>
      <c r="J49" s="10" t="s">
        <v>195</v>
      </c>
    </row>
    <row r="50" spans="1:10" x14ac:dyDescent="0.25">
      <c r="B50" s="35" t="s">
        <v>185</v>
      </c>
      <c r="C50" s="27" t="s">
        <v>186</v>
      </c>
      <c r="D50" s="20">
        <v>11</v>
      </c>
      <c r="E50" s="22"/>
      <c r="F50" s="22">
        <f>ROUND(+F48*D50%,0)</f>
        <v>173101401</v>
      </c>
      <c r="G50" s="23">
        <f>+F50</f>
        <v>173101401</v>
      </c>
      <c r="I50" s="91">
        <v>1000000</v>
      </c>
      <c r="J50" s="10" t="s">
        <v>198</v>
      </c>
    </row>
    <row r="51" spans="1:10" ht="12.75" x14ac:dyDescent="0.25">
      <c r="B51" s="299" t="s">
        <v>142</v>
      </c>
      <c r="C51" s="300"/>
      <c r="D51" s="300"/>
      <c r="E51" s="301"/>
      <c r="F51" s="81">
        <f>+F49+F48+F50</f>
        <v>1774750504</v>
      </c>
      <c r="G51" s="81">
        <f>+G49+G48+G50</f>
        <v>1774750504</v>
      </c>
      <c r="I51" s="91">
        <v>1500000</v>
      </c>
      <c r="J51" s="10" t="s">
        <v>197</v>
      </c>
    </row>
    <row r="52" spans="1:10" x14ac:dyDescent="0.25">
      <c r="I52" s="133">
        <f>SUM(I48:I51)</f>
        <v>5000000</v>
      </c>
    </row>
    <row r="54" spans="1:10" x14ac:dyDescent="0.25">
      <c r="B54" s="233" t="s">
        <v>287</v>
      </c>
    </row>
    <row r="55" spans="1:10" x14ac:dyDescent="0.25">
      <c r="B55" s="10" t="s">
        <v>288</v>
      </c>
    </row>
  </sheetData>
  <mergeCells count="3">
    <mergeCell ref="A2:G2"/>
    <mergeCell ref="B48:E48"/>
    <mergeCell ref="B51:E51"/>
  </mergeCells>
  <printOptions horizontalCentered="1"/>
  <pageMargins left="0.51181102362204722" right="0.51181102362204722" top="0.74803149606299213" bottom="0.74803149606299213" header="0.31496062992125984" footer="0.31496062992125984"/>
  <pageSetup scale="95" fitToHeight="3" orientation="portrait" r:id="rId1"/>
  <rowBreaks count="3" manualBreakCount="3">
    <brk id="20" max="6" man="1"/>
    <brk id="30" max="6" man="1"/>
    <brk id="55" max="11" man="1"/>
  </rowBreaks>
  <colBreaks count="1" manualBreakCount="1">
    <brk id="7" max="5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view="pageBreakPreview" topLeftCell="A35" zoomScale="120" zoomScaleNormal="120" zoomScaleSheetLayoutView="120" workbookViewId="0">
      <selection activeCell="E43" sqref="E43"/>
    </sheetView>
  </sheetViews>
  <sheetFormatPr baseColWidth="10" defaultColWidth="11.42578125" defaultRowHeight="11.25" x14ac:dyDescent="0.25"/>
  <cols>
    <col min="1" max="1" width="4.42578125" style="166" bestFit="1" customWidth="1"/>
    <col min="2" max="2" width="27.85546875" style="161" customWidth="1"/>
    <col min="3" max="3" width="6.42578125" style="166" bestFit="1" customWidth="1"/>
    <col min="4" max="4" width="8" style="166" bestFit="1" customWidth="1"/>
    <col min="5" max="5" width="12.28515625" style="161" bestFit="1" customWidth="1"/>
    <col min="6" max="6" width="13.85546875" style="161" bestFit="1" customWidth="1"/>
    <col min="7" max="7" width="4" style="161" customWidth="1"/>
    <col min="8" max="8" width="14" style="161" customWidth="1"/>
    <col min="9" max="9" width="14.7109375" style="161" customWidth="1"/>
    <col min="10" max="10" width="15.140625" style="161" customWidth="1"/>
    <col min="11" max="11" width="29.140625" style="161" customWidth="1"/>
    <col min="12" max="12" width="23.140625" style="161" customWidth="1"/>
    <col min="13" max="13" width="11.42578125" style="161"/>
    <col min="14" max="14" width="12.85546875" style="161" bestFit="1" customWidth="1"/>
    <col min="15" max="16384" width="11.42578125" style="161"/>
  </cols>
  <sheetData>
    <row r="1" spans="1:14" ht="12" thickBot="1" x14ac:dyDescent="0.3"/>
    <row r="2" spans="1:14" ht="27.75" customHeight="1" x14ac:dyDescent="0.25">
      <c r="A2" s="304" t="s">
        <v>228</v>
      </c>
      <c r="B2" s="305"/>
      <c r="C2" s="305"/>
      <c r="D2" s="305"/>
      <c r="E2" s="305"/>
      <c r="F2" s="305"/>
      <c r="G2" s="305"/>
      <c r="H2" s="305"/>
      <c r="I2" s="305"/>
      <c r="J2" s="305"/>
      <c r="K2" s="305"/>
      <c r="L2" s="306"/>
    </row>
    <row r="3" spans="1:14" ht="48.75" customHeight="1" x14ac:dyDescent="0.25">
      <c r="A3" s="312" t="s">
        <v>229</v>
      </c>
      <c r="B3" s="313"/>
      <c r="C3" s="313"/>
      <c r="D3" s="313"/>
      <c r="E3" s="313"/>
      <c r="F3" s="313"/>
      <c r="G3" s="191"/>
      <c r="H3" s="302" t="s">
        <v>227</v>
      </c>
      <c r="I3" s="302"/>
      <c r="J3" s="302"/>
      <c r="K3" s="302"/>
      <c r="L3" s="303"/>
    </row>
    <row r="4" spans="1:14" ht="15" customHeight="1" x14ac:dyDescent="0.25">
      <c r="A4" s="192" t="s">
        <v>0</v>
      </c>
      <c r="B4" s="178" t="s">
        <v>76</v>
      </c>
      <c r="C4" s="178" t="s">
        <v>77</v>
      </c>
      <c r="D4" s="178" t="s">
        <v>3</v>
      </c>
      <c r="E4" s="178" t="s">
        <v>4</v>
      </c>
      <c r="F4" s="178" t="s">
        <v>5</v>
      </c>
      <c r="G4" s="191"/>
      <c r="H4" s="314" t="s">
        <v>222</v>
      </c>
      <c r="I4" s="314"/>
      <c r="J4" s="314"/>
      <c r="K4" s="314" t="s">
        <v>225</v>
      </c>
      <c r="L4" s="331" t="s">
        <v>226</v>
      </c>
    </row>
    <row r="5" spans="1:14" x14ac:dyDescent="0.25">
      <c r="A5" s="193" t="s">
        <v>94</v>
      </c>
      <c r="B5" s="155" t="s">
        <v>95</v>
      </c>
      <c r="C5" s="177"/>
      <c r="D5" s="177"/>
      <c r="E5" s="177"/>
      <c r="F5" s="156">
        <f>+F6</f>
        <v>234532980</v>
      </c>
      <c r="G5" s="191"/>
      <c r="H5" s="315"/>
      <c r="I5" s="315"/>
      <c r="J5" s="315"/>
      <c r="K5" s="315"/>
      <c r="L5" s="332"/>
    </row>
    <row r="6" spans="1:14" ht="33.75" x14ac:dyDescent="0.25">
      <c r="A6" s="194">
        <v>1</v>
      </c>
      <c r="B6" s="170" t="s">
        <v>80</v>
      </c>
      <c r="C6" s="171"/>
      <c r="D6" s="171"/>
      <c r="E6" s="171"/>
      <c r="F6" s="172">
        <f>+F7+F8</f>
        <v>234532980</v>
      </c>
      <c r="G6" s="191"/>
      <c r="H6" s="179" t="s">
        <v>219</v>
      </c>
      <c r="I6" s="162" t="s">
        <v>220</v>
      </c>
      <c r="J6" s="162" t="s">
        <v>237</v>
      </c>
      <c r="K6" s="162" t="s">
        <v>223</v>
      </c>
      <c r="L6" s="195" t="s">
        <v>224</v>
      </c>
    </row>
    <row r="7" spans="1:14" ht="126" customHeight="1" x14ac:dyDescent="0.25">
      <c r="A7" s="107">
        <v>1.1000000000000001</v>
      </c>
      <c r="B7" s="85" t="s">
        <v>146</v>
      </c>
      <c r="C7" s="83" t="s">
        <v>82</v>
      </c>
      <c r="D7" s="83">
        <v>8</v>
      </c>
      <c r="E7" s="84">
        <v>25938000</v>
      </c>
      <c r="F7" s="84">
        <f>+E7*D7</f>
        <v>207504000</v>
      </c>
      <c r="G7" s="191"/>
      <c r="H7" s="84">
        <v>25938000</v>
      </c>
      <c r="I7" s="124">
        <v>32400000</v>
      </c>
      <c r="J7" s="124">
        <v>106267000</v>
      </c>
      <c r="K7" s="307" t="s">
        <v>231</v>
      </c>
      <c r="L7" s="309" t="s">
        <v>236</v>
      </c>
    </row>
    <row r="8" spans="1:14" ht="126" customHeight="1" x14ac:dyDescent="0.25">
      <c r="A8" s="107">
        <v>1.2</v>
      </c>
      <c r="B8" s="85" t="s">
        <v>147</v>
      </c>
      <c r="C8" s="83" t="s">
        <v>83</v>
      </c>
      <c r="D8" s="83">
        <v>1683</v>
      </c>
      <c r="E8" s="84">
        <v>16060</v>
      </c>
      <c r="F8" s="84">
        <f>+E8*D8</f>
        <v>27028980</v>
      </c>
      <c r="G8" s="191"/>
      <c r="H8" s="84">
        <v>16060</v>
      </c>
      <c r="I8" s="124">
        <v>0</v>
      </c>
      <c r="J8" s="124">
        <v>0</v>
      </c>
      <c r="K8" s="308"/>
      <c r="L8" s="310"/>
    </row>
    <row r="9" spans="1:14" ht="15.75" customHeight="1" x14ac:dyDescent="0.25">
      <c r="A9" s="193" t="s">
        <v>96</v>
      </c>
      <c r="B9" s="155" t="s">
        <v>97</v>
      </c>
      <c r="C9" s="177"/>
      <c r="D9" s="177"/>
      <c r="E9" s="177"/>
      <c r="F9" s="156">
        <f>+F10+F16+F22</f>
        <v>1068258123</v>
      </c>
      <c r="G9" s="191"/>
      <c r="H9" s="163">
        <f>SUM(H7:H8)</f>
        <v>25954060</v>
      </c>
      <c r="I9" s="164">
        <f>SUM(I7:I8)</f>
        <v>32400000</v>
      </c>
      <c r="J9" s="164">
        <f>SUM(J7:J8)</f>
        <v>106267000</v>
      </c>
      <c r="K9" s="308"/>
      <c r="L9" s="310"/>
    </row>
    <row r="10" spans="1:14" ht="25.5" customHeight="1" x14ac:dyDescent="0.25">
      <c r="A10" s="194">
        <v>1</v>
      </c>
      <c r="B10" s="170" t="s">
        <v>103</v>
      </c>
      <c r="C10" s="171"/>
      <c r="D10" s="171"/>
      <c r="E10" s="171"/>
      <c r="F10" s="172">
        <f>+F11+F12+F13</f>
        <v>665170000</v>
      </c>
      <c r="G10" s="191"/>
      <c r="H10" s="179" t="s">
        <v>210</v>
      </c>
      <c r="I10" s="162" t="s">
        <v>215</v>
      </c>
      <c r="J10" s="162" t="s">
        <v>216</v>
      </c>
      <c r="K10" s="325" t="s">
        <v>232</v>
      </c>
      <c r="L10" s="328" t="s">
        <v>235</v>
      </c>
    </row>
    <row r="11" spans="1:14" ht="65.099999999999994" customHeight="1" x14ac:dyDescent="0.25">
      <c r="A11" s="107">
        <v>1.1000000000000001</v>
      </c>
      <c r="B11" s="85" t="s">
        <v>211</v>
      </c>
      <c r="C11" s="27" t="s">
        <v>82</v>
      </c>
      <c r="D11" s="20">
        <v>7</v>
      </c>
      <c r="E11" s="165">
        <v>40810000</v>
      </c>
      <c r="F11" s="153">
        <f t="shared" ref="F11:F14" si="0">+E11*D11</f>
        <v>285670000</v>
      </c>
      <c r="G11" s="191"/>
      <c r="H11" s="124">
        <v>48970000</v>
      </c>
      <c r="I11" s="124">
        <v>40810000</v>
      </c>
      <c r="J11" s="124">
        <v>33110000</v>
      </c>
      <c r="K11" s="326"/>
      <c r="L11" s="329"/>
    </row>
    <row r="12" spans="1:14" ht="65.099999999999994" customHeight="1" x14ac:dyDescent="0.25">
      <c r="A12" s="107">
        <v>1.2</v>
      </c>
      <c r="B12" s="85" t="s">
        <v>250</v>
      </c>
      <c r="C12" s="27" t="s">
        <v>82</v>
      </c>
      <c r="D12" s="20">
        <v>3</v>
      </c>
      <c r="E12" s="165">
        <v>55440000</v>
      </c>
      <c r="F12" s="153">
        <f t="shared" si="0"/>
        <v>166320000</v>
      </c>
      <c r="G12" s="191"/>
      <c r="H12" s="124">
        <v>72200000</v>
      </c>
      <c r="I12" s="124">
        <v>55440000</v>
      </c>
      <c r="J12" s="124">
        <v>55560000</v>
      </c>
      <c r="K12" s="326"/>
      <c r="L12" s="329"/>
    </row>
    <row r="13" spans="1:14" ht="65.099999999999994" customHeight="1" x14ac:dyDescent="0.25">
      <c r="A13" s="107">
        <v>1.3</v>
      </c>
      <c r="B13" s="85" t="s">
        <v>213</v>
      </c>
      <c r="C13" s="27" t="s">
        <v>82</v>
      </c>
      <c r="D13" s="20">
        <v>3</v>
      </c>
      <c r="E13" s="165">
        <v>71060000</v>
      </c>
      <c r="F13" s="153">
        <f t="shared" si="0"/>
        <v>213180000</v>
      </c>
      <c r="G13" s="191"/>
      <c r="H13" s="124">
        <v>85272000</v>
      </c>
      <c r="I13" s="124">
        <v>71060000</v>
      </c>
      <c r="J13" s="124">
        <v>71060000</v>
      </c>
      <c r="K13" s="326"/>
      <c r="L13" s="329"/>
    </row>
    <row r="14" spans="1:14" ht="65.099999999999994" customHeight="1" x14ac:dyDescent="0.25">
      <c r="A14" s="107">
        <v>1.4</v>
      </c>
      <c r="B14" s="85" t="s">
        <v>214</v>
      </c>
      <c r="C14" s="27" t="s">
        <v>82</v>
      </c>
      <c r="D14" s="20">
        <v>2</v>
      </c>
      <c r="E14" s="165">
        <v>96960000</v>
      </c>
      <c r="F14" s="153">
        <f t="shared" si="0"/>
        <v>193920000</v>
      </c>
      <c r="G14" s="191"/>
      <c r="H14" s="124">
        <v>125120000</v>
      </c>
      <c r="I14" s="124">
        <v>96960000</v>
      </c>
      <c r="J14" s="124">
        <v>104170000</v>
      </c>
      <c r="K14" s="326"/>
      <c r="L14" s="329"/>
    </row>
    <row r="15" spans="1:14" ht="20.25" customHeight="1" x14ac:dyDescent="0.25">
      <c r="A15" s="316"/>
      <c r="B15" s="317"/>
      <c r="C15" s="317"/>
      <c r="D15" s="317"/>
      <c r="E15" s="317"/>
      <c r="F15" s="318"/>
      <c r="G15" s="191"/>
      <c r="H15" s="168">
        <f>SUM(H11:H14)</f>
        <v>331562000</v>
      </c>
      <c r="I15" s="168">
        <f t="shared" ref="I15:J15" si="1">SUM(I11:I14)</f>
        <v>264270000</v>
      </c>
      <c r="J15" s="168">
        <f t="shared" si="1"/>
        <v>263900000</v>
      </c>
      <c r="K15" s="327"/>
      <c r="L15" s="330"/>
      <c r="N15" s="169"/>
    </row>
    <row r="16" spans="1:14" ht="22.5" x14ac:dyDescent="0.25">
      <c r="A16" s="194">
        <v>2</v>
      </c>
      <c r="B16" s="170" t="s">
        <v>107</v>
      </c>
      <c r="C16" s="171"/>
      <c r="D16" s="171"/>
      <c r="E16" s="171"/>
      <c r="F16" s="172">
        <f>SUM(F17:F21)</f>
        <v>150541050.00000003</v>
      </c>
      <c r="G16" s="191"/>
      <c r="H16" s="162" t="s">
        <v>160</v>
      </c>
      <c r="I16" s="162" t="s">
        <v>218</v>
      </c>
      <c r="J16" s="179" t="s">
        <v>221</v>
      </c>
      <c r="K16" s="319" t="s">
        <v>233</v>
      </c>
      <c r="L16" s="322" t="s">
        <v>234</v>
      </c>
    </row>
    <row r="17" spans="1:12" ht="119.25" customHeight="1" x14ac:dyDescent="0.25">
      <c r="A17" s="107">
        <v>2.1</v>
      </c>
      <c r="B17" s="85" t="s">
        <v>112</v>
      </c>
      <c r="C17" s="27" t="s">
        <v>82</v>
      </c>
      <c r="D17" s="20">
        <v>3</v>
      </c>
      <c r="E17" s="22">
        <f>21420000*1.1</f>
        <v>23562000.000000004</v>
      </c>
      <c r="F17" s="22">
        <f>+E17*D17</f>
        <v>70686000.000000015</v>
      </c>
      <c r="G17" s="191"/>
      <c r="H17" s="22">
        <f>21420000*1.1</f>
        <v>23562000.000000004</v>
      </c>
      <c r="I17" s="22">
        <v>0</v>
      </c>
      <c r="J17" s="22">
        <v>0</v>
      </c>
      <c r="K17" s="320"/>
      <c r="L17" s="323"/>
    </row>
    <row r="18" spans="1:12" ht="97.5" customHeight="1" x14ac:dyDescent="0.25">
      <c r="A18" s="107">
        <v>2.2000000000000002</v>
      </c>
      <c r="B18" s="85" t="s">
        <v>144</v>
      </c>
      <c r="C18" s="27" t="s">
        <v>82</v>
      </c>
      <c r="D18" s="20">
        <v>3</v>
      </c>
      <c r="E18" s="22">
        <f>5000000*1.1</f>
        <v>5500000</v>
      </c>
      <c r="F18" s="22">
        <f>+E18*D18</f>
        <v>16500000</v>
      </c>
      <c r="G18" s="191"/>
      <c r="H18" s="22">
        <f>5000000*1.1</f>
        <v>5500000</v>
      </c>
      <c r="I18" s="22">
        <v>4950000</v>
      </c>
      <c r="J18" s="22">
        <v>0</v>
      </c>
      <c r="K18" s="320"/>
      <c r="L18" s="323"/>
    </row>
    <row r="19" spans="1:12" ht="105.75" customHeight="1" x14ac:dyDescent="0.25">
      <c r="A19" s="107">
        <v>2.2999999999999998</v>
      </c>
      <c r="B19" s="85" t="s">
        <v>145</v>
      </c>
      <c r="C19" s="27" t="s">
        <v>82</v>
      </c>
      <c r="D19" s="20">
        <v>3</v>
      </c>
      <c r="E19" s="22">
        <f>9500000*1.1</f>
        <v>10450000</v>
      </c>
      <c r="F19" s="22">
        <f>+E19*D19</f>
        <v>31350000</v>
      </c>
      <c r="G19" s="191"/>
      <c r="H19" s="22">
        <f>9500000*1.1</f>
        <v>10450000</v>
      </c>
      <c r="I19" s="22">
        <v>0</v>
      </c>
      <c r="J19" s="22">
        <v>0</v>
      </c>
      <c r="K19" s="320"/>
      <c r="L19" s="323"/>
    </row>
    <row r="20" spans="1:12" ht="113.25" customHeight="1" x14ac:dyDescent="0.25">
      <c r="A20" s="107">
        <v>2.4</v>
      </c>
      <c r="B20" s="85" t="s">
        <v>148</v>
      </c>
      <c r="C20" s="27" t="s">
        <v>82</v>
      </c>
      <c r="D20" s="20">
        <v>3</v>
      </c>
      <c r="E20" s="22">
        <f>3808000*1.1</f>
        <v>4188800.0000000005</v>
      </c>
      <c r="F20" s="22">
        <f>+E20*D20</f>
        <v>12566400.000000002</v>
      </c>
      <c r="G20" s="191"/>
      <c r="H20" s="22">
        <f>3808000*1.1</f>
        <v>4188800.0000000005</v>
      </c>
      <c r="I20" s="22">
        <v>0</v>
      </c>
      <c r="J20" s="22">
        <v>0</v>
      </c>
      <c r="K20" s="320"/>
      <c r="L20" s="323"/>
    </row>
    <row r="21" spans="1:12" ht="92.25" customHeight="1" x14ac:dyDescent="0.25">
      <c r="A21" s="107">
        <v>2.5</v>
      </c>
      <c r="B21" s="85" t="s">
        <v>109</v>
      </c>
      <c r="C21" s="27" t="s">
        <v>82</v>
      </c>
      <c r="D21" s="20">
        <v>3</v>
      </c>
      <c r="E21" s="22">
        <f>5890500*1.1</f>
        <v>6479550.0000000009</v>
      </c>
      <c r="F21" s="22">
        <f>+E21*D21</f>
        <v>19438650.000000004</v>
      </c>
      <c r="G21" s="191"/>
      <c r="H21" s="22">
        <f>5890500*1.1</f>
        <v>6479550.0000000009</v>
      </c>
      <c r="I21" s="22">
        <v>0</v>
      </c>
      <c r="J21" s="22">
        <v>0</v>
      </c>
      <c r="K21" s="320"/>
      <c r="L21" s="323"/>
    </row>
    <row r="22" spans="1:12" ht="22.5" x14ac:dyDescent="0.25">
      <c r="A22" s="194">
        <v>3</v>
      </c>
      <c r="B22" s="170" t="s">
        <v>113</v>
      </c>
      <c r="C22" s="171"/>
      <c r="D22" s="171"/>
      <c r="E22" s="171"/>
      <c r="F22" s="172">
        <f>SUM(F23:F41)</f>
        <v>252547073</v>
      </c>
      <c r="G22" s="191"/>
      <c r="H22" s="162" t="s">
        <v>160</v>
      </c>
      <c r="I22" s="162" t="s">
        <v>218</v>
      </c>
      <c r="J22" s="179" t="s">
        <v>221</v>
      </c>
      <c r="K22" s="320"/>
      <c r="L22" s="323"/>
    </row>
    <row r="23" spans="1:12" ht="22.5" x14ac:dyDescent="0.25">
      <c r="A23" s="107">
        <v>3.1</v>
      </c>
      <c r="B23" s="85" t="s">
        <v>115</v>
      </c>
      <c r="C23" s="27" t="s">
        <v>82</v>
      </c>
      <c r="D23" s="20">
        <v>3</v>
      </c>
      <c r="E23" s="22">
        <f>1428000*1.1</f>
        <v>1570800.0000000002</v>
      </c>
      <c r="F23" s="22">
        <f t="shared" ref="F23:F41" si="2">+E23*D23</f>
        <v>4712400.0000000009</v>
      </c>
      <c r="G23" s="191"/>
      <c r="H23" s="22">
        <f>1428000*1.1</f>
        <v>1570800.0000000002</v>
      </c>
      <c r="I23" s="22">
        <f>2200000*1.19</f>
        <v>2618000</v>
      </c>
      <c r="J23" s="22">
        <v>0</v>
      </c>
      <c r="K23" s="320"/>
      <c r="L23" s="323"/>
    </row>
    <row r="24" spans="1:12" ht="45" x14ac:dyDescent="0.25">
      <c r="A24" s="107">
        <v>3.2</v>
      </c>
      <c r="B24" s="85" t="s">
        <v>116</v>
      </c>
      <c r="C24" s="27" t="s">
        <v>82</v>
      </c>
      <c r="D24" s="20">
        <v>3</v>
      </c>
      <c r="E24" s="22">
        <f>3927000*1.1</f>
        <v>4319700</v>
      </c>
      <c r="F24" s="22">
        <f t="shared" si="2"/>
        <v>12959100</v>
      </c>
      <c r="G24" s="191"/>
      <c r="H24" s="22">
        <f>3927000*1.1</f>
        <v>4319700</v>
      </c>
      <c r="I24" s="22">
        <v>7250000</v>
      </c>
      <c r="J24" s="22">
        <v>0</v>
      </c>
      <c r="K24" s="320"/>
      <c r="L24" s="323"/>
    </row>
    <row r="25" spans="1:12" ht="33.75" x14ac:dyDescent="0.25">
      <c r="A25" s="107">
        <v>3.3</v>
      </c>
      <c r="B25" s="85" t="s">
        <v>117</v>
      </c>
      <c r="C25" s="27" t="s">
        <v>82</v>
      </c>
      <c r="D25" s="20">
        <v>3</v>
      </c>
      <c r="E25" s="22">
        <f>36900000*1.1</f>
        <v>40590000</v>
      </c>
      <c r="F25" s="22">
        <f t="shared" si="2"/>
        <v>121770000</v>
      </c>
      <c r="G25" s="191"/>
      <c r="H25" s="22">
        <f>36900000*1.1</f>
        <v>40590000</v>
      </c>
      <c r="I25" s="22">
        <f>41850000*1.19</f>
        <v>49801500</v>
      </c>
      <c r="J25" s="22">
        <v>0</v>
      </c>
      <c r="K25" s="320"/>
      <c r="L25" s="323"/>
    </row>
    <row r="26" spans="1:12" ht="72.75" customHeight="1" x14ac:dyDescent="0.25">
      <c r="A26" s="107">
        <v>3.4</v>
      </c>
      <c r="B26" s="85" t="s">
        <v>118</v>
      </c>
      <c r="C26" s="27" t="s">
        <v>82</v>
      </c>
      <c r="D26" s="20">
        <v>3</v>
      </c>
      <c r="E26" s="22">
        <f>6188000*1.1</f>
        <v>6806800.0000000009</v>
      </c>
      <c r="F26" s="22">
        <f t="shared" si="2"/>
        <v>20420400.000000004</v>
      </c>
      <c r="G26" s="191"/>
      <c r="H26" s="22">
        <f>6188000*1.1</f>
        <v>6806800.0000000009</v>
      </c>
      <c r="I26" s="22">
        <f>6600000*1.19</f>
        <v>7854000</v>
      </c>
      <c r="J26" s="22">
        <v>0</v>
      </c>
      <c r="K26" s="320"/>
      <c r="L26" s="323"/>
    </row>
    <row r="27" spans="1:12" ht="52.5" customHeight="1" x14ac:dyDescent="0.25">
      <c r="A27" s="107">
        <v>3.5</v>
      </c>
      <c r="B27" s="85" t="s">
        <v>119</v>
      </c>
      <c r="C27" s="27" t="s">
        <v>82</v>
      </c>
      <c r="D27" s="20">
        <v>3</v>
      </c>
      <c r="E27" s="22">
        <f>2116000*1.1</f>
        <v>2327600</v>
      </c>
      <c r="F27" s="22">
        <f t="shared" si="2"/>
        <v>6982800</v>
      </c>
      <c r="G27" s="191"/>
      <c r="H27" s="22">
        <f>2116000*1.1</f>
        <v>2327600</v>
      </c>
      <c r="I27" s="22">
        <v>0</v>
      </c>
      <c r="J27" s="22">
        <v>0</v>
      </c>
      <c r="K27" s="320"/>
      <c r="L27" s="323"/>
    </row>
    <row r="28" spans="1:12" ht="45" x14ac:dyDescent="0.25">
      <c r="A28" s="107">
        <v>3.6</v>
      </c>
      <c r="B28" s="85" t="s">
        <v>120</v>
      </c>
      <c r="C28" s="27" t="s">
        <v>82</v>
      </c>
      <c r="D28" s="20">
        <v>3</v>
      </c>
      <c r="E28" s="22">
        <f>4233306*1.1</f>
        <v>4656636.6000000006</v>
      </c>
      <c r="F28" s="22">
        <f>ROUND(+E28*D28,0)</f>
        <v>13969910</v>
      </c>
      <c r="G28" s="191"/>
      <c r="H28" s="22">
        <f>4233306*1.1</f>
        <v>4656636.6000000006</v>
      </c>
      <c r="I28" s="22">
        <f>2900000*1.19</f>
        <v>3451000</v>
      </c>
      <c r="J28" s="22">
        <v>0</v>
      </c>
      <c r="K28" s="320"/>
      <c r="L28" s="323"/>
    </row>
    <row r="29" spans="1:12" ht="133.5" customHeight="1" x14ac:dyDescent="0.25">
      <c r="A29" s="107">
        <v>3.7</v>
      </c>
      <c r="B29" s="85" t="s">
        <v>121</v>
      </c>
      <c r="C29" s="27" t="s">
        <v>82</v>
      </c>
      <c r="D29" s="20">
        <v>3</v>
      </c>
      <c r="E29" s="22">
        <f>2487100*1.1</f>
        <v>2735810</v>
      </c>
      <c r="F29" s="22">
        <f t="shared" si="2"/>
        <v>8207430</v>
      </c>
      <c r="G29" s="191"/>
      <c r="H29" s="22">
        <f>2487100*1.1</f>
        <v>2735810</v>
      </c>
      <c r="I29" s="22">
        <f>4350000*1.19</f>
        <v>5176500</v>
      </c>
      <c r="J29" s="22">
        <v>0</v>
      </c>
      <c r="K29" s="320"/>
      <c r="L29" s="323"/>
    </row>
    <row r="30" spans="1:12" ht="33.75" x14ac:dyDescent="0.25">
      <c r="A30" s="107">
        <v>3.8</v>
      </c>
      <c r="B30" s="85" t="s">
        <v>122</v>
      </c>
      <c r="C30" s="27" t="s">
        <v>82</v>
      </c>
      <c r="D30" s="20">
        <v>3</v>
      </c>
      <c r="E30" s="22">
        <f>279701*1.1</f>
        <v>307671.10000000003</v>
      </c>
      <c r="F30" s="22">
        <f>ROUND(+E30*D30,0)</f>
        <v>923013</v>
      </c>
      <c r="G30" s="191"/>
      <c r="H30" s="22">
        <f>279701*1.1</f>
        <v>307671.10000000003</v>
      </c>
      <c r="I30" s="22">
        <v>0</v>
      </c>
      <c r="J30" s="22">
        <v>0</v>
      </c>
      <c r="K30" s="320"/>
      <c r="L30" s="323"/>
    </row>
    <row r="31" spans="1:12" ht="33.75" x14ac:dyDescent="0.25">
      <c r="A31" s="107">
        <v>3.9</v>
      </c>
      <c r="B31" s="85" t="s">
        <v>123</v>
      </c>
      <c r="C31" s="27" t="s">
        <v>82</v>
      </c>
      <c r="D31" s="20">
        <v>3</v>
      </c>
      <c r="E31" s="22">
        <f>102809*1.1</f>
        <v>113089.90000000001</v>
      </c>
      <c r="F31" s="22">
        <f>ROUND(+E31*D31,0)</f>
        <v>339270</v>
      </c>
      <c r="G31" s="191"/>
      <c r="H31" s="22">
        <f>102809*1.1</f>
        <v>113089.90000000001</v>
      </c>
      <c r="I31" s="22">
        <v>0</v>
      </c>
      <c r="J31" s="22">
        <v>0</v>
      </c>
      <c r="K31" s="320"/>
      <c r="L31" s="323"/>
    </row>
    <row r="32" spans="1:12" ht="22.5" x14ac:dyDescent="0.25">
      <c r="A32" s="196">
        <v>3.1</v>
      </c>
      <c r="B32" s="85" t="s">
        <v>124</v>
      </c>
      <c r="C32" s="27" t="s">
        <v>82</v>
      </c>
      <c r="D32" s="20">
        <v>3</v>
      </c>
      <c r="E32" s="22">
        <f>2201500*1.1</f>
        <v>2421650</v>
      </c>
      <c r="F32" s="22">
        <f t="shared" si="2"/>
        <v>7264950</v>
      </c>
      <c r="G32" s="191"/>
      <c r="H32" s="22">
        <f>2201500*1.1</f>
        <v>2421650</v>
      </c>
      <c r="I32" s="22">
        <v>3400000</v>
      </c>
      <c r="J32" s="22">
        <v>0</v>
      </c>
      <c r="K32" s="320"/>
      <c r="L32" s="323"/>
    </row>
    <row r="33" spans="1:12" ht="22.5" x14ac:dyDescent="0.25">
      <c r="A33" s="107">
        <v>3.11</v>
      </c>
      <c r="B33" s="85" t="s">
        <v>129</v>
      </c>
      <c r="C33" s="27" t="s">
        <v>82</v>
      </c>
      <c r="D33" s="20">
        <v>30</v>
      </c>
      <c r="E33" s="22">
        <f>15000*1.1</f>
        <v>16500</v>
      </c>
      <c r="F33" s="22">
        <f t="shared" si="2"/>
        <v>495000</v>
      </c>
      <c r="G33" s="191"/>
      <c r="H33" s="22">
        <f>15000*1.1</f>
        <v>16500</v>
      </c>
      <c r="I33" s="22">
        <f>18000*1.19</f>
        <v>21420</v>
      </c>
      <c r="J33" s="22">
        <v>0</v>
      </c>
      <c r="K33" s="320"/>
      <c r="L33" s="323"/>
    </row>
    <row r="34" spans="1:12" ht="33.75" x14ac:dyDescent="0.25">
      <c r="A34" s="196">
        <v>3.12</v>
      </c>
      <c r="B34" s="85" t="s">
        <v>125</v>
      </c>
      <c r="C34" s="27" t="s">
        <v>82</v>
      </c>
      <c r="D34" s="20">
        <v>15</v>
      </c>
      <c r="E34" s="22">
        <f>20230*1.1</f>
        <v>22253</v>
      </c>
      <c r="F34" s="22">
        <f t="shared" si="2"/>
        <v>333795</v>
      </c>
      <c r="G34" s="191"/>
      <c r="H34" s="22">
        <f>20230*1.1</f>
        <v>22253</v>
      </c>
      <c r="I34" s="22">
        <f>133333.33*1.19</f>
        <v>158666.66269999999</v>
      </c>
      <c r="J34" s="22">
        <v>0</v>
      </c>
      <c r="K34" s="320"/>
      <c r="L34" s="323"/>
    </row>
    <row r="35" spans="1:12" ht="22.5" x14ac:dyDescent="0.25">
      <c r="A35" s="107">
        <v>3.13</v>
      </c>
      <c r="B35" s="85" t="s">
        <v>126</v>
      </c>
      <c r="C35" s="27" t="s">
        <v>82</v>
      </c>
      <c r="D35" s="20">
        <v>3</v>
      </c>
      <c r="E35" s="22">
        <f>29750*1.1</f>
        <v>32725.000000000004</v>
      </c>
      <c r="F35" s="22">
        <f t="shared" si="2"/>
        <v>98175.000000000015</v>
      </c>
      <c r="G35" s="191"/>
      <c r="H35" s="22">
        <f>29750*1.1</f>
        <v>32725.000000000004</v>
      </c>
      <c r="I35" s="22">
        <v>0</v>
      </c>
      <c r="J35" s="22">
        <v>0</v>
      </c>
      <c r="K35" s="320"/>
      <c r="L35" s="323"/>
    </row>
    <row r="36" spans="1:12" ht="33.75" x14ac:dyDescent="0.25">
      <c r="A36" s="196">
        <v>3.14</v>
      </c>
      <c r="B36" s="85" t="s">
        <v>127</v>
      </c>
      <c r="C36" s="27" t="s">
        <v>82</v>
      </c>
      <c r="D36" s="20">
        <v>3</v>
      </c>
      <c r="E36" s="22">
        <f>71400*1.1</f>
        <v>78540</v>
      </c>
      <c r="F36" s="22">
        <f t="shared" si="2"/>
        <v>235620</v>
      </c>
      <c r="G36" s="191"/>
      <c r="H36" s="22">
        <f>71400*1.1</f>
        <v>78540</v>
      </c>
      <c r="I36" s="22">
        <v>0</v>
      </c>
      <c r="J36" s="22">
        <v>0</v>
      </c>
      <c r="K36" s="320"/>
      <c r="L36" s="323"/>
    </row>
    <row r="37" spans="1:12" x14ac:dyDescent="0.25">
      <c r="A37" s="107">
        <v>3.15</v>
      </c>
      <c r="B37" s="85" t="s">
        <v>128</v>
      </c>
      <c r="C37" s="27" t="s">
        <v>82</v>
      </c>
      <c r="D37" s="20">
        <v>3</v>
      </c>
      <c r="E37" s="22">
        <f>142800*1.1</f>
        <v>157080</v>
      </c>
      <c r="F37" s="22">
        <f t="shared" si="2"/>
        <v>471240</v>
      </c>
      <c r="G37" s="191"/>
      <c r="H37" s="22">
        <f>142800*1.1</f>
        <v>157080</v>
      </c>
      <c r="I37" s="22">
        <f>380000*1.19</f>
        <v>452200</v>
      </c>
      <c r="J37" s="22">
        <v>0</v>
      </c>
      <c r="K37" s="320"/>
      <c r="L37" s="323"/>
    </row>
    <row r="38" spans="1:12" ht="33.75" x14ac:dyDescent="0.25">
      <c r="A38" s="196">
        <v>3.16</v>
      </c>
      <c r="B38" s="85" t="s">
        <v>130</v>
      </c>
      <c r="C38" s="27" t="s">
        <v>82</v>
      </c>
      <c r="D38" s="20">
        <v>3</v>
      </c>
      <c r="E38" s="22">
        <f>105900*1.1</f>
        <v>116490.00000000001</v>
      </c>
      <c r="F38" s="22">
        <f t="shared" si="2"/>
        <v>349470.00000000006</v>
      </c>
      <c r="G38" s="191"/>
      <c r="H38" s="22">
        <f>105900*1.1</f>
        <v>116490.00000000001</v>
      </c>
      <c r="I38" s="22">
        <f>550000*1.19</f>
        <v>654500</v>
      </c>
      <c r="J38" s="22">
        <v>0</v>
      </c>
      <c r="K38" s="320"/>
      <c r="L38" s="323"/>
    </row>
    <row r="39" spans="1:12" x14ac:dyDescent="0.25">
      <c r="A39" s="107">
        <v>3.17</v>
      </c>
      <c r="B39" s="85" t="s">
        <v>131</v>
      </c>
      <c r="C39" s="27" t="s">
        <v>82</v>
      </c>
      <c r="D39" s="20">
        <v>3</v>
      </c>
      <c r="E39" s="22">
        <f>10115000*1.1</f>
        <v>11126500</v>
      </c>
      <c r="F39" s="22">
        <f t="shared" si="2"/>
        <v>33379500</v>
      </c>
      <c r="G39" s="191"/>
      <c r="H39" s="22">
        <f>10115000*1.1</f>
        <v>11126500</v>
      </c>
      <c r="I39" s="22">
        <v>0</v>
      </c>
      <c r="J39" s="22">
        <v>57576960</v>
      </c>
      <c r="K39" s="320"/>
      <c r="L39" s="323"/>
    </row>
    <row r="40" spans="1:12" ht="56.25" x14ac:dyDescent="0.25">
      <c r="A40" s="196">
        <v>3.18</v>
      </c>
      <c r="B40" s="85" t="s">
        <v>132</v>
      </c>
      <c r="C40" s="27" t="s">
        <v>82</v>
      </c>
      <c r="D40" s="20">
        <v>3</v>
      </c>
      <c r="E40" s="22">
        <f>952000*1.1</f>
        <v>1047200.0000000001</v>
      </c>
      <c r="F40" s="22">
        <f t="shared" si="2"/>
        <v>3141600.0000000005</v>
      </c>
      <c r="G40" s="191"/>
      <c r="H40" s="22">
        <f>952000*1.1</f>
        <v>1047200.0000000001</v>
      </c>
      <c r="I40" s="22">
        <f>2150000*1.19</f>
        <v>2558500</v>
      </c>
      <c r="J40" s="22">
        <v>0</v>
      </c>
      <c r="K40" s="320"/>
      <c r="L40" s="323"/>
    </row>
    <row r="41" spans="1:12" ht="45" x14ac:dyDescent="0.25">
      <c r="A41" s="197">
        <v>3.19</v>
      </c>
      <c r="B41" s="158" t="s">
        <v>154</v>
      </c>
      <c r="C41" s="159" t="s">
        <v>82</v>
      </c>
      <c r="D41" s="157">
        <v>3</v>
      </c>
      <c r="E41" s="160">
        <f>4998000*1.1</f>
        <v>5497800</v>
      </c>
      <c r="F41" s="160">
        <f t="shared" si="2"/>
        <v>16493400</v>
      </c>
      <c r="G41" s="191"/>
      <c r="H41" s="160">
        <f>4998000*1.1</f>
        <v>5497800</v>
      </c>
      <c r="I41" s="160">
        <f>7200000*1.19</f>
        <v>8568000</v>
      </c>
      <c r="J41" s="160">
        <v>0</v>
      </c>
      <c r="K41" s="320"/>
      <c r="L41" s="323"/>
    </row>
    <row r="42" spans="1:12" ht="12" thickBot="1" x14ac:dyDescent="0.3">
      <c r="A42" s="198"/>
      <c r="B42" s="311" t="s">
        <v>230</v>
      </c>
      <c r="C42" s="311"/>
      <c r="D42" s="311"/>
      <c r="E42" s="311"/>
      <c r="F42" s="199">
        <f>+F9+F5</f>
        <v>1302791103</v>
      </c>
      <c r="G42" s="199"/>
      <c r="H42" s="200"/>
      <c r="I42" s="201"/>
      <c r="J42" s="201"/>
      <c r="K42" s="321"/>
      <c r="L42" s="324"/>
    </row>
    <row r="43" spans="1:12" x14ac:dyDescent="0.25">
      <c r="K43" s="167"/>
    </row>
    <row r="46" spans="1:12" ht="12" x14ac:dyDescent="0.25">
      <c r="B46" s="233" t="s">
        <v>287</v>
      </c>
    </row>
    <row r="47" spans="1:12" ht="12" x14ac:dyDescent="0.25">
      <c r="B47" s="10" t="s">
        <v>288</v>
      </c>
    </row>
  </sheetData>
  <mergeCells count="14">
    <mergeCell ref="H3:L3"/>
    <mergeCell ref="A2:L2"/>
    <mergeCell ref="K7:K9"/>
    <mergeCell ref="L7:L9"/>
    <mergeCell ref="B42:E42"/>
    <mergeCell ref="A3:F3"/>
    <mergeCell ref="H4:J5"/>
    <mergeCell ref="A15:F15"/>
    <mergeCell ref="K16:K42"/>
    <mergeCell ref="L16:L42"/>
    <mergeCell ref="K10:K15"/>
    <mergeCell ref="L10:L15"/>
    <mergeCell ref="K4:K5"/>
    <mergeCell ref="L4:L5"/>
  </mergeCells>
  <printOptions horizontalCentered="1"/>
  <pageMargins left="0.23622047244094491" right="0.23622047244094491" top="0.74803149606299213" bottom="0.74803149606299213" header="0.31496062992125984" footer="0.31496062992125984"/>
  <pageSetup scale="77" fitToHeight="4" orientation="landscape" r:id="rId1"/>
  <rowBreaks count="2" manualBreakCount="2">
    <brk id="15" max="16383" man="1"/>
    <brk id="26" max="11" man="1"/>
  </rowBreaks>
  <colBreaks count="1" manualBreakCount="1">
    <brk id="1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H44"/>
  <sheetViews>
    <sheetView topLeftCell="A16" workbookViewId="0">
      <selection activeCell="J14" sqref="J14"/>
    </sheetView>
  </sheetViews>
  <sheetFormatPr baseColWidth="10" defaultRowHeight="15" x14ac:dyDescent="0.25"/>
  <cols>
    <col min="7" max="7" width="15.5703125" bestFit="1" customWidth="1"/>
    <col min="8" max="8" width="13" bestFit="1" customWidth="1"/>
  </cols>
  <sheetData>
    <row r="4" spans="2:8" x14ac:dyDescent="0.25">
      <c r="C4" s="333" t="s">
        <v>46</v>
      </c>
      <c r="D4" s="334"/>
      <c r="E4" s="334"/>
      <c r="F4" s="334"/>
      <c r="G4" s="334"/>
      <c r="H4" s="335"/>
    </row>
    <row r="5" spans="2:8" ht="45" x14ac:dyDescent="0.25">
      <c r="C5" s="2" t="s">
        <v>47</v>
      </c>
      <c r="D5" s="8" t="s">
        <v>48</v>
      </c>
      <c r="E5" s="2" t="s">
        <v>49</v>
      </c>
      <c r="F5" s="2" t="s">
        <v>50</v>
      </c>
      <c r="G5" s="2" t="s">
        <v>51</v>
      </c>
      <c r="H5" s="8" t="s">
        <v>52</v>
      </c>
    </row>
    <row r="6" spans="2:8" x14ac:dyDescent="0.25">
      <c r="B6" s="2" t="s">
        <v>6</v>
      </c>
      <c r="C6" s="3">
        <f>SUM(C7:C44)</f>
        <v>1126</v>
      </c>
      <c r="D6" s="3" t="s">
        <v>7</v>
      </c>
      <c r="E6" s="4">
        <f>+G6+H6</f>
        <v>1688049493</v>
      </c>
      <c r="F6" s="4">
        <v>0</v>
      </c>
      <c r="G6" s="4">
        <f>SUM(G7:G44)</f>
        <v>1638049494</v>
      </c>
      <c r="H6" s="4">
        <f>SUM(H7:H44)</f>
        <v>49999999</v>
      </c>
    </row>
    <row r="7" spans="2:8" x14ac:dyDescent="0.25">
      <c r="B7" s="2" t="s">
        <v>8</v>
      </c>
      <c r="C7" s="3"/>
      <c r="D7" s="1"/>
      <c r="E7" s="1"/>
      <c r="F7" s="1"/>
      <c r="G7" s="1"/>
      <c r="H7" s="1"/>
    </row>
    <row r="8" spans="2:8" x14ac:dyDescent="0.25">
      <c r="B8" s="5" t="s">
        <v>9</v>
      </c>
      <c r="C8" s="3">
        <v>65</v>
      </c>
      <c r="D8" s="1"/>
      <c r="E8" s="1"/>
      <c r="F8" s="1"/>
      <c r="G8" s="6">
        <v>152000000</v>
      </c>
      <c r="H8" s="1">
        <v>0</v>
      </c>
    </row>
    <row r="9" spans="2:8" x14ac:dyDescent="0.25">
      <c r="B9" s="5" t="s">
        <v>10</v>
      </c>
      <c r="C9" s="3"/>
      <c r="D9" s="1"/>
      <c r="E9" s="1"/>
      <c r="F9" s="1"/>
      <c r="G9" s="7"/>
      <c r="H9" s="1"/>
    </row>
    <row r="10" spans="2:8" x14ac:dyDescent="0.25">
      <c r="B10" s="5" t="s">
        <v>11</v>
      </c>
      <c r="C10" s="3"/>
      <c r="D10" s="1"/>
      <c r="E10" s="1"/>
      <c r="F10" s="1"/>
      <c r="G10" s="7"/>
      <c r="H10" s="1"/>
    </row>
    <row r="11" spans="2:8" x14ac:dyDescent="0.25">
      <c r="B11" s="5" t="s">
        <v>12</v>
      </c>
      <c r="C11" s="3"/>
      <c r="D11" s="1"/>
      <c r="E11" s="1"/>
      <c r="F11" s="1"/>
      <c r="G11" s="7"/>
      <c r="H11" s="1"/>
    </row>
    <row r="12" spans="2:8" x14ac:dyDescent="0.25">
      <c r="B12" s="5" t="s">
        <v>13</v>
      </c>
      <c r="C12" s="3"/>
      <c r="D12" s="1"/>
      <c r="E12" s="1"/>
      <c r="F12" s="1"/>
      <c r="G12" s="7"/>
      <c r="H12" s="1"/>
    </row>
    <row r="13" spans="2:8" x14ac:dyDescent="0.25">
      <c r="B13" s="5" t="s">
        <v>14</v>
      </c>
      <c r="C13" s="3"/>
      <c r="D13" s="1"/>
      <c r="E13" s="1"/>
      <c r="F13" s="1"/>
      <c r="G13" s="7"/>
      <c r="H13" s="1"/>
    </row>
    <row r="14" spans="2:8" ht="30" x14ac:dyDescent="0.25">
      <c r="B14" s="5" t="s">
        <v>15</v>
      </c>
      <c r="C14" s="3"/>
      <c r="D14" s="1"/>
      <c r="E14" s="1"/>
      <c r="F14" s="1"/>
      <c r="G14" s="7"/>
      <c r="H14" s="1"/>
    </row>
    <row r="15" spans="2:8" x14ac:dyDescent="0.25">
      <c r="B15" s="5" t="s">
        <v>16</v>
      </c>
      <c r="C15" s="3">
        <v>40</v>
      </c>
      <c r="D15" s="1"/>
      <c r="E15" s="1"/>
      <c r="F15" s="1"/>
      <c r="G15" s="6">
        <f>42857142+80000000</f>
        <v>122857142</v>
      </c>
      <c r="H15" s="4">
        <v>7142857</v>
      </c>
    </row>
    <row r="16" spans="2:8" x14ac:dyDescent="0.25">
      <c r="B16" s="5" t="s">
        <v>17</v>
      </c>
      <c r="C16" s="3"/>
      <c r="D16" s="1"/>
      <c r="E16" s="1"/>
      <c r="F16" s="1"/>
      <c r="G16" s="7"/>
      <c r="H16" s="1"/>
    </row>
    <row r="17" spans="2:8" x14ac:dyDescent="0.25">
      <c r="B17" s="5" t="s">
        <v>18</v>
      </c>
      <c r="C17" s="3"/>
      <c r="D17" s="1"/>
      <c r="E17" s="1"/>
      <c r="F17" s="1"/>
      <c r="G17" s="7"/>
      <c r="H17" s="1"/>
    </row>
    <row r="18" spans="2:8" x14ac:dyDescent="0.25">
      <c r="B18" s="5" t="s">
        <v>19</v>
      </c>
      <c r="C18" s="3"/>
      <c r="D18" s="1"/>
      <c r="E18" s="1"/>
      <c r="F18" s="1"/>
      <c r="G18" s="7"/>
      <c r="H18" s="1"/>
    </row>
    <row r="19" spans="2:8" x14ac:dyDescent="0.25">
      <c r="B19" s="5" t="s">
        <v>20</v>
      </c>
      <c r="C19" s="3"/>
      <c r="D19" s="1"/>
      <c r="E19" s="1"/>
      <c r="F19" s="1"/>
      <c r="G19" s="7"/>
      <c r="H19" s="1"/>
    </row>
    <row r="20" spans="2:8" x14ac:dyDescent="0.25">
      <c r="B20" s="5" t="s">
        <v>21</v>
      </c>
      <c r="C20" s="3"/>
      <c r="D20" s="1"/>
      <c r="E20" s="1"/>
      <c r="F20" s="1"/>
      <c r="G20" s="7"/>
      <c r="H20" s="1"/>
    </row>
    <row r="21" spans="2:8" x14ac:dyDescent="0.25">
      <c r="B21" s="5" t="s">
        <v>22</v>
      </c>
      <c r="C21" s="3">
        <v>126</v>
      </c>
      <c r="D21" s="1"/>
      <c r="E21" s="1"/>
      <c r="F21" s="1"/>
      <c r="G21" s="6">
        <v>70000000</v>
      </c>
      <c r="H21" s="1"/>
    </row>
    <row r="22" spans="2:8" x14ac:dyDescent="0.25">
      <c r="B22" s="5" t="s">
        <v>23</v>
      </c>
      <c r="C22" s="3"/>
      <c r="D22" s="1"/>
      <c r="E22" s="1"/>
      <c r="F22" s="1"/>
      <c r="G22" s="7"/>
      <c r="H22" s="1"/>
    </row>
    <row r="23" spans="2:8" ht="30" x14ac:dyDescent="0.25">
      <c r="B23" s="5" t="s">
        <v>24</v>
      </c>
      <c r="C23" s="3"/>
      <c r="D23" s="1"/>
      <c r="E23" s="1"/>
      <c r="F23" s="1"/>
      <c r="G23" s="7"/>
      <c r="H23" s="1"/>
    </row>
    <row r="24" spans="2:8" x14ac:dyDescent="0.25">
      <c r="B24" s="5" t="s">
        <v>25</v>
      </c>
      <c r="C24" s="3">
        <v>60</v>
      </c>
      <c r="D24" s="1"/>
      <c r="E24" s="1"/>
      <c r="F24" s="1"/>
      <c r="G24" s="6">
        <f>+G31*2</f>
        <v>85714284</v>
      </c>
      <c r="H24" s="4">
        <f>+H31*2</f>
        <v>14285714</v>
      </c>
    </row>
    <row r="25" spans="2:8" x14ac:dyDescent="0.25">
      <c r="B25" s="5" t="s">
        <v>26</v>
      </c>
      <c r="C25" s="3"/>
      <c r="D25" s="1"/>
      <c r="E25" s="1"/>
      <c r="F25" s="1"/>
      <c r="G25" s="7"/>
      <c r="H25" s="1"/>
    </row>
    <row r="26" spans="2:8" x14ac:dyDescent="0.25">
      <c r="B26" s="5" t="s">
        <v>27</v>
      </c>
      <c r="C26" s="3"/>
      <c r="D26" s="1"/>
      <c r="E26" s="1"/>
      <c r="F26" s="1"/>
      <c r="G26" s="7"/>
      <c r="H26" s="1"/>
    </row>
    <row r="27" spans="2:8" x14ac:dyDescent="0.25">
      <c r="B27" s="5" t="s">
        <v>28</v>
      </c>
      <c r="C27" s="3"/>
      <c r="D27" s="1"/>
      <c r="E27" s="1"/>
      <c r="F27" s="1"/>
      <c r="G27" s="7"/>
      <c r="H27" s="1"/>
    </row>
    <row r="28" spans="2:8" x14ac:dyDescent="0.25">
      <c r="B28" s="5" t="s">
        <v>29</v>
      </c>
      <c r="C28" s="3"/>
      <c r="D28" s="1"/>
      <c r="E28" s="1"/>
      <c r="F28" s="1"/>
      <c r="G28" s="7"/>
      <c r="H28" s="1"/>
    </row>
    <row r="29" spans="2:8" x14ac:dyDescent="0.25">
      <c r="B29" s="5" t="s">
        <v>30</v>
      </c>
      <c r="C29" s="3">
        <f>35+80</f>
        <v>115</v>
      </c>
      <c r="D29" s="1"/>
      <c r="E29" s="1"/>
      <c r="F29" s="1"/>
      <c r="G29" s="6">
        <f>(62870*3850)+152000000</f>
        <v>394049500</v>
      </c>
      <c r="H29" s="1"/>
    </row>
    <row r="30" spans="2:8" x14ac:dyDescent="0.25">
      <c r="B30" s="5" t="s">
        <v>31</v>
      </c>
      <c r="C30" s="3"/>
      <c r="D30" s="1"/>
      <c r="E30" s="1"/>
      <c r="F30" s="1"/>
      <c r="G30" s="7"/>
      <c r="H30" s="1"/>
    </row>
    <row r="31" spans="2:8" x14ac:dyDescent="0.25">
      <c r="B31" s="5" t="s">
        <v>32</v>
      </c>
      <c r="C31" s="3">
        <v>50</v>
      </c>
      <c r="D31" s="1"/>
      <c r="E31" s="1"/>
      <c r="F31" s="1"/>
      <c r="G31" s="6">
        <v>42857142</v>
      </c>
      <c r="H31" s="4">
        <v>7142857</v>
      </c>
    </row>
    <row r="32" spans="2:8" x14ac:dyDescent="0.25">
      <c r="B32" s="5" t="s">
        <v>33</v>
      </c>
      <c r="C32" s="3"/>
      <c r="D32" s="1"/>
      <c r="E32" s="1"/>
      <c r="F32" s="1"/>
      <c r="G32" s="6">
        <v>280000000</v>
      </c>
      <c r="H32" s="1"/>
    </row>
    <row r="33" spans="2:8" x14ac:dyDescent="0.25">
      <c r="B33" s="5" t="s">
        <v>34</v>
      </c>
      <c r="C33" s="3"/>
      <c r="D33" s="1"/>
      <c r="E33" s="1"/>
      <c r="F33" s="1"/>
      <c r="G33" s="7"/>
      <c r="H33" s="1"/>
    </row>
    <row r="34" spans="2:8" ht="30" x14ac:dyDescent="0.25">
      <c r="B34" s="5" t="s">
        <v>35</v>
      </c>
      <c r="C34" s="3"/>
      <c r="D34" s="1"/>
      <c r="E34" s="1"/>
      <c r="F34" s="1"/>
      <c r="G34" s="7"/>
      <c r="H34" s="1"/>
    </row>
    <row r="35" spans="2:8" x14ac:dyDescent="0.25">
      <c r="B35" s="5" t="s">
        <v>36</v>
      </c>
      <c r="C35" s="3">
        <v>110</v>
      </c>
      <c r="D35" s="1"/>
      <c r="E35" s="1"/>
      <c r="F35" s="1"/>
      <c r="G35" s="6">
        <f>+G36*2</f>
        <v>85714284</v>
      </c>
      <c r="H35" s="4">
        <f>+H36*2</f>
        <v>14285714</v>
      </c>
    </row>
    <row r="36" spans="2:8" x14ac:dyDescent="0.25">
      <c r="B36" s="5" t="s">
        <v>37</v>
      </c>
      <c r="C36" s="3">
        <v>150</v>
      </c>
      <c r="D36" s="1"/>
      <c r="E36" s="1"/>
      <c r="F36" s="1"/>
      <c r="G36" s="6">
        <v>42857142</v>
      </c>
      <c r="H36" s="4">
        <v>7142857</v>
      </c>
    </row>
    <row r="37" spans="2:8" x14ac:dyDescent="0.25">
      <c r="B37" s="5" t="s">
        <v>38</v>
      </c>
      <c r="C37" s="3"/>
      <c r="D37" s="1"/>
      <c r="E37" s="1"/>
      <c r="F37" s="1"/>
      <c r="G37" s="7"/>
      <c r="H37" s="1"/>
    </row>
    <row r="38" spans="2:8" x14ac:dyDescent="0.25">
      <c r="B38" s="5" t="s">
        <v>39</v>
      </c>
      <c r="C38" s="3">
        <v>350</v>
      </c>
      <c r="D38" s="1"/>
      <c r="E38" s="1"/>
      <c r="F38" s="1"/>
      <c r="G38" s="6">
        <v>140000000</v>
      </c>
      <c r="H38" s="1"/>
    </row>
    <row r="39" spans="2:8" x14ac:dyDescent="0.25">
      <c r="B39" s="5" t="s">
        <v>40</v>
      </c>
      <c r="C39" s="3">
        <v>25</v>
      </c>
      <c r="D39" s="1"/>
      <c r="E39" s="1"/>
      <c r="F39" s="1"/>
      <c r="G39" s="6">
        <v>70000000</v>
      </c>
      <c r="H39" s="1"/>
    </row>
    <row r="40" spans="2:8" x14ac:dyDescent="0.25">
      <c r="B40" s="5" t="s">
        <v>41</v>
      </c>
      <c r="C40" s="3">
        <v>35</v>
      </c>
      <c r="D40" s="1"/>
      <c r="E40" s="1"/>
      <c r="F40" s="1"/>
      <c r="G40" s="6">
        <v>152000000</v>
      </c>
      <c r="H40" s="1"/>
    </row>
    <row r="41" spans="2:8" x14ac:dyDescent="0.25">
      <c r="B41" s="5" t="s">
        <v>42</v>
      </c>
      <c r="C41" s="3"/>
      <c r="D41" s="1"/>
      <c r="E41" s="1"/>
      <c r="F41" s="1"/>
      <c r="G41" s="7"/>
      <c r="H41" s="1"/>
    </row>
    <row r="42" spans="2:8" x14ac:dyDescent="0.25">
      <c r="B42" s="5" t="s">
        <v>43</v>
      </c>
      <c r="C42" s="3"/>
      <c r="D42" s="1"/>
      <c r="E42" s="1"/>
      <c r="F42" s="1"/>
      <c r="G42" s="1"/>
      <c r="H42" s="1"/>
    </row>
    <row r="43" spans="2:8" x14ac:dyDescent="0.25">
      <c r="B43" s="5" t="s">
        <v>44</v>
      </c>
      <c r="C43" s="3"/>
      <c r="D43" s="1"/>
      <c r="E43" s="1"/>
      <c r="F43" s="1"/>
      <c r="G43" s="1"/>
      <c r="H43" s="1"/>
    </row>
    <row r="44" spans="2:8" x14ac:dyDescent="0.25">
      <c r="B44" s="5" t="s">
        <v>45</v>
      </c>
      <c r="C44" s="3"/>
      <c r="D44" s="1"/>
      <c r="E44" s="1"/>
      <c r="F44" s="1"/>
      <c r="G44" s="1"/>
      <c r="H44" s="1"/>
    </row>
  </sheetData>
  <mergeCells count="1">
    <mergeCell ref="C4:H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51"/>
  <sheetViews>
    <sheetView showGridLines="0" workbookViewId="0">
      <selection activeCell="C54" sqref="C54"/>
    </sheetView>
  </sheetViews>
  <sheetFormatPr baseColWidth="10" defaultRowHeight="16.5" x14ac:dyDescent="0.3"/>
  <cols>
    <col min="1" max="1" width="2.140625" style="98" customWidth="1"/>
    <col min="2" max="2" width="18.42578125" style="98" customWidth="1"/>
    <col min="3" max="3" width="68.140625" style="98" customWidth="1"/>
    <col min="4" max="4" width="7" style="98" bestFit="1" customWidth="1"/>
    <col min="5" max="5" width="8.5703125" style="98" bestFit="1" customWidth="1"/>
    <col min="6" max="6" width="13.42578125" style="98" bestFit="1" customWidth="1"/>
    <col min="7" max="7" width="15.140625" style="98" bestFit="1" customWidth="1"/>
    <col min="8" max="8" width="2.42578125" style="98" customWidth="1"/>
    <col min="9" max="16384" width="11.42578125" style="98"/>
  </cols>
  <sheetData>
    <row r="2" spans="2:7" x14ac:dyDescent="0.3">
      <c r="B2" s="97" t="s">
        <v>160</v>
      </c>
    </row>
    <row r="3" spans="2:7" x14ac:dyDescent="0.3">
      <c r="B3" s="97" t="s">
        <v>161</v>
      </c>
    </row>
    <row r="4" spans="2:7" x14ac:dyDescent="0.3">
      <c r="B4" s="97" t="s">
        <v>162</v>
      </c>
    </row>
    <row r="5" spans="2:7" x14ac:dyDescent="0.3">
      <c r="B5" s="97" t="s">
        <v>163</v>
      </c>
    </row>
    <row r="6" spans="2:7" x14ac:dyDescent="0.3">
      <c r="B6" s="97" t="s">
        <v>164</v>
      </c>
    </row>
    <row r="7" spans="2:7" x14ac:dyDescent="0.3">
      <c r="B7" s="97" t="s">
        <v>165</v>
      </c>
    </row>
    <row r="8" spans="2:7" x14ac:dyDescent="0.3">
      <c r="B8" s="97"/>
      <c r="F8" s="99" t="s">
        <v>171</v>
      </c>
      <c r="G8" s="99" t="s">
        <v>217</v>
      </c>
    </row>
    <row r="9" spans="2:7" x14ac:dyDescent="0.3">
      <c r="B9" s="97"/>
    </row>
    <row r="10" spans="2:7" x14ac:dyDescent="0.3">
      <c r="B10" s="349" t="s">
        <v>170</v>
      </c>
      <c r="C10" s="349"/>
      <c r="D10" s="349"/>
      <c r="E10" s="349"/>
      <c r="F10" s="100"/>
      <c r="G10" s="100"/>
    </row>
    <row r="11" spans="2:7" x14ac:dyDescent="0.3">
      <c r="B11" s="350" t="s">
        <v>168</v>
      </c>
      <c r="C11" s="350"/>
      <c r="D11" s="350"/>
      <c r="E11" s="350"/>
      <c r="F11" s="100" t="s">
        <v>172</v>
      </c>
      <c r="G11" s="101">
        <v>44770</v>
      </c>
    </row>
    <row r="12" spans="2:7" x14ac:dyDescent="0.3">
      <c r="B12" s="350" t="s">
        <v>169</v>
      </c>
      <c r="C12" s="350"/>
      <c r="D12" s="350"/>
      <c r="E12" s="350"/>
      <c r="F12" s="100"/>
      <c r="G12" s="100"/>
    </row>
    <row r="13" spans="2:7" x14ac:dyDescent="0.3">
      <c r="B13" s="350" t="s">
        <v>166</v>
      </c>
      <c r="C13" s="350"/>
      <c r="D13" s="350"/>
      <c r="E13" s="350"/>
      <c r="F13" s="100"/>
      <c r="G13" s="100"/>
    </row>
    <row r="14" spans="2:7" x14ac:dyDescent="0.3">
      <c r="B14" s="350" t="s">
        <v>167</v>
      </c>
      <c r="C14" s="350"/>
      <c r="D14" s="350"/>
      <c r="E14" s="350"/>
      <c r="F14" s="100"/>
      <c r="G14" s="100"/>
    </row>
    <row r="16" spans="2:7" ht="45.75" customHeight="1" x14ac:dyDescent="0.3">
      <c r="B16" s="345" t="s">
        <v>173</v>
      </c>
      <c r="C16" s="345"/>
      <c r="D16" s="345"/>
      <c r="E16" s="345"/>
      <c r="F16" s="345"/>
      <c r="G16" s="345"/>
    </row>
    <row r="18" spans="2:7" x14ac:dyDescent="0.3">
      <c r="B18" s="98" t="s">
        <v>174</v>
      </c>
    </row>
    <row r="20" spans="2:7" ht="17.25" thickBot="1" x14ac:dyDescent="0.35">
      <c r="B20" s="346" t="s">
        <v>175</v>
      </c>
      <c r="C20" s="346"/>
      <c r="D20" s="346"/>
      <c r="E20" s="346"/>
      <c r="F20" s="346"/>
      <c r="G20" s="346"/>
    </row>
    <row r="21" spans="2:7" ht="25.5" customHeight="1" thickBot="1" x14ac:dyDescent="0.35">
      <c r="B21" s="115" t="s">
        <v>0</v>
      </c>
      <c r="C21" s="116" t="s">
        <v>76</v>
      </c>
      <c r="D21" s="116" t="s">
        <v>77</v>
      </c>
      <c r="E21" s="116" t="s">
        <v>3</v>
      </c>
      <c r="F21" s="116" t="s">
        <v>4</v>
      </c>
      <c r="G21" s="117" t="s">
        <v>5</v>
      </c>
    </row>
    <row r="22" spans="2:7" x14ac:dyDescent="0.3">
      <c r="B22" s="118">
        <v>1</v>
      </c>
      <c r="C22" s="119" t="s">
        <v>115</v>
      </c>
      <c r="D22" s="120" t="s">
        <v>82</v>
      </c>
      <c r="E22" s="121">
        <v>1</v>
      </c>
      <c r="F22" s="122">
        <f>1428000*1.1</f>
        <v>1570800.0000000002</v>
      </c>
      <c r="G22" s="123">
        <f t="shared" ref="G22:G40" si="0">+F22*E22</f>
        <v>1570800.0000000002</v>
      </c>
    </row>
    <row r="23" spans="2:7" ht="22.5" x14ac:dyDescent="0.3">
      <c r="B23" s="107">
        <v>2</v>
      </c>
      <c r="C23" s="85" t="s">
        <v>116</v>
      </c>
      <c r="D23" s="27" t="s">
        <v>82</v>
      </c>
      <c r="E23" s="20">
        <v>1</v>
      </c>
      <c r="F23" s="124">
        <f>3927000*1.1</f>
        <v>4319700</v>
      </c>
      <c r="G23" s="125">
        <f t="shared" si="0"/>
        <v>4319700</v>
      </c>
    </row>
    <row r="24" spans="2:7" ht="22.5" x14ac:dyDescent="0.3">
      <c r="B24" s="107">
        <v>3</v>
      </c>
      <c r="C24" s="85" t="s">
        <v>117</v>
      </c>
      <c r="D24" s="27" t="s">
        <v>82</v>
      </c>
      <c r="E24" s="20">
        <v>1</v>
      </c>
      <c r="F24" s="124">
        <f>36900000*1.1</f>
        <v>40590000</v>
      </c>
      <c r="G24" s="125">
        <f t="shared" si="0"/>
        <v>40590000</v>
      </c>
    </row>
    <row r="25" spans="2:7" ht="33.75" x14ac:dyDescent="0.3">
      <c r="B25" s="107">
        <v>4</v>
      </c>
      <c r="C25" s="85" t="s">
        <v>118</v>
      </c>
      <c r="D25" s="27" t="s">
        <v>82</v>
      </c>
      <c r="E25" s="20">
        <v>1</v>
      </c>
      <c r="F25" s="124">
        <f>6188000*1.1</f>
        <v>6806800.0000000009</v>
      </c>
      <c r="G25" s="125">
        <f t="shared" si="0"/>
        <v>6806800.0000000009</v>
      </c>
    </row>
    <row r="26" spans="2:7" ht="22.5" x14ac:dyDescent="0.3">
      <c r="B26" s="107">
        <v>5</v>
      </c>
      <c r="C26" s="85" t="s">
        <v>119</v>
      </c>
      <c r="D26" s="27" t="s">
        <v>82</v>
      </c>
      <c r="E26" s="20">
        <v>1</v>
      </c>
      <c r="F26" s="124">
        <f>2116000*1.1</f>
        <v>2327600</v>
      </c>
      <c r="G26" s="125">
        <f t="shared" si="0"/>
        <v>2327600</v>
      </c>
    </row>
    <row r="27" spans="2:7" ht="22.5" x14ac:dyDescent="0.3">
      <c r="B27" s="107">
        <v>6</v>
      </c>
      <c r="C27" s="85" t="s">
        <v>120</v>
      </c>
      <c r="D27" s="27" t="s">
        <v>82</v>
      </c>
      <c r="E27" s="20">
        <v>1</v>
      </c>
      <c r="F27" s="124">
        <f>4233306*1.1</f>
        <v>4656636.6000000006</v>
      </c>
      <c r="G27" s="125">
        <f t="shared" si="0"/>
        <v>4656636.6000000006</v>
      </c>
    </row>
    <row r="28" spans="2:7" ht="56.25" x14ac:dyDescent="0.3">
      <c r="B28" s="107">
        <v>7</v>
      </c>
      <c r="C28" s="85" t="s">
        <v>121</v>
      </c>
      <c r="D28" s="27" t="s">
        <v>82</v>
      </c>
      <c r="E28" s="20">
        <v>1</v>
      </c>
      <c r="F28" s="124">
        <f>2487100*1.1</f>
        <v>2735810</v>
      </c>
      <c r="G28" s="125">
        <f t="shared" si="0"/>
        <v>2735810</v>
      </c>
    </row>
    <row r="29" spans="2:7" ht="22.5" x14ac:dyDescent="0.3">
      <c r="B29" s="107">
        <v>8</v>
      </c>
      <c r="C29" s="85" t="s">
        <v>122</v>
      </c>
      <c r="D29" s="27" t="s">
        <v>82</v>
      </c>
      <c r="E29" s="20">
        <v>1</v>
      </c>
      <c r="F29" s="124">
        <f>279701*1.1</f>
        <v>307671.10000000003</v>
      </c>
      <c r="G29" s="125">
        <f t="shared" si="0"/>
        <v>307671.10000000003</v>
      </c>
    </row>
    <row r="30" spans="2:7" x14ac:dyDescent="0.3">
      <c r="B30" s="107">
        <v>9</v>
      </c>
      <c r="C30" s="85" t="s">
        <v>123</v>
      </c>
      <c r="D30" s="27" t="s">
        <v>82</v>
      </c>
      <c r="E30" s="20">
        <v>1</v>
      </c>
      <c r="F30" s="124">
        <f>102809*1.1</f>
        <v>113089.90000000001</v>
      </c>
      <c r="G30" s="125">
        <f t="shared" si="0"/>
        <v>113089.90000000001</v>
      </c>
    </row>
    <row r="31" spans="2:7" x14ac:dyDescent="0.3">
      <c r="B31" s="107">
        <v>10</v>
      </c>
      <c r="C31" s="85" t="s">
        <v>124</v>
      </c>
      <c r="D31" s="27" t="s">
        <v>82</v>
      </c>
      <c r="E31" s="20">
        <v>1</v>
      </c>
      <c r="F31" s="124">
        <f>2201500*1.1</f>
        <v>2421650</v>
      </c>
      <c r="G31" s="125">
        <f t="shared" si="0"/>
        <v>2421650</v>
      </c>
    </row>
    <row r="32" spans="2:7" x14ac:dyDescent="0.3">
      <c r="B32" s="107">
        <v>11</v>
      </c>
      <c r="C32" s="85" t="s">
        <v>129</v>
      </c>
      <c r="D32" s="27" t="s">
        <v>82</v>
      </c>
      <c r="E32" s="20">
        <v>10</v>
      </c>
      <c r="F32" s="124">
        <f>15000*1.1</f>
        <v>16500</v>
      </c>
      <c r="G32" s="125">
        <f t="shared" si="0"/>
        <v>165000</v>
      </c>
    </row>
    <row r="33" spans="2:7" x14ac:dyDescent="0.3">
      <c r="B33" s="107">
        <v>12</v>
      </c>
      <c r="C33" s="85" t="s">
        <v>125</v>
      </c>
      <c r="D33" s="27" t="s">
        <v>82</v>
      </c>
      <c r="E33" s="20">
        <v>1</v>
      </c>
      <c r="F33" s="124">
        <f>20230*1.1</f>
        <v>22253</v>
      </c>
      <c r="G33" s="125">
        <f t="shared" si="0"/>
        <v>22253</v>
      </c>
    </row>
    <row r="34" spans="2:7" x14ac:dyDescent="0.3">
      <c r="B34" s="107">
        <v>13</v>
      </c>
      <c r="C34" s="85" t="s">
        <v>126</v>
      </c>
      <c r="D34" s="27" t="s">
        <v>82</v>
      </c>
      <c r="E34" s="20">
        <v>1</v>
      </c>
      <c r="F34" s="124">
        <f>29750*1.1</f>
        <v>32725.000000000004</v>
      </c>
      <c r="G34" s="125">
        <f t="shared" si="0"/>
        <v>32725.000000000004</v>
      </c>
    </row>
    <row r="35" spans="2:7" x14ac:dyDescent="0.3">
      <c r="B35" s="107">
        <v>14</v>
      </c>
      <c r="C35" s="85" t="s">
        <v>127</v>
      </c>
      <c r="D35" s="27" t="s">
        <v>82</v>
      </c>
      <c r="E35" s="20">
        <v>1</v>
      </c>
      <c r="F35" s="124">
        <f>71400*1.1</f>
        <v>78540</v>
      </c>
      <c r="G35" s="125">
        <f t="shared" si="0"/>
        <v>78540</v>
      </c>
    </row>
    <row r="36" spans="2:7" x14ac:dyDescent="0.3">
      <c r="B36" s="107">
        <v>15</v>
      </c>
      <c r="C36" s="85" t="s">
        <v>128</v>
      </c>
      <c r="D36" s="27" t="s">
        <v>82</v>
      </c>
      <c r="E36" s="20">
        <v>1</v>
      </c>
      <c r="F36" s="124">
        <f>142800*1.1</f>
        <v>157080</v>
      </c>
      <c r="G36" s="125">
        <f t="shared" si="0"/>
        <v>157080</v>
      </c>
    </row>
    <row r="37" spans="2:7" x14ac:dyDescent="0.3">
      <c r="B37" s="107">
        <v>16</v>
      </c>
      <c r="C37" s="85" t="s">
        <v>130</v>
      </c>
      <c r="D37" s="27" t="s">
        <v>82</v>
      </c>
      <c r="E37" s="20">
        <v>1</v>
      </c>
      <c r="F37" s="124">
        <f>105900*1.1</f>
        <v>116490.00000000001</v>
      </c>
      <c r="G37" s="125">
        <f t="shared" si="0"/>
        <v>116490.00000000001</v>
      </c>
    </row>
    <row r="38" spans="2:7" x14ac:dyDescent="0.3">
      <c r="B38" s="107">
        <v>17</v>
      </c>
      <c r="C38" s="85" t="s">
        <v>131</v>
      </c>
      <c r="D38" s="27" t="s">
        <v>82</v>
      </c>
      <c r="E38" s="20">
        <v>1</v>
      </c>
      <c r="F38" s="124">
        <f>10115000*1.1</f>
        <v>11126500</v>
      </c>
      <c r="G38" s="125">
        <f t="shared" si="0"/>
        <v>11126500</v>
      </c>
    </row>
    <row r="39" spans="2:7" ht="22.5" x14ac:dyDescent="0.3">
      <c r="B39" s="107">
        <v>18</v>
      </c>
      <c r="C39" s="85" t="s">
        <v>132</v>
      </c>
      <c r="D39" s="27" t="s">
        <v>82</v>
      </c>
      <c r="E39" s="20">
        <v>1</v>
      </c>
      <c r="F39" s="124">
        <f>952000*1.1</f>
        <v>1047200.0000000001</v>
      </c>
      <c r="G39" s="125">
        <f t="shared" si="0"/>
        <v>1047200.0000000001</v>
      </c>
    </row>
    <row r="40" spans="2:7" ht="22.5" x14ac:dyDescent="0.3">
      <c r="B40" s="107">
        <v>19</v>
      </c>
      <c r="C40" s="85" t="s">
        <v>154</v>
      </c>
      <c r="D40" s="27" t="s">
        <v>82</v>
      </c>
      <c r="E40" s="20">
        <v>1</v>
      </c>
      <c r="F40" s="124">
        <f>4998000*1.1</f>
        <v>5497800</v>
      </c>
      <c r="G40" s="125">
        <f t="shared" si="0"/>
        <v>5497800</v>
      </c>
    </row>
    <row r="41" spans="2:7" ht="45" x14ac:dyDescent="0.3">
      <c r="B41" s="107">
        <v>20</v>
      </c>
      <c r="C41" s="85" t="s">
        <v>112</v>
      </c>
      <c r="D41" s="96" t="s">
        <v>82</v>
      </c>
      <c r="E41" s="20">
        <v>1</v>
      </c>
      <c r="F41" s="110">
        <f>21420000*1.1</f>
        <v>23562000.000000004</v>
      </c>
      <c r="G41" s="111">
        <f>+F41*E41</f>
        <v>23562000.000000004</v>
      </c>
    </row>
    <row r="42" spans="2:7" ht="33.75" x14ac:dyDescent="0.3">
      <c r="B42" s="107">
        <v>21</v>
      </c>
      <c r="C42" s="85" t="s">
        <v>144</v>
      </c>
      <c r="D42" s="96" t="s">
        <v>82</v>
      </c>
      <c r="E42" s="20">
        <v>1</v>
      </c>
      <c r="F42" s="110">
        <f>5000000*1.1</f>
        <v>5500000</v>
      </c>
      <c r="G42" s="111">
        <f>+F42*E42</f>
        <v>5500000</v>
      </c>
    </row>
    <row r="43" spans="2:7" ht="45" x14ac:dyDescent="0.3">
      <c r="B43" s="107">
        <v>22</v>
      </c>
      <c r="C43" s="85" t="s">
        <v>145</v>
      </c>
      <c r="D43" s="96" t="s">
        <v>82</v>
      </c>
      <c r="E43" s="20">
        <v>1</v>
      </c>
      <c r="F43" s="110">
        <f>9500000*1.1</f>
        <v>10450000</v>
      </c>
      <c r="G43" s="111">
        <f>+F43*E43</f>
        <v>10450000</v>
      </c>
    </row>
    <row r="44" spans="2:7" ht="45" x14ac:dyDescent="0.3">
      <c r="B44" s="107">
        <v>23</v>
      </c>
      <c r="C44" s="85" t="s">
        <v>148</v>
      </c>
      <c r="D44" s="96" t="s">
        <v>82</v>
      </c>
      <c r="E44" s="20">
        <v>1</v>
      </c>
      <c r="F44" s="110">
        <f>3808000*1.1</f>
        <v>4188800.0000000005</v>
      </c>
      <c r="G44" s="111">
        <f>+F44*E44</f>
        <v>4188800.0000000005</v>
      </c>
    </row>
    <row r="45" spans="2:7" ht="34.5" thickBot="1" x14ac:dyDescent="0.35">
      <c r="B45" s="126">
        <v>24</v>
      </c>
      <c r="C45" s="108" t="s">
        <v>109</v>
      </c>
      <c r="D45" s="109" t="s">
        <v>82</v>
      </c>
      <c r="E45" s="127">
        <v>1</v>
      </c>
      <c r="F45" s="112">
        <f>5890500*1.1</f>
        <v>6479550.0000000009</v>
      </c>
      <c r="G45" s="113">
        <f>+F45*E45</f>
        <v>6479550.0000000009</v>
      </c>
    </row>
    <row r="46" spans="2:7" ht="25.5" customHeight="1" thickBot="1" x14ac:dyDescent="0.35">
      <c r="B46" s="114"/>
      <c r="C46" s="342" t="s">
        <v>184</v>
      </c>
      <c r="D46" s="343"/>
      <c r="E46" s="343"/>
      <c r="F46" s="344"/>
      <c r="G46" s="128">
        <f>SUM(G22:G40)</f>
        <v>84093345.599999994</v>
      </c>
    </row>
    <row r="47" spans="2:7" ht="17.25" thickBot="1" x14ac:dyDescent="0.35">
      <c r="B47" s="102"/>
      <c r="C47" s="102"/>
      <c r="D47" s="102"/>
      <c r="E47" s="102"/>
      <c r="F47" s="102"/>
      <c r="G47" s="102"/>
    </row>
    <row r="48" spans="2:7" ht="29.25" customHeight="1" x14ac:dyDescent="0.3">
      <c r="B48" s="103" t="s">
        <v>176</v>
      </c>
      <c r="C48" s="347" t="s">
        <v>182</v>
      </c>
      <c r="D48" s="347"/>
      <c r="E48" s="347"/>
      <c r="F48" s="347"/>
      <c r="G48" s="348"/>
    </row>
    <row r="49" spans="2:7" ht="43.5" customHeight="1" x14ac:dyDescent="0.3">
      <c r="B49" s="104" t="s">
        <v>177</v>
      </c>
      <c r="C49" s="336" t="s">
        <v>183</v>
      </c>
      <c r="D49" s="336"/>
      <c r="E49" s="336"/>
      <c r="F49" s="336"/>
      <c r="G49" s="337"/>
    </row>
    <row r="50" spans="2:7" x14ac:dyDescent="0.3">
      <c r="B50" s="105" t="s">
        <v>178</v>
      </c>
      <c r="C50" s="338" t="s">
        <v>180</v>
      </c>
      <c r="D50" s="338"/>
      <c r="E50" s="338"/>
      <c r="F50" s="338"/>
      <c r="G50" s="339"/>
    </row>
    <row r="51" spans="2:7" ht="17.25" thickBot="1" x14ac:dyDescent="0.35">
      <c r="B51" s="106" t="s">
        <v>179</v>
      </c>
      <c r="C51" s="340" t="s">
        <v>181</v>
      </c>
      <c r="D51" s="340"/>
      <c r="E51" s="340"/>
      <c r="F51" s="340"/>
      <c r="G51" s="341"/>
    </row>
  </sheetData>
  <mergeCells count="12">
    <mergeCell ref="B10:E10"/>
    <mergeCell ref="B14:E14"/>
    <mergeCell ref="B13:E13"/>
    <mergeCell ref="B12:E12"/>
    <mergeCell ref="B11:E11"/>
    <mergeCell ref="C49:G49"/>
    <mergeCell ref="C50:G50"/>
    <mergeCell ref="C51:G51"/>
    <mergeCell ref="C46:F46"/>
    <mergeCell ref="B16:G16"/>
    <mergeCell ref="B20:G20"/>
    <mergeCell ref="C48:G48"/>
  </mergeCell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E23"/>
  <sheetViews>
    <sheetView topLeftCell="A19" workbookViewId="0">
      <selection activeCell="G25" sqref="G25"/>
    </sheetView>
  </sheetViews>
  <sheetFormatPr baseColWidth="10" defaultRowHeight="18.75" x14ac:dyDescent="0.3"/>
  <cols>
    <col min="1" max="1" width="11.42578125" style="264"/>
    <col min="2" max="2" width="7" style="264" bestFit="1" customWidth="1"/>
    <col min="3" max="3" width="46.5703125" style="264" bestFit="1" customWidth="1"/>
    <col min="4" max="4" width="10.5703125" style="264" bestFit="1" customWidth="1"/>
    <col min="5" max="5" width="13.140625" style="264" bestFit="1" customWidth="1"/>
    <col min="6" max="16384" width="11.42578125" style="264"/>
  </cols>
  <sheetData>
    <row r="4" spans="2:5" x14ac:dyDescent="0.3">
      <c r="B4" s="261" t="s">
        <v>0</v>
      </c>
      <c r="C4" s="262" t="s">
        <v>113</v>
      </c>
      <c r="D4" s="263" t="s">
        <v>77</v>
      </c>
      <c r="E4" s="263" t="s">
        <v>3</v>
      </c>
    </row>
    <row r="5" spans="2:5" ht="37.5" x14ac:dyDescent="0.3">
      <c r="B5" s="265">
        <v>1</v>
      </c>
      <c r="C5" s="266" t="s">
        <v>115</v>
      </c>
      <c r="D5" s="267" t="s">
        <v>82</v>
      </c>
      <c r="E5" s="265">
        <v>1</v>
      </c>
    </row>
    <row r="6" spans="2:5" ht="75" x14ac:dyDescent="0.3">
      <c r="B6" s="265">
        <f>+B5+1</f>
        <v>2</v>
      </c>
      <c r="C6" s="266" t="s">
        <v>116</v>
      </c>
      <c r="D6" s="267" t="s">
        <v>82</v>
      </c>
      <c r="E6" s="265">
        <v>1</v>
      </c>
    </row>
    <row r="7" spans="2:5" ht="56.25" x14ac:dyDescent="0.3">
      <c r="B7" s="265">
        <f t="shared" ref="B7:B23" si="0">+B6+1</f>
        <v>3</v>
      </c>
      <c r="C7" s="266" t="s">
        <v>117</v>
      </c>
      <c r="D7" s="267" t="s">
        <v>82</v>
      </c>
      <c r="E7" s="265">
        <v>1</v>
      </c>
    </row>
    <row r="8" spans="2:5" ht="131.25" x14ac:dyDescent="0.3">
      <c r="B8" s="265">
        <f t="shared" si="0"/>
        <v>4</v>
      </c>
      <c r="C8" s="266" t="s">
        <v>118</v>
      </c>
      <c r="D8" s="267" t="s">
        <v>82</v>
      </c>
      <c r="E8" s="265">
        <v>1</v>
      </c>
    </row>
    <row r="9" spans="2:5" ht="93.75" x14ac:dyDescent="0.3">
      <c r="B9" s="265">
        <f t="shared" si="0"/>
        <v>5</v>
      </c>
      <c r="C9" s="266" t="s">
        <v>119</v>
      </c>
      <c r="D9" s="267" t="s">
        <v>82</v>
      </c>
      <c r="E9" s="265">
        <v>1</v>
      </c>
    </row>
    <row r="10" spans="2:5" ht="75" x14ac:dyDescent="0.3">
      <c r="B10" s="265">
        <f t="shared" si="0"/>
        <v>6</v>
      </c>
      <c r="C10" s="266" t="s">
        <v>120</v>
      </c>
      <c r="D10" s="267" t="s">
        <v>82</v>
      </c>
      <c r="E10" s="265">
        <v>1</v>
      </c>
    </row>
    <row r="11" spans="2:5" ht="225" x14ac:dyDescent="0.3">
      <c r="B11" s="265">
        <f t="shared" si="0"/>
        <v>7</v>
      </c>
      <c r="C11" s="266" t="s">
        <v>121</v>
      </c>
      <c r="D11" s="267" t="s">
        <v>82</v>
      </c>
      <c r="E11" s="265">
        <v>1</v>
      </c>
    </row>
    <row r="12" spans="2:5" ht="75" x14ac:dyDescent="0.3">
      <c r="B12" s="265">
        <f t="shared" si="0"/>
        <v>8</v>
      </c>
      <c r="C12" s="266" t="s">
        <v>122</v>
      </c>
      <c r="D12" s="267" t="s">
        <v>82</v>
      </c>
      <c r="E12" s="265">
        <v>1</v>
      </c>
    </row>
    <row r="13" spans="2:5" ht="56.25" x14ac:dyDescent="0.3">
      <c r="B13" s="265">
        <f t="shared" si="0"/>
        <v>9</v>
      </c>
      <c r="C13" s="266" t="s">
        <v>123</v>
      </c>
      <c r="D13" s="267" t="s">
        <v>82</v>
      </c>
      <c r="E13" s="265">
        <v>1</v>
      </c>
    </row>
    <row r="14" spans="2:5" ht="37.5" x14ac:dyDescent="0.3">
      <c r="B14" s="265">
        <f t="shared" si="0"/>
        <v>10</v>
      </c>
      <c r="C14" s="266" t="s">
        <v>124</v>
      </c>
      <c r="D14" s="267" t="s">
        <v>82</v>
      </c>
      <c r="E14" s="265">
        <v>1</v>
      </c>
    </row>
    <row r="15" spans="2:5" ht="37.5" x14ac:dyDescent="0.3">
      <c r="B15" s="265">
        <f t="shared" si="0"/>
        <v>11</v>
      </c>
      <c r="C15" s="266" t="s">
        <v>129</v>
      </c>
      <c r="D15" s="267" t="s">
        <v>82</v>
      </c>
      <c r="E15" s="265">
        <v>10</v>
      </c>
    </row>
    <row r="16" spans="2:5" ht="56.25" x14ac:dyDescent="0.3">
      <c r="B16" s="265">
        <f t="shared" si="0"/>
        <v>12</v>
      </c>
      <c r="C16" s="266" t="s">
        <v>125</v>
      </c>
      <c r="D16" s="267" t="s">
        <v>82</v>
      </c>
      <c r="E16" s="265">
        <v>5</v>
      </c>
    </row>
    <row r="17" spans="2:5" ht="37.5" x14ac:dyDescent="0.3">
      <c r="B17" s="265">
        <f t="shared" si="0"/>
        <v>13</v>
      </c>
      <c r="C17" s="266" t="s">
        <v>126</v>
      </c>
      <c r="D17" s="267" t="s">
        <v>82</v>
      </c>
      <c r="E17" s="265">
        <v>1</v>
      </c>
    </row>
    <row r="18" spans="2:5" ht="56.25" x14ac:dyDescent="0.3">
      <c r="B18" s="265">
        <f t="shared" si="0"/>
        <v>14</v>
      </c>
      <c r="C18" s="266" t="s">
        <v>127</v>
      </c>
      <c r="D18" s="267" t="s">
        <v>82</v>
      </c>
      <c r="E18" s="265">
        <v>1</v>
      </c>
    </row>
    <row r="19" spans="2:5" x14ac:dyDescent="0.3">
      <c r="B19" s="265">
        <f t="shared" si="0"/>
        <v>15</v>
      </c>
      <c r="C19" s="266" t="s">
        <v>128</v>
      </c>
      <c r="D19" s="267" t="s">
        <v>82</v>
      </c>
      <c r="E19" s="265">
        <v>1</v>
      </c>
    </row>
    <row r="20" spans="2:5" ht="56.25" x14ac:dyDescent="0.3">
      <c r="B20" s="265">
        <f t="shared" si="0"/>
        <v>16</v>
      </c>
      <c r="C20" s="266" t="s">
        <v>130</v>
      </c>
      <c r="D20" s="267" t="s">
        <v>82</v>
      </c>
      <c r="E20" s="265">
        <v>1</v>
      </c>
    </row>
    <row r="21" spans="2:5" x14ac:dyDescent="0.3">
      <c r="B21" s="265">
        <f t="shared" si="0"/>
        <v>17</v>
      </c>
      <c r="C21" s="266" t="s">
        <v>131</v>
      </c>
      <c r="D21" s="267" t="s">
        <v>82</v>
      </c>
      <c r="E21" s="265">
        <v>1</v>
      </c>
    </row>
    <row r="22" spans="2:5" ht="93.75" x14ac:dyDescent="0.3">
      <c r="B22" s="265">
        <f t="shared" si="0"/>
        <v>18</v>
      </c>
      <c r="C22" s="266" t="s">
        <v>132</v>
      </c>
      <c r="D22" s="267" t="s">
        <v>82</v>
      </c>
      <c r="E22" s="265">
        <v>1</v>
      </c>
    </row>
    <row r="23" spans="2:5" ht="75" x14ac:dyDescent="0.3">
      <c r="B23" s="265">
        <f t="shared" si="0"/>
        <v>19</v>
      </c>
      <c r="C23" s="266" t="s">
        <v>154</v>
      </c>
      <c r="D23" s="267" t="s">
        <v>82</v>
      </c>
      <c r="E23" s="265">
        <v>1</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5"/>
  <sheetViews>
    <sheetView view="pageBreakPreview" zoomScale="130" zoomScaleNormal="120" zoomScaleSheetLayoutView="130" workbookViewId="0">
      <selection activeCell="E29" sqref="E29"/>
    </sheetView>
  </sheetViews>
  <sheetFormatPr baseColWidth="10" defaultColWidth="11.42578125" defaultRowHeight="12" x14ac:dyDescent="0.25"/>
  <cols>
    <col min="1" max="1" width="4.42578125" style="9" bestFit="1" customWidth="1"/>
    <col min="2" max="2" width="27.85546875" style="10" customWidth="1"/>
    <col min="3" max="3" width="6.42578125" style="9" bestFit="1" customWidth="1"/>
    <col min="4" max="4" width="8" style="9" bestFit="1" customWidth="1"/>
    <col min="5" max="5" width="12.5703125" style="10" bestFit="1" customWidth="1"/>
    <col min="6" max="6" width="15.85546875" style="10" bestFit="1" customWidth="1"/>
    <col min="7" max="16384" width="11.42578125" style="10"/>
  </cols>
  <sheetData>
    <row r="2" spans="1:8" ht="15.75" x14ac:dyDescent="0.25">
      <c r="A2" s="295" t="s">
        <v>98</v>
      </c>
      <c r="B2" s="295"/>
      <c r="C2" s="295"/>
      <c r="D2" s="295"/>
      <c r="E2" s="295"/>
      <c r="F2" s="295"/>
    </row>
    <row r="4" spans="1:8" x14ac:dyDescent="0.25">
      <c r="A4" s="12" t="s">
        <v>0</v>
      </c>
      <c r="B4" s="12" t="s">
        <v>76</v>
      </c>
      <c r="C4" s="12" t="s">
        <v>77</v>
      </c>
      <c r="D4" s="12" t="s">
        <v>3</v>
      </c>
      <c r="E4" s="12" t="s">
        <v>4</v>
      </c>
      <c r="F4" s="12" t="s">
        <v>5</v>
      </c>
    </row>
    <row r="5" spans="1:8" x14ac:dyDescent="0.25">
      <c r="A5" s="13" t="s">
        <v>94</v>
      </c>
      <c r="B5" s="14" t="s">
        <v>95</v>
      </c>
      <c r="C5" s="13"/>
      <c r="D5" s="13"/>
      <c r="E5" s="13"/>
      <c r="F5" s="15">
        <f>+F6</f>
        <v>0</v>
      </c>
      <c r="H5" s="11"/>
    </row>
    <row r="6" spans="1:8" x14ac:dyDescent="0.25">
      <c r="A6" s="16">
        <v>1</v>
      </c>
      <c r="B6" s="17" t="s">
        <v>80</v>
      </c>
      <c r="C6" s="18"/>
      <c r="D6" s="18"/>
      <c r="E6" s="18"/>
      <c r="F6" s="19">
        <f>+F7+F8</f>
        <v>0</v>
      </c>
    </row>
    <row r="7" spans="1:8" ht="33.75" x14ac:dyDescent="0.25">
      <c r="A7" s="20">
        <v>1.1000000000000001</v>
      </c>
      <c r="B7" s="82" t="s">
        <v>81</v>
      </c>
      <c r="C7" s="83" t="s">
        <v>82</v>
      </c>
      <c r="D7" s="83">
        <v>8</v>
      </c>
      <c r="E7" s="84"/>
      <c r="F7" s="84">
        <f>+E7*D7</f>
        <v>0</v>
      </c>
    </row>
    <row r="8" spans="1:8" ht="56.25" x14ac:dyDescent="0.25">
      <c r="A8" s="20">
        <v>1.2</v>
      </c>
      <c r="B8" s="82" t="s">
        <v>84</v>
      </c>
      <c r="C8" s="83" t="s">
        <v>83</v>
      </c>
      <c r="D8" s="83">
        <v>1500</v>
      </c>
      <c r="E8" s="84"/>
      <c r="F8" s="84">
        <f>+E8*D8</f>
        <v>0</v>
      </c>
    </row>
    <row r="9" spans="1:8" x14ac:dyDescent="0.25">
      <c r="A9" s="12" t="s">
        <v>0</v>
      </c>
      <c r="B9" s="12" t="s">
        <v>76</v>
      </c>
      <c r="C9" s="12" t="s">
        <v>77</v>
      </c>
      <c r="D9" s="12" t="s">
        <v>3</v>
      </c>
      <c r="E9" s="12" t="s">
        <v>4</v>
      </c>
      <c r="F9" s="12" t="s">
        <v>5</v>
      </c>
    </row>
    <row r="10" spans="1:8" x14ac:dyDescent="0.25">
      <c r="A10" s="13" t="s">
        <v>96</v>
      </c>
      <c r="B10" s="14" t="s">
        <v>99</v>
      </c>
      <c r="C10" s="13"/>
      <c r="D10" s="13"/>
      <c r="E10" s="13"/>
      <c r="F10" s="15">
        <f>+F11</f>
        <v>0</v>
      </c>
    </row>
    <row r="11" spans="1:8" x14ac:dyDescent="0.25">
      <c r="A11" s="16">
        <v>1</v>
      </c>
      <c r="B11" s="17" t="s">
        <v>102</v>
      </c>
      <c r="C11" s="18"/>
      <c r="D11" s="18"/>
      <c r="E11" s="18"/>
      <c r="F11" s="19">
        <f>+F12</f>
        <v>0</v>
      </c>
    </row>
    <row r="12" spans="1:8" ht="45" x14ac:dyDescent="0.25">
      <c r="A12" s="20">
        <v>1.1000000000000001</v>
      </c>
      <c r="B12" s="35" t="s">
        <v>101</v>
      </c>
      <c r="C12" s="27" t="s">
        <v>82</v>
      </c>
      <c r="D12" s="20">
        <v>1</v>
      </c>
      <c r="E12" s="22"/>
      <c r="F12" s="22">
        <f t="shared" ref="F12" si="0">+E12*D12</f>
        <v>0</v>
      </c>
    </row>
    <row r="13" spans="1:8" x14ac:dyDescent="0.25">
      <c r="A13" s="12" t="s">
        <v>0</v>
      </c>
      <c r="B13" s="12" t="s">
        <v>76</v>
      </c>
      <c r="C13" s="12" t="s">
        <v>77</v>
      </c>
      <c r="D13" s="12" t="s">
        <v>3</v>
      </c>
      <c r="E13" s="12" t="s">
        <v>4</v>
      </c>
      <c r="F13" s="12" t="s">
        <v>5</v>
      </c>
    </row>
    <row r="14" spans="1:8" x14ac:dyDescent="0.25">
      <c r="A14" s="13" t="s">
        <v>96</v>
      </c>
      <c r="B14" s="14" t="s">
        <v>97</v>
      </c>
      <c r="C14" s="13"/>
      <c r="D14" s="13"/>
      <c r="E14" s="13"/>
      <c r="F14" s="15">
        <f>+F15+F19+F25</f>
        <v>0</v>
      </c>
    </row>
    <row r="15" spans="1:8" x14ac:dyDescent="0.25">
      <c r="A15" s="16">
        <v>1</v>
      </c>
      <c r="B15" s="17" t="s">
        <v>103</v>
      </c>
      <c r="C15" s="18"/>
      <c r="D15" s="18"/>
      <c r="E15" s="18"/>
      <c r="F15" s="19">
        <f>+F16+F17+F18</f>
        <v>0</v>
      </c>
    </row>
    <row r="16" spans="1:8" ht="45" x14ac:dyDescent="0.25">
      <c r="A16" s="20">
        <v>1.1000000000000001</v>
      </c>
      <c r="B16" s="85" t="s">
        <v>104</v>
      </c>
      <c r="C16" s="27" t="s">
        <v>82</v>
      </c>
      <c r="D16" s="20">
        <v>7</v>
      </c>
      <c r="E16" s="22"/>
      <c r="F16" s="22">
        <f t="shared" ref="F16:F18" si="1">+E16*D16</f>
        <v>0</v>
      </c>
    </row>
    <row r="17" spans="1:6" ht="45" x14ac:dyDescent="0.25">
      <c r="A17" s="20">
        <v>1.2</v>
      </c>
      <c r="B17" s="85" t="s">
        <v>105</v>
      </c>
      <c r="C17" s="27" t="s">
        <v>82</v>
      </c>
      <c r="D17" s="20">
        <v>3</v>
      </c>
      <c r="E17" s="22"/>
      <c r="F17" s="22">
        <f t="shared" si="1"/>
        <v>0</v>
      </c>
    </row>
    <row r="18" spans="1:6" ht="45" x14ac:dyDescent="0.25">
      <c r="A18" s="20">
        <v>1.3</v>
      </c>
      <c r="B18" s="85" t="s">
        <v>143</v>
      </c>
      <c r="C18" s="27" t="s">
        <v>82</v>
      </c>
      <c r="D18" s="20">
        <v>3</v>
      </c>
      <c r="E18" s="22"/>
      <c r="F18" s="22">
        <f t="shared" si="1"/>
        <v>0</v>
      </c>
    </row>
    <row r="19" spans="1:6" x14ac:dyDescent="0.25">
      <c r="A19" s="86">
        <v>2</v>
      </c>
      <c r="B19" s="89" t="s">
        <v>107</v>
      </c>
      <c r="C19" s="87"/>
      <c r="D19" s="87"/>
      <c r="E19" s="87"/>
      <c r="F19" s="88">
        <f>SUM(F20:F24)</f>
        <v>0</v>
      </c>
    </row>
    <row r="20" spans="1:6" ht="123.75" x14ac:dyDescent="0.25">
      <c r="A20" s="20">
        <v>2.1</v>
      </c>
      <c r="B20" s="85" t="s">
        <v>112</v>
      </c>
      <c r="C20" s="27" t="s">
        <v>82</v>
      </c>
      <c r="D20" s="20">
        <v>3</v>
      </c>
      <c r="E20" s="22"/>
      <c r="F20" s="22">
        <f>+E20*D20</f>
        <v>0</v>
      </c>
    </row>
    <row r="21" spans="1:6" ht="101.25" x14ac:dyDescent="0.25">
      <c r="A21" s="20">
        <v>2.2000000000000002</v>
      </c>
      <c r="B21" s="85" t="s">
        <v>144</v>
      </c>
      <c r="C21" s="27" t="s">
        <v>82</v>
      </c>
      <c r="D21" s="20">
        <v>3</v>
      </c>
      <c r="E21" s="22"/>
      <c r="F21" s="22">
        <f>+E21*D21</f>
        <v>0</v>
      </c>
    </row>
    <row r="22" spans="1:6" ht="101.25" x14ac:dyDescent="0.25">
      <c r="A22" s="20">
        <v>2.2999999999999998</v>
      </c>
      <c r="B22" s="85" t="s">
        <v>145</v>
      </c>
      <c r="C22" s="27" t="s">
        <v>82</v>
      </c>
      <c r="D22" s="20">
        <v>3</v>
      </c>
      <c r="E22" s="22"/>
      <c r="F22" s="22">
        <f>+E22*D22</f>
        <v>0</v>
      </c>
    </row>
    <row r="23" spans="1:6" ht="112.5" x14ac:dyDescent="0.25">
      <c r="A23" s="20">
        <v>2.4</v>
      </c>
      <c r="B23" s="35" t="s">
        <v>110</v>
      </c>
      <c r="C23" s="27" t="s">
        <v>82</v>
      </c>
      <c r="D23" s="20">
        <v>3</v>
      </c>
      <c r="E23" s="22"/>
      <c r="F23" s="22">
        <f>+E23*D23</f>
        <v>0</v>
      </c>
    </row>
    <row r="24" spans="1:6" ht="90" x14ac:dyDescent="0.25">
      <c r="A24" s="20">
        <v>2.5</v>
      </c>
      <c r="B24" s="35" t="s">
        <v>109</v>
      </c>
      <c r="C24" s="27" t="s">
        <v>82</v>
      </c>
      <c r="D24" s="20">
        <v>3</v>
      </c>
      <c r="E24" s="22"/>
      <c r="F24" s="22">
        <f>+E24*D24</f>
        <v>0</v>
      </c>
    </row>
    <row r="25" spans="1:6" x14ac:dyDescent="0.25">
      <c r="A25" s="16">
        <v>3</v>
      </c>
      <c r="B25" s="17" t="s">
        <v>113</v>
      </c>
      <c r="C25" s="18"/>
      <c r="D25" s="18"/>
      <c r="E25" s="18"/>
      <c r="F25" s="19">
        <f>SUM(F26:F44)</f>
        <v>0</v>
      </c>
    </row>
    <row r="26" spans="1:6" ht="22.5" x14ac:dyDescent="0.25">
      <c r="A26" s="20">
        <v>3.1</v>
      </c>
      <c r="B26" s="35" t="s">
        <v>115</v>
      </c>
      <c r="C26" s="27" t="s">
        <v>82</v>
      </c>
      <c r="D26" s="20">
        <v>2</v>
      </c>
      <c r="E26" s="22"/>
      <c r="F26" s="22">
        <f t="shared" ref="F26:F44" si="2">+E26*D26</f>
        <v>0</v>
      </c>
    </row>
    <row r="27" spans="1:6" ht="45" x14ac:dyDescent="0.25">
      <c r="A27" s="20">
        <v>3.2</v>
      </c>
      <c r="B27" s="35" t="s">
        <v>116</v>
      </c>
      <c r="C27" s="27" t="s">
        <v>82</v>
      </c>
      <c r="D27" s="20">
        <v>2</v>
      </c>
      <c r="E27" s="22"/>
      <c r="F27" s="22">
        <f t="shared" si="2"/>
        <v>0</v>
      </c>
    </row>
    <row r="28" spans="1:6" ht="33.75" x14ac:dyDescent="0.25">
      <c r="A28" s="20">
        <v>3.3</v>
      </c>
      <c r="B28" s="35" t="s">
        <v>117</v>
      </c>
      <c r="C28" s="27" t="s">
        <v>82</v>
      </c>
      <c r="D28" s="20">
        <v>2</v>
      </c>
      <c r="E28" s="22"/>
      <c r="F28" s="22">
        <f t="shared" si="2"/>
        <v>0</v>
      </c>
    </row>
    <row r="29" spans="1:6" ht="78.75" x14ac:dyDescent="0.25">
      <c r="A29" s="20">
        <v>3.4</v>
      </c>
      <c r="B29" s="35" t="s">
        <v>118</v>
      </c>
      <c r="C29" s="27" t="s">
        <v>82</v>
      </c>
      <c r="D29" s="20">
        <v>2</v>
      </c>
      <c r="E29" s="22"/>
      <c r="F29" s="22">
        <f t="shared" si="2"/>
        <v>0</v>
      </c>
    </row>
    <row r="30" spans="1:6" ht="56.25" x14ac:dyDescent="0.25">
      <c r="A30" s="20">
        <v>3.5</v>
      </c>
      <c r="B30" s="35" t="s">
        <v>119</v>
      </c>
      <c r="C30" s="27" t="s">
        <v>82</v>
      </c>
      <c r="D30" s="20">
        <v>2</v>
      </c>
      <c r="E30" s="22"/>
      <c r="F30" s="22">
        <f t="shared" si="2"/>
        <v>0</v>
      </c>
    </row>
    <row r="31" spans="1:6" ht="45" x14ac:dyDescent="0.25">
      <c r="A31" s="20">
        <v>3.6</v>
      </c>
      <c r="B31" s="35" t="s">
        <v>120</v>
      </c>
      <c r="C31" s="27" t="s">
        <v>82</v>
      </c>
      <c r="D31" s="20">
        <v>2</v>
      </c>
      <c r="E31" s="22"/>
      <c r="F31" s="22">
        <f t="shared" si="2"/>
        <v>0</v>
      </c>
    </row>
    <row r="32" spans="1:6" ht="135" x14ac:dyDescent="0.25">
      <c r="A32" s="20">
        <v>3.7</v>
      </c>
      <c r="B32" s="35" t="s">
        <v>121</v>
      </c>
      <c r="C32" s="27" t="s">
        <v>82</v>
      </c>
      <c r="D32" s="20">
        <v>2</v>
      </c>
      <c r="E32" s="22"/>
      <c r="F32" s="22">
        <f t="shared" si="2"/>
        <v>0</v>
      </c>
    </row>
    <row r="33" spans="1:6" ht="33.75" x14ac:dyDescent="0.25">
      <c r="A33" s="20">
        <v>3.8</v>
      </c>
      <c r="B33" s="35" t="s">
        <v>122</v>
      </c>
      <c r="C33" s="27" t="s">
        <v>82</v>
      </c>
      <c r="D33" s="20">
        <v>2</v>
      </c>
      <c r="E33" s="22"/>
      <c r="F33" s="22">
        <f t="shared" si="2"/>
        <v>0</v>
      </c>
    </row>
    <row r="34" spans="1:6" ht="33.75" x14ac:dyDescent="0.25">
      <c r="A34" s="20">
        <v>3.9</v>
      </c>
      <c r="B34" s="35" t="s">
        <v>123</v>
      </c>
      <c r="C34" s="27" t="s">
        <v>82</v>
      </c>
      <c r="D34" s="20">
        <v>2</v>
      </c>
      <c r="E34" s="22"/>
      <c r="F34" s="22">
        <f t="shared" si="2"/>
        <v>0</v>
      </c>
    </row>
    <row r="35" spans="1:6" ht="22.5" x14ac:dyDescent="0.25">
      <c r="A35" s="32">
        <v>3.1</v>
      </c>
      <c r="B35" s="35" t="s">
        <v>124</v>
      </c>
      <c r="C35" s="27" t="s">
        <v>82</v>
      </c>
      <c r="D35" s="20">
        <v>2</v>
      </c>
      <c r="E35" s="22"/>
      <c r="F35" s="22">
        <f t="shared" si="2"/>
        <v>0</v>
      </c>
    </row>
    <row r="36" spans="1:6" ht="22.5" x14ac:dyDescent="0.25">
      <c r="A36" s="20">
        <v>3.11</v>
      </c>
      <c r="B36" s="35" t="s">
        <v>129</v>
      </c>
      <c r="C36" s="27" t="s">
        <v>82</v>
      </c>
      <c r="D36" s="20">
        <v>2</v>
      </c>
      <c r="E36" s="22"/>
      <c r="F36" s="22">
        <f t="shared" si="2"/>
        <v>0</v>
      </c>
    </row>
    <row r="37" spans="1:6" ht="33.75" x14ac:dyDescent="0.25">
      <c r="A37" s="32">
        <v>3.12</v>
      </c>
      <c r="B37" s="35" t="s">
        <v>125</v>
      </c>
      <c r="C37" s="27" t="s">
        <v>82</v>
      </c>
      <c r="D37" s="20">
        <v>2</v>
      </c>
      <c r="E37" s="22"/>
      <c r="F37" s="22">
        <f t="shared" si="2"/>
        <v>0</v>
      </c>
    </row>
    <row r="38" spans="1:6" ht="22.5" x14ac:dyDescent="0.25">
      <c r="A38" s="20">
        <v>3.13</v>
      </c>
      <c r="B38" s="35" t="s">
        <v>126</v>
      </c>
      <c r="C38" s="27" t="s">
        <v>82</v>
      </c>
      <c r="D38" s="20">
        <v>2</v>
      </c>
      <c r="E38" s="22"/>
      <c r="F38" s="22">
        <f t="shared" si="2"/>
        <v>0</v>
      </c>
    </row>
    <row r="39" spans="1:6" ht="33.75" x14ac:dyDescent="0.25">
      <c r="A39" s="32">
        <v>3.14</v>
      </c>
      <c r="B39" s="35" t="s">
        <v>127</v>
      </c>
      <c r="C39" s="27" t="s">
        <v>82</v>
      </c>
      <c r="D39" s="20">
        <v>2</v>
      </c>
      <c r="E39" s="22"/>
      <c r="F39" s="22">
        <f t="shared" si="2"/>
        <v>0</v>
      </c>
    </row>
    <row r="40" spans="1:6" x14ac:dyDescent="0.25">
      <c r="A40" s="20">
        <v>3.15</v>
      </c>
      <c r="B40" s="35" t="s">
        <v>128</v>
      </c>
      <c r="C40" s="27" t="s">
        <v>82</v>
      </c>
      <c r="D40" s="20">
        <v>2</v>
      </c>
      <c r="E40" s="22"/>
      <c r="F40" s="22">
        <f t="shared" si="2"/>
        <v>0</v>
      </c>
    </row>
    <row r="41" spans="1:6" ht="33.75" x14ac:dyDescent="0.25">
      <c r="A41" s="32">
        <v>3.16</v>
      </c>
      <c r="B41" s="35" t="s">
        <v>130</v>
      </c>
      <c r="C41" s="27" t="s">
        <v>82</v>
      </c>
      <c r="D41" s="20">
        <v>2</v>
      </c>
      <c r="E41" s="22"/>
      <c r="F41" s="22">
        <f t="shared" si="2"/>
        <v>0</v>
      </c>
    </row>
    <row r="42" spans="1:6" x14ac:dyDescent="0.25">
      <c r="A42" s="20">
        <v>3.17</v>
      </c>
      <c r="B42" s="35" t="s">
        <v>131</v>
      </c>
      <c r="C42" s="27" t="s">
        <v>82</v>
      </c>
      <c r="D42" s="20">
        <v>2</v>
      </c>
      <c r="E42" s="22"/>
      <c r="F42" s="22">
        <f t="shared" si="2"/>
        <v>0</v>
      </c>
    </row>
    <row r="43" spans="1:6" ht="56.25" x14ac:dyDescent="0.25">
      <c r="A43" s="32">
        <v>3.18</v>
      </c>
      <c r="B43" s="35" t="s">
        <v>132</v>
      </c>
      <c r="C43" s="27" t="s">
        <v>82</v>
      </c>
      <c r="D43" s="20">
        <v>2</v>
      </c>
      <c r="E43" s="22"/>
      <c r="F43" s="22">
        <f t="shared" si="2"/>
        <v>0</v>
      </c>
    </row>
    <row r="44" spans="1:6" ht="45" x14ac:dyDescent="0.25">
      <c r="A44" s="20">
        <v>3.19</v>
      </c>
      <c r="B44" s="35" t="s">
        <v>133</v>
      </c>
      <c r="C44" s="27" t="s">
        <v>82</v>
      </c>
      <c r="D44" s="20">
        <v>2</v>
      </c>
      <c r="E44" s="22"/>
      <c r="F44" s="22">
        <f t="shared" si="2"/>
        <v>0</v>
      </c>
    </row>
    <row r="45" spans="1:6" ht="12.75" x14ac:dyDescent="0.25">
      <c r="A45" s="33"/>
      <c r="B45" s="299" t="s">
        <v>134</v>
      </c>
      <c r="C45" s="300"/>
      <c r="D45" s="300"/>
      <c r="E45" s="301"/>
      <c r="F45" s="81">
        <f>+F14+F10+F5</f>
        <v>0</v>
      </c>
    </row>
  </sheetData>
  <mergeCells count="2">
    <mergeCell ref="A2:F2"/>
    <mergeCell ref="B45:E45"/>
  </mergeCells>
  <printOptions horizontalCentered="1"/>
  <pageMargins left="0.51181102362204722" right="0.51181102362204722" top="0.74803149606299213" bottom="0.74803149606299213" header="0.31496062992125984" footer="0.31496062992125984"/>
  <pageSetup scale="90" orientation="portrait" r:id="rId1"/>
  <rowBreaks count="1" manualBreakCount="1">
    <brk id="1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Hoja1</vt:lpstr>
      <vt:lpstr>DOTACION POR ASOCIACION</vt:lpstr>
      <vt:lpstr>Hoja V1</vt:lpstr>
      <vt:lpstr>Hoja V2</vt:lpstr>
      <vt:lpstr>PRESUPUESTO proceso</vt:lpstr>
      <vt:lpstr>PRESUPUESTO 2</vt:lpstr>
      <vt:lpstr>ESTUDIO DE MERCADO</vt:lpstr>
      <vt:lpstr>Hoja2</vt:lpstr>
      <vt:lpstr>Hoja3</vt:lpstr>
      <vt:lpstr>LABORATORIO </vt:lpstr>
      <vt:lpstr>NECESIDADES</vt:lpstr>
      <vt:lpstr>'ESTUDIO DE MERCADO'!Área_de_impresión</vt:lpstr>
      <vt:lpstr>'Hoja V1'!Área_de_impresión</vt:lpstr>
      <vt:lpstr>'Hoja V2'!Área_de_impresión</vt:lpstr>
      <vt:lpstr>NECESIDADES!Área_de_impresión</vt:lpstr>
      <vt:lpstr>'PRESUPUESTO 2'!Área_de_impresión</vt:lpstr>
      <vt:lpstr>'PRESUPUESTO proceso'!Área_de_impresión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2023-03-17T19:19:58Z</dcterms:modified>
</cp:coreProperties>
</file>